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22-靛厂路11号楼\"/>
    </mc:Choice>
  </mc:AlternateContent>
  <xr:revisionPtr revIDLastSave="0" documentId="13_ncr:1_{0EEAA12F-6106-4487-B93F-EE77ACC4A34B}" xr6:coauthVersionLast="47" xr6:coauthVersionMax="47" xr10:uidLastSave="{00000000-0000-0000-0000-000000000000}"/>
  <bookViews>
    <workbookView xWindow="960" yWindow="585" windowWidth="14760" windowHeight="1248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1">假设开发法!$A$1:$K$32</definedName>
    <definedName name="_xlnm.Print_Area" localSheetId="18">结果表!$A$1:$I$127</definedName>
    <definedName name="_xlnm.Print_Area" localSheetId="40">收益法!$A$1:$F$43,收益法!$H$3:$M$29,收益法!$A$46:$F$71,收益法!$I$46:$N$65</definedName>
    <definedName name="_xlnm.Print_Area" localSheetId="22">'收益法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3">'[3]数据-汇总表'!$C$17:$C$26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36" i="15" l="1"/>
  <c r="F49" i="83"/>
  <c r="H23" i="80" l="1"/>
  <c r="H25" i="80" s="1"/>
  <c r="AD6" i="1" s="1"/>
  <c r="AD7" i="1" s="1"/>
  <c r="C37" i="80"/>
  <c r="J49" i="15"/>
  <c r="J49" i="83"/>
  <c r="Q72" i="83"/>
  <c r="Q59" i="83"/>
  <c r="K59" i="83"/>
  <c r="P74" i="83" s="1"/>
  <c r="F59" i="83"/>
  <c r="Q58" i="83"/>
  <c r="Q51" i="83"/>
  <c r="J50" i="83"/>
  <c r="M47" i="83"/>
  <c r="D46" i="83"/>
  <c r="F33" i="83"/>
  <c r="F61" i="83" s="1"/>
  <c r="F31" i="83"/>
  <c r="F23" i="83"/>
  <c r="D24" i="83" s="1"/>
  <c r="F21" i="83"/>
  <c r="F20" i="83"/>
  <c r="M19" i="83"/>
  <c r="F18" i="83"/>
  <c r="M17" i="83"/>
  <c r="F17" i="83"/>
  <c r="F15"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D22" i="83" l="1"/>
  <c r="D23" i="83"/>
  <c r="P61" i="83"/>
  <c r="AM7" i="1" l="1"/>
  <c r="AL7" i="1"/>
  <c r="AK7" i="1"/>
  <c r="D34" i="80" l="1"/>
  <c r="E34" i="80" s="1"/>
  <c r="F34" i="80" s="1"/>
  <c r="G34" i="80" s="1"/>
  <c r="D33" i="80"/>
  <c r="D37" i="80" s="1"/>
  <c r="B34" i="80"/>
  <c r="B21" i="1"/>
  <c r="L7" i="1"/>
  <c r="C8" i="80"/>
  <c r="H18" i="80"/>
  <c r="H20" i="80" s="1"/>
  <c r="N6" i="1" s="1"/>
  <c r="D11" i="80"/>
  <c r="E11" i="80" s="1"/>
  <c r="E8" i="80"/>
  <c r="F20" i="6"/>
  <c r="G19" i="6"/>
  <c r="F19" i="6"/>
  <c r="I13" i="3"/>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33" i="80" l="1"/>
  <c r="K13" i="3"/>
  <c r="G14" i="73"/>
  <c r="F14" i="73"/>
  <c r="E14" i="73"/>
  <c r="G15" i="73"/>
  <c r="F15" i="73"/>
  <c r="E15" i="73"/>
  <c r="M13" i="3" l="1"/>
  <c r="B33" i="80"/>
  <c r="F33" i="80"/>
  <c r="E37" i="80"/>
  <c r="N7" i="1"/>
  <c r="Y6" i="1"/>
  <c r="Y7" i="1" s="1"/>
  <c r="AB32" i="79"/>
  <c r="AA32" i="79"/>
  <c r="Z32" i="79"/>
  <c r="N32" i="79"/>
  <c r="M32" i="79"/>
  <c r="P32" i="79" s="1"/>
  <c r="L32" i="79"/>
  <c r="I32" i="79"/>
  <c r="AD32" i="79" s="1"/>
  <c r="AC7" i="79"/>
  <c r="AB7" i="79"/>
  <c r="AA7" i="79"/>
  <c r="AD7" i="79" s="1"/>
  <c r="Z7" i="79"/>
  <c r="Y7" i="79"/>
  <c r="O7" i="79"/>
  <c r="N7" i="79"/>
  <c r="M7" i="79"/>
  <c r="P7" i="79" s="1"/>
  <c r="L7" i="79"/>
  <c r="K7" i="79"/>
  <c r="I7" i="79"/>
  <c r="G33" i="80" l="1"/>
  <c r="G35" i="80" s="1"/>
  <c r="U6" i="1" s="1"/>
  <c r="F37" i="80"/>
  <c r="B35" i="80"/>
  <c r="C35" i="80" s="1"/>
  <c r="I10" i="79"/>
  <c r="I35" i="80" l="1"/>
  <c r="U7" i="1"/>
  <c r="G37" i="80"/>
  <c r="I35" i="79"/>
  <c r="I34" i="79"/>
  <c r="N34" i="79"/>
  <c r="M34" i="79"/>
  <c r="P34" i="79" s="1"/>
  <c r="L34" i="79"/>
  <c r="N35" i="79"/>
  <c r="M35" i="79"/>
  <c r="L35" i="79"/>
  <c r="O9" i="79"/>
  <c r="N9" i="79"/>
  <c r="M9" i="79"/>
  <c r="P9" i="79" s="1"/>
  <c r="L9" i="79"/>
  <c r="K9" i="79"/>
  <c r="O10" i="79"/>
  <c r="N10" i="79"/>
  <c r="M10" i="79"/>
  <c r="P10" i="79" s="1"/>
  <c r="L10" i="79"/>
  <c r="K10" i="79"/>
  <c r="F49" i="15" l="1"/>
  <c r="P35" i="79"/>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F10" i="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AF7" i="1" l="1"/>
  <c r="Z7" i="1" s="1"/>
  <c r="Z6" i="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D65" i="71"/>
  <c r="Q64" i="71"/>
  <c r="P64" i="71"/>
  <c r="O64" i="71"/>
  <c r="N64" i="71"/>
  <c r="Q63" i="71"/>
  <c r="P63" i="71"/>
  <c r="O63" i="71"/>
  <c r="N63" i="71"/>
  <c r="Q62" i="71"/>
  <c r="P62" i="71"/>
  <c r="O62" i="71"/>
  <c r="C63" i="71" s="1"/>
  <c r="C64"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AA36" i="71" s="1"/>
  <c r="O37" i="71"/>
  <c r="N37" i="71"/>
  <c r="B38" i="71" s="1"/>
  <c r="D37" i="71"/>
  <c r="Q36" i="71"/>
  <c r="P36" i="71"/>
  <c r="O36" i="71"/>
  <c r="Y35" i="71" s="1"/>
  <c r="Z35" i="71" s="1"/>
  <c r="N36" i="71"/>
  <c r="Q35" i="71"/>
  <c r="AB31" i="71" s="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E30" i="71"/>
  <c r="E31" i="71" s="1"/>
  <c r="E32" i="71" s="1"/>
  <c r="U32" i="71" s="1"/>
  <c r="E34" i="71"/>
  <c r="E35" i="71" s="1"/>
  <c r="E36" i="71" s="1"/>
  <c r="U36" i="71" s="1"/>
  <c r="C30" i="71"/>
  <c r="D30" i="71" s="1"/>
  <c r="C38" i="71"/>
  <c r="D38" i="71" s="1"/>
  <c r="Y26" i="71"/>
  <c r="Z26" i="71" s="1"/>
  <c r="B28" i="71"/>
  <c r="B27" i="71" s="1"/>
  <c r="C31" i="71"/>
  <c r="D50" i="71"/>
  <c r="P28" i="71"/>
  <c r="E28" i="71" s="1"/>
  <c r="Q28" i="71"/>
  <c r="D62" i="71"/>
  <c r="T68" i="71"/>
  <c r="O68" i="71"/>
  <c r="D68" i="71"/>
  <c r="C67" i="71"/>
  <c r="D67" i="71" s="1"/>
  <c r="E71" i="71"/>
  <c r="E70" i="71" s="1"/>
  <c r="C75" i="71"/>
  <c r="D75" i="71" s="1"/>
  <c r="D76" i="71"/>
  <c r="C79" i="71"/>
  <c r="D80" i="71"/>
  <c r="C74" i="71"/>
  <c r="D74" i="71" s="1"/>
  <c r="D79"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A495" i="3" s="1"/>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A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A535" i="3" s="1"/>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N5" i="3" s="1"/>
  <c r="G29" i="6" s="1"/>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G574" i="3" s="1"/>
  <c r="AC574" i="3"/>
  <c r="BB574" i="3"/>
  <c r="BC574" i="3"/>
  <c r="BD574" i="3"/>
  <c r="BE574" i="3"/>
  <c r="BF574" i="3"/>
  <c r="BA574" i="3" s="1"/>
  <c r="AZ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L582" i="3" s="1"/>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AB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D121" i="39"/>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H34" i="35" s="1"/>
  <c r="B77" i="35"/>
  <c r="B75" i="35"/>
  <c r="J24" i="35" s="1"/>
  <c r="AC24" i="35" s="1"/>
  <c r="B73" i="35"/>
  <c r="B57" i="35"/>
  <c r="B61" i="35"/>
  <c r="B59" i="35"/>
  <c r="B131" i="34"/>
  <c r="B129" i="34"/>
  <c r="B127" i="34"/>
  <c r="B99" i="34"/>
  <c r="H32" i="34" s="1"/>
  <c r="B97" i="34"/>
  <c r="F31" i="34" s="1"/>
  <c r="S31" i="34" s="1"/>
  <c r="B95" i="34"/>
  <c r="B93" i="34"/>
  <c r="B75" i="34"/>
  <c r="B73" i="34"/>
  <c r="B71" i="34"/>
  <c r="J12" i="34" s="1"/>
  <c r="W12" i="34" s="1"/>
  <c r="B130" i="33"/>
  <c r="B128" i="33"/>
  <c r="H45" i="33" s="1"/>
  <c r="B126" i="33"/>
  <c r="F44" i="33" s="1"/>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AA40" i="33"/>
  <c r="Q39" i="33"/>
  <c r="Z39" i="33" s="1"/>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B126" i="21"/>
  <c r="B98" i="21"/>
  <c r="H31" i="21" s="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J45" i="39"/>
  <c r="W45" i="39" s="1"/>
  <c r="J44" i="39"/>
  <c r="AC44" i="39" s="1"/>
  <c r="J35" i="39"/>
  <c r="AC35" i="39" s="1"/>
  <c r="F35" i="39"/>
  <c r="F39" i="37"/>
  <c r="S39" i="37" s="1"/>
  <c r="F29" i="36"/>
  <c r="AA29" i="36" s="1"/>
  <c r="F16" i="36"/>
  <c r="AA16" i="36" s="1"/>
  <c r="W28" i="36"/>
  <c r="H22" i="35"/>
  <c r="AB22" i="35" s="1"/>
  <c r="AC27" i="35"/>
  <c r="W28" i="35"/>
  <c r="U31" i="35"/>
  <c r="S31" i="35"/>
  <c r="F36" i="34"/>
  <c r="J35" i="34"/>
  <c r="H39" i="33"/>
  <c r="AB39" i="33"/>
  <c r="U33" i="33"/>
  <c r="U35" i="33"/>
  <c r="S40" i="33"/>
  <c r="W33" i="33"/>
  <c r="H39" i="37"/>
  <c r="F11" i="40"/>
  <c r="AA11" i="40" s="1"/>
  <c r="H11" i="40"/>
  <c r="AB11" i="40" s="1"/>
  <c r="W8" i="40"/>
  <c r="AA9" i="40"/>
  <c r="U9" i="40"/>
  <c r="S34" i="40"/>
  <c r="U38" i="40"/>
  <c r="S38" i="40"/>
  <c r="H39" i="39"/>
  <c r="U39" i="39" s="1"/>
  <c r="S34" i="39"/>
  <c r="H34" i="39"/>
  <c r="U34" i="39" s="1"/>
  <c r="E108" i="39"/>
  <c r="F31" i="39"/>
  <c r="J23" i="40"/>
  <c r="AC23" i="40" s="1"/>
  <c r="F21" i="40"/>
  <c r="J21" i="40"/>
  <c r="W21" i="40" s="1"/>
  <c r="J34" i="39"/>
  <c r="AC34" i="39" s="1"/>
  <c r="F108" i="39"/>
  <c r="G108" i="39" s="1"/>
  <c r="H108" i="39" s="1"/>
  <c r="I108" i="39" s="1"/>
  <c r="J108" i="39" s="1"/>
  <c r="K108" i="39" s="1"/>
  <c r="L108" i="39" s="1"/>
  <c r="M108" i="39" s="1"/>
  <c r="J31" i="39"/>
  <c r="W31" i="39" s="1"/>
  <c r="H27" i="39"/>
  <c r="U27" i="39" s="1"/>
  <c r="J19" i="39"/>
  <c r="AC19" i="39" s="1"/>
  <c r="F11" i="21"/>
  <c r="S11" i="21" s="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J31" i="21"/>
  <c r="AC31" i="21" s="1"/>
  <c r="F31" i="21"/>
  <c r="S31" i="21" s="1"/>
  <c r="F27" i="33"/>
  <c r="AA27" i="33" s="1"/>
  <c r="J13" i="33"/>
  <c r="H13" i="33"/>
  <c r="U13" i="33" s="1"/>
  <c r="F13" i="33"/>
  <c r="F29" i="33"/>
  <c r="S29" i="33" s="1"/>
  <c r="J45" i="33"/>
  <c r="F45" i="33"/>
  <c r="F14" i="34"/>
  <c r="F32" i="34"/>
  <c r="J32" i="34"/>
  <c r="W32" i="34" s="1"/>
  <c r="H46" i="34"/>
  <c r="F46" i="34"/>
  <c r="J46" i="34"/>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H37" i="37"/>
  <c r="U37" i="37" s="1"/>
  <c r="H40" i="37"/>
  <c r="U40" i="37" s="1"/>
  <c r="J40" i="37"/>
  <c r="F40" i="37"/>
  <c r="AA40" i="37" s="1"/>
  <c r="AC12" i="40"/>
  <c r="W12" i="40"/>
  <c r="H14" i="33"/>
  <c r="U14" i="33" s="1"/>
  <c r="F14" i="33"/>
  <c r="S14" i="33"/>
  <c r="J14" i="33"/>
  <c r="H30" i="33"/>
  <c r="AB30" i="33" s="1"/>
  <c r="F30" i="33"/>
  <c r="J30" i="33"/>
  <c r="H44" i="33"/>
  <c r="J44" i="33"/>
  <c r="AC44" i="33" s="1"/>
  <c r="J46" i="33"/>
  <c r="AC46" i="33" s="1"/>
  <c r="F46" i="33"/>
  <c r="AA46" i="33" s="1"/>
  <c r="H46" i="33"/>
  <c r="AB46" i="33" s="1"/>
  <c r="H13" i="34"/>
  <c r="U13" i="34" s="1"/>
  <c r="J13" i="34"/>
  <c r="W13" i="34" s="1"/>
  <c r="F13" i="34"/>
  <c r="AA13" i="34" s="1"/>
  <c r="J29" i="34"/>
  <c r="F29" i="34"/>
  <c r="S29" i="34"/>
  <c r="H29" i="34"/>
  <c r="AB29" i="34" s="1"/>
  <c r="J31" i="34"/>
  <c r="AC31" i="34" s="1"/>
  <c r="H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H25" i="36"/>
  <c r="AB25" i="36" s="1"/>
  <c r="H13" i="37"/>
  <c r="AB13" i="37" s="1"/>
  <c r="F13" i="37"/>
  <c r="S13" i="37" s="1"/>
  <c r="J13" i="37"/>
  <c r="W13" i="37" s="1"/>
  <c r="F28" i="37"/>
  <c r="AA28" i="37" s="1"/>
  <c r="J28" i="37"/>
  <c r="AC28" i="37"/>
  <c r="H28" i="37"/>
  <c r="F43" i="39"/>
  <c r="AA43" i="39" s="1"/>
  <c r="H43" i="39"/>
  <c r="J14" i="39"/>
  <c r="AC14" i="39" s="1"/>
  <c r="F14" i="39"/>
  <c r="AA14" i="39" s="1"/>
  <c r="H14" i="39"/>
  <c r="AB14" i="39" s="1"/>
  <c r="F12" i="40"/>
  <c r="S12" i="40" s="1"/>
  <c r="H12" i="40"/>
  <c r="H30" i="40"/>
  <c r="AB30" i="40" s="1"/>
  <c r="J35" i="40"/>
  <c r="AC35" i="40" s="1"/>
  <c r="J37" i="40"/>
  <c r="AC37" i="40" s="1"/>
  <c r="H13" i="40"/>
  <c r="U13" i="40" s="1"/>
  <c r="F14" i="37"/>
  <c r="S14" i="37" s="1"/>
  <c r="F27" i="37"/>
  <c r="AA27" i="37"/>
  <c r="F13" i="39"/>
  <c r="J13" i="39"/>
  <c r="W13" i="39" s="1"/>
  <c r="H13" i="39"/>
  <c r="U13" i="39" s="1"/>
  <c r="J14" i="37"/>
  <c r="J27" i="37"/>
  <c r="AC27" i="37" s="1"/>
  <c r="AA14" i="33"/>
  <c r="J36" i="37"/>
  <c r="AC36" i="37"/>
  <c r="J10" i="36"/>
  <c r="AC10" i="36" s="1"/>
  <c r="AA14" i="37"/>
  <c r="F17" i="21"/>
  <c r="AA17" i="21" s="1"/>
  <c r="H17" i="21"/>
  <c r="AB17" i="21" s="1"/>
  <c r="F15" i="21"/>
  <c r="S15" i="21" s="1"/>
  <c r="W44" i="39"/>
  <c r="G544" i="3"/>
  <c r="G540" i="3"/>
  <c r="G536" i="3"/>
  <c r="G535" i="3"/>
  <c r="G532" i="3"/>
  <c r="G531" i="3"/>
  <c r="G528" i="3"/>
  <c r="G527" i="3"/>
  <c r="G518" i="3"/>
  <c r="G514" i="3"/>
  <c r="G510" i="3"/>
  <c r="G508" i="3"/>
  <c r="G500" i="3"/>
  <c r="G496" i="3"/>
  <c r="G584" i="3"/>
  <c r="G576" i="3"/>
  <c r="G572" i="3"/>
  <c r="G568" i="3"/>
  <c r="G564" i="3"/>
  <c r="G554" i="3"/>
  <c r="G550" i="3"/>
  <c r="BL584" i="3"/>
  <c r="BL546" i="3"/>
  <c r="BL542" i="3"/>
  <c r="BL538" i="3"/>
  <c r="BL534" i="3"/>
  <c r="BL512" i="3"/>
  <c r="BL506" i="3"/>
  <c r="BL502" i="3"/>
  <c r="BL498" i="3"/>
  <c r="BL562" i="3"/>
  <c r="BL552" i="3"/>
  <c r="G533" i="3"/>
  <c r="BL532" i="3"/>
  <c r="G529" i="3"/>
  <c r="BL528" i="3"/>
  <c r="G525" i="3"/>
  <c r="BL504" i="3"/>
  <c r="BL500" i="3"/>
  <c r="AZ500" i="3" s="1"/>
  <c r="BL496" i="3"/>
  <c r="G493" i="3"/>
  <c r="BA558" i="3"/>
  <c r="BA556" i="3"/>
  <c r="BA554" i="3"/>
  <c r="AZ554" i="3" s="1"/>
  <c r="BA552" i="3"/>
  <c r="AZ552" i="3" s="1"/>
  <c r="AZ544" i="3"/>
  <c r="BA542" i="3"/>
  <c r="BA540" i="3"/>
  <c r="BA538" i="3"/>
  <c r="BA532" i="3"/>
  <c r="BA530" i="3"/>
  <c r="BA528" i="3"/>
  <c r="AZ528" i="3" s="1"/>
  <c r="BA518" i="3"/>
  <c r="BA516" i="3"/>
  <c r="AZ516" i="3" s="1"/>
  <c r="BA514" i="3"/>
  <c r="BA512" i="3"/>
  <c r="BA504" i="3"/>
  <c r="BA502" i="3"/>
  <c r="BA500" i="3"/>
  <c r="BA498" i="3"/>
  <c r="AZ498" i="3" s="1"/>
  <c r="BA563" i="3"/>
  <c r="AZ563" i="3" s="1"/>
  <c r="BA561" i="3"/>
  <c r="BA559" i="3"/>
  <c r="AZ559" i="3" s="1"/>
  <c r="BA545" i="3"/>
  <c r="BA543" i="3"/>
  <c r="BA541" i="3"/>
  <c r="BA539" i="3"/>
  <c r="BA529" i="3"/>
  <c r="BA527" i="3"/>
  <c r="BA525" i="3"/>
  <c r="BA523" i="3"/>
  <c r="BA511" i="3"/>
  <c r="BA507" i="3"/>
  <c r="BA505" i="3"/>
  <c r="BA503" i="3"/>
  <c r="BA493" i="3"/>
  <c r="AZ560" i="3"/>
  <c r="G583" i="3"/>
  <c r="G581" i="3"/>
  <c r="G579" i="3"/>
  <c r="G577" i="3"/>
  <c r="G575" i="3"/>
  <c r="G569" i="3"/>
  <c r="G567" i="3"/>
  <c r="G565" i="3"/>
  <c r="G561" i="3"/>
  <c r="AC557" i="3"/>
  <c r="BQ557" i="3"/>
  <c r="BL557" i="3" s="1"/>
  <c r="BQ583" i="3"/>
  <c r="BQ581" i="3"/>
  <c r="BQ579" i="3"/>
  <c r="BQ577" i="3"/>
  <c r="BL577" i="3" s="1"/>
  <c r="BQ575" i="3"/>
  <c r="BQ573" i="3"/>
  <c r="BL573" i="3" s="1"/>
  <c r="AZ573" i="3" s="1"/>
  <c r="BQ571" i="3"/>
  <c r="BQ569" i="3"/>
  <c r="BQ567" i="3"/>
  <c r="BQ565" i="3"/>
  <c r="BQ563" i="3"/>
  <c r="BQ561" i="3"/>
  <c r="BL561" i="3" s="1"/>
  <c r="AZ561" i="3" s="1"/>
  <c r="BQ559" i="3"/>
  <c r="BL559" i="3" s="1"/>
  <c r="G559" i="3"/>
  <c r="G553" i="3"/>
  <c r="G549" i="3"/>
  <c r="G547" i="3"/>
  <c r="G545" i="3"/>
  <c r="G543" i="3"/>
  <c r="G541" i="3"/>
  <c r="G537" i="3"/>
  <c r="BQ555" i="3"/>
  <c r="BQ553" i="3"/>
  <c r="BL553" i="3" s="1"/>
  <c r="BQ551" i="3"/>
  <c r="BL551" i="3" s="1"/>
  <c r="BQ549" i="3"/>
  <c r="BL549" i="3" s="1"/>
  <c r="AZ549" i="3" s="1"/>
  <c r="BQ547" i="3"/>
  <c r="BQ545" i="3"/>
  <c r="BL545" i="3" s="1"/>
  <c r="BQ543" i="3"/>
  <c r="BQ541" i="3"/>
  <c r="BL541" i="3" s="1"/>
  <c r="AZ541" i="3" s="1"/>
  <c r="BQ539" i="3"/>
  <c r="BL539" i="3" s="1"/>
  <c r="BQ537" i="3"/>
  <c r="BQ535" i="3"/>
  <c r="BQ533" i="3"/>
  <c r="BQ531" i="3"/>
  <c r="BL531" i="3" s="1"/>
  <c r="AZ531" i="3" s="1"/>
  <c r="BQ529" i="3"/>
  <c r="BL529" i="3" s="1"/>
  <c r="BQ527" i="3"/>
  <c r="BL527" i="3" s="1"/>
  <c r="BQ525" i="3"/>
  <c r="BL525" i="3" s="1"/>
  <c r="BQ523" i="3"/>
  <c r="AC521" i="3"/>
  <c r="G521" i="3" s="1"/>
  <c r="BQ521" i="3"/>
  <c r="BL521" i="3"/>
  <c r="BL520" i="3"/>
  <c r="G519" i="3"/>
  <c r="G517" i="3"/>
  <c r="G515" i="3"/>
  <c r="G513" i="3"/>
  <c r="BQ519" i="3"/>
  <c r="BQ517" i="3"/>
  <c r="BL517" i="3" s="1"/>
  <c r="BQ515" i="3"/>
  <c r="BL515" i="3" s="1"/>
  <c r="BQ513" i="3"/>
  <c r="BL513" i="3" s="1"/>
  <c r="BQ511" i="3"/>
  <c r="AC509" i="3"/>
  <c r="BQ509" i="3"/>
  <c r="BL508" i="3"/>
  <c r="G507" i="3"/>
  <c r="G505" i="3"/>
  <c r="G503" i="3"/>
  <c r="G501" i="3"/>
  <c r="G499"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W47" i="34"/>
  <c r="AC36" i="34"/>
  <c r="W44" i="33"/>
  <c r="U11" i="33"/>
  <c r="U19"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H21" i="40"/>
  <c r="AB21" i="40" s="1"/>
  <c r="AC12" i="37"/>
  <c r="F94" i="37"/>
  <c r="G94" i="37" s="1"/>
  <c r="H94" i="37" s="1"/>
  <c r="I94" i="37" s="1"/>
  <c r="J94" i="37" s="1"/>
  <c r="K94" i="37" s="1"/>
  <c r="L94" i="37" s="1"/>
  <c r="M94" i="37" s="1"/>
  <c r="H31" i="37"/>
  <c r="U31" i="37" s="1"/>
  <c r="J15" i="37"/>
  <c r="W15" i="37" s="1"/>
  <c r="AT6" i="3"/>
  <c r="H19" i="40"/>
  <c r="U19" i="40" s="1"/>
  <c r="F19" i="40"/>
  <c r="S19" i="40" s="1"/>
  <c r="AC43" i="39"/>
  <c r="W43" i="39"/>
  <c r="U45" i="39"/>
  <c r="AB45" i="39"/>
  <c r="AB44" i="39"/>
  <c r="U44" i="39"/>
  <c r="H37" i="39"/>
  <c r="AB37" i="39" s="1"/>
  <c r="H25" i="39"/>
  <c r="J25" i="39"/>
  <c r="F25" i="39"/>
  <c r="AA25" i="39" s="1"/>
  <c r="F15" i="39"/>
  <c r="AA15" i="39" s="1"/>
  <c r="H15" i="39"/>
  <c r="U15" i="39" s="1"/>
  <c r="J15" i="39"/>
  <c r="W15" i="39" s="1"/>
  <c r="W8" i="39"/>
  <c r="J19" i="40"/>
  <c r="AC19" i="40" s="1"/>
  <c r="J50" i="40"/>
  <c r="H103" i="9"/>
  <c r="D8" i="53" s="1"/>
  <c r="B16" i="53"/>
  <c r="B33" i="72" s="1"/>
  <c r="C7" i="37"/>
  <c r="C7" i="34"/>
  <c r="C7" i="36"/>
  <c r="C46" i="36" s="1"/>
  <c r="D46" i="36" s="1"/>
  <c r="E46" i="36" s="1"/>
  <c r="F46" i="36" s="1"/>
  <c r="G46" i="36" s="1"/>
  <c r="H46" i="36" s="1"/>
  <c r="I46" i="36" s="1"/>
  <c r="A118" i="9"/>
  <c r="J11" i="39"/>
  <c r="F11" i="39"/>
  <c r="S11" i="39" s="1"/>
  <c r="G4" i="4"/>
  <c r="I4" i="4"/>
  <c r="F61" i="43"/>
  <c r="H64" i="4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65" i="3"/>
  <c r="BA379" i="3"/>
  <c r="BL380" i="3"/>
  <c r="G381" i="3"/>
  <c r="BA383" i="3"/>
  <c r="AZ383" i="3" s="1"/>
  <c r="BL384" i="3"/>
  <c r="G385" i="3"/>
  <c r="BA387" i="3"/>
  <c r="BL388" i="3"/>
  <c r="G389" i="3"/>
  <c r="BA391" i="3"/>
  <c r="BL392" i="3"/>
  <c r="G393" i="3"/>
  <c r="BO5" i="3"/>
  <c r="BF5" i="3"/>
  <c r="G548" i="3"/>
  <c r="G538" i="3"/>
  <c r="G520" i="3"/>
  <c r="G502" i="3"/>
  <c r="BP5" i="3"/>
  <c r="G17" i="3"/>
  <c r="BA17" i="3"/>
  <c r="AZ17" i="3" s="1"/>
  <c r="BA15" i="3"/>
  <c r="BR5" i="3"/>
  <c r="AZ380" i="3"/>
  <c r="G509" i="3"/>
  <c r="BL493" i="3"/>
  <c r="AZ493" i="3" s="1"/>
  <c r="U36" i="40"/>
  <c r="F83" i="43"/>
  <c r="H85" i="43" s="1"/>
  <c r="F50" i="43"/>
  <c r="H54" i="43" s="1"/>
  <c r="F72" i="43"/>
  <c r="H75" i="43" s="1"/>
  <c r="S14" i="35"/>
  <c r="U43" i="21"/>
  <c r="U35" i="21"/>
  <c r="AC35" i="21"/>
  <c r="G8" i="1"/>
  <c r="G10" i="1"/>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C12" i="39"/>
  <c r="W12" i="39"/>
  <c r="AC39" i="40"/>
  <c r="W39" i="40"/>
  <c r="W12" i="33"/>
  <c r="AC12" i="33"/>
  <c r="AA32" i="36"/>
  <c r="S32" i="36"/>
  <c r="BL14" i="3"/>
  <c r="U30" i="33"/>
  <c r="AC13" i="34"/>
  <c r="W28" i="37"/>
  <c r="F12" i="33"/>
  <c r="H12" i="39"/>
  <c r="U12" i="39" s="1"/>
  <c r="F39" i="40"/>
  <c r="S39" i="40" s="1"/>
  <c r="BA14" i="3"/>
  <c r="B12" i="1"/>
  <c r="E12" i="1" s="1"/>
  <c r="B10" i="1"/>
  <c r="E10" i="1" s="1"/>
  <c r="K12" i="1"/>
  <c r="M12" i="1" s="1"/>
  <c r="S13" i="1"/>
  <c r="AR13" i="1" s="1"/>
  <c r="R13" i="1"/>
  <c r="J51" i="67"/>
  <c r="C42" i="1"/>
  <c r="C24" i="12" s="1"/>
  <c r="AA34" i="33"/>
  <c r="B41" i="1"/>
  <c r="F30" i="68" s="1"/>
  <c r="F48" i="68"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S23" i="36"/>
  <c r="U13" i="36"/>
  <c r="U26" i="36"/>
  <c r="AA26" i="36"/>
  <c r="AA34" i="36"/>
  <c r="AC26" i="36"/>
  <c r="W14" i="36"/>
  <c r="AB14" i="36"/>
  <c r="U22" i="36"/>
  <c r="S16" i="36"/>
  <c r="S24" i="36"/>
  <c r="U24" i="36"/>
  <c r="U23" i="36"/>
  <c r="AB20" i="36"/>
  <c r="U16" i="36"/>
  <c r="S14" i="36"/>
  <c r="W24" i="35"/>
  <c r="AB13" i="35"/>
  <c r="U29" i="35"/>
  <c r="AB27" i="35"/>
  <c r="U36" i="35"/>
  <c r="U32" i="35"/>
  <c r="AC30" i="35"/>
  <c r="S32" i="35"/>
  <c r="AA36" i="35"/>
  <c r="S28" i="35"/>
  <c r="AB16" i="35"/>
  <c r="AC20" i="35"/>
  <c r="S22" i="35"/>
  <c r="U14" i="35"/>
  <c r="AC9" i="35"/>
  <c r="W9" i="35"/>
  <c r="W13" i="35"/>
  <c r="F9" i="35"/>
  <c r="S9" i="35" s="1"/>
  <c r="H9" i="35"/>
  <c r="U9" i="35" s="1"/>
  <c r="AB40" i="37"/>
  <c r="W27" i="37"/>
  <c r="AC29" i="37"/>
  <c r="U29" i="37"/>
  <c r="S36" i="37"/>
  <c r="U32"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W38"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U23"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G13" i="3"/>
  <c r="BA13" i="3"/>
  <c r="BL17"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W28" i="40"/>
  <c r="W34" i="40"/>
  <c r="S36" i="40"/>
  <c r="W37" i="40"/>
  <c r="AA15" i="40"/>
  <c r="U11" i="40"/>
  <c r="S31" i="40"/>
  <c r="AB13" i="40"/>
  <c r="U15" i="40"/>
  <c r="AB17" i="40"/>
  <c r="U8" i="40"/>
  <c r="S8" i="40"/>
  <c r="W25" i="39"/>
  <c r="AC25" i="39"/>
  <c r="AB13" i="39"/>
  <c r="AA13" i="39"/>
  <c r="S13" i="39"/>
  <c r="U43" i="39"/>
  <c r="AB43" i="39"/>
  <c r="AB11" i="39"/>
  <c r="U11" i="39"/>
  <c r="AC31" i="39"/>
  <c r="AB39" i="39"/>
  <c r="W34" i="39"/>
  <c r="U38" i="39"/>
  <c r="S8" i="39"/>
  <c r="S20" i="36"/>
  <c r="U32" i="36"/>
  <c r="W29" i="36"/>
  <c r="U25" i="36"/>
  <c r="AA13" i="36"/>
  <c r="W9" i="36"/>
  <c r="W22" i="36"/>
  <c r="W23" i="36"/>
  <c r="AB20" i="35"/>
  <c r="AC25" i="35"/>
  <c r="U25" i="35"/>
  <c r="S24" i="35"/>
  <c r="U24" i="35"/>
  <c r="S35" i="35"/>
  <c r="W35" i="35"/>
  <c r="AA16" i="35"/>
  <c r="AA35" i="37"/>
  <c r="W36" i="37"/>
  <c r="S27" i="37"/>
  <c r="S28" i="37"/>
  <c r="W32" i="37"/>
  <c r="U36" i="37"/>
  <c r="S40" i="37"/>
  <c r="AB37" i="37"/>
  <c r="AC34" i="37"/>
  <c r="AA31" i="37"/>
  <c r="U19" i="37"/>
  <c r="AA29" i="37"/>
  <c r="U8" i="37"/>
  <c r="AA40" i="34"/>
  <c r="AB40" i="34"/>
  <c r="W19" i="34"/>
  <c r="AB33" i="34"/>
  <c r="AC45" i="34"/>
  <c r="AA31" i="34"/>
  <c r="AB45" i="34"/>
  <c r="AB47" i="34"/>
  <c r="U25" i="34"/>
  <c r="W33" i="34"/>
  <c r="AC32" i="34"/>
  <c r="AC29" i="34"/>
  <c r="W29" i="34"/>
  <c r="W46" i="34"/>
  <c r="AC46" i="34"/>
  <c r="S32" i="34"/>
  <c r="AA32"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W46" i="33"/>
  <c r="U39" i="33"/>
  <c r="U38" i="33"/>
  <c r="S33" i="33"/>
  <c r="AB34" i="33"/>
  <c r="U44" i="33"/>
  <c r="AB44" i="33"/>
  <c r="S30" i="33"/>
  <c r="AA30" i="33"/>
  <c r="AC14" i="33"/>
  <c r="W14" i="33"/>
  <c r="AC30" i="33"/>
  <c r="W30"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AC14" i="21"/>
  <c r="W30" i="21"/>
  <c r="S46" i="21"/>
  <c r="H45" i="21"/>
  <c r="U45" i="21" s="1"/>
  <c r="F29" i="21"/>
  <c r="AA29" i="21" s="1"/>
  <c r="F13" i="21"/>
  <c r="AA13" i="21" s="1"/>
  <c r="AC38" i="21"/>
  <c r="H32" i="21"/>
  <c r="AB32" i="21" s="1"/>
  <c r="H9" i="21"/>
  <c r="AB9" i="21" s="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17" i="21"/>
  <c r="AC26" i="21"/>
  <c r="S28" i="21"/>
  <c r="AC34" i="21"/>
  <c r="AB36" i="21"/>
  <c r="W30" i="40"/>
  <c r="C19" i="39"/>
  <c r="C15" i="40"/>
  <c r="C17" i="40"/>
  <c r="C23" i="40"/>
  <c r="C21" i="40"/>
  <c r="U30" i="40"/>
  <c r="B51" i="43"/>
  <c r="B54" i="43"/>
  <c r="B58" i="43"/>
  <c r="B62" i="43"/>
  <c r="B65" i="43"/>
  <c r="B69" i="43"/>
  <c r="D22" i="15"/>
  <c r="E4" i="4"/>
  <c r="B5" i="62" s="1"/>
  <c r="B73" i="72" s="1"/>
  <c r="C4" i="4"/>
  <c r="F30" i="11"/>
  <c r="C48" i="11" s="1"/>
  <c r="F31" i="12"/>
  <c r="F52" i="9"/>
  <c r="M18" i="67"/>
  <c r="F32" i="67"/>
  <c r="F60" i="67" s="1"/>
  <c r="F30" i="69"/>
  <c r="F48" i="69" s="1"/>
  <c r="M18" i="15"/>
  <c r="AA39" i="40"/>
  <c r="S12" i="33"/>
  <c r="AA12" i="33"/>
  <c r="D68" i="9"/>
  <c r="J32" i="39"/>
  <c r="AC32" i="39" s="1"/>
  <c r="J19" i="37"/>
  <c r="W19" i="37" s="1"/>
  <c r="AA19"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36" i="33"/>
  <c r="W36" i="33" s="1"/>
  <c r="H36" i="33"/>
  <c r="U36" i="33" s="1"/>
  <c r="S36"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F23" i="33"/>
  <c r="AA19" i="33"/>
  <c r="H19" i="33"/>
  <c r="AB19" i="33" s="1"/>
  <c r="H17" i="33"/>
  <c r="U17" i="33" s="1"/>
  <c r="F17" i="33"/>
  <c r="S17" i="33" s="1"/>
  <c r="AC17" i="33"/>
  <c r="AA23" i="21"/>
  <c r="J23" i="21"/>
  <c r="AC23" i="21" s="1"/>
  <c r="F85" i="21"/>
  <c r="G85" i="21" s="1"/>
  <c r="H23" i="21"/>
  <c r="AB23" i="21" s="1"/>
  <c r="AP7" i="1"/>
  <c r="AB45" i="21"/>
  <c r="S32" i="21"/>
  <c r="U32" i="21"/>
  <c r="J11" i="37"/>
  <c r="AC11" i="37" s="1"/>
  <c r="J11" i="34"/>
  <c r="W11" i="34" s="1"/>
  <c r="AB36" i="33"/>
  <c r="AC25"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Y20" i="71"/>
  <c r="Z20" i="71" s="1"/>
  <c r="X3" i="71"/>
  <c r="F8" i="67"/>
  <c r="M26" i="67"/>
  <c r="F7" i="67"/>
  <c r="F43" i="15"/>
  <c r="E7" i="76"/>
  <c r="B10" i="76"/>
  <c r="B12" i="76"/>
  <c r="J15" i="15"/>
  <c r="E2" i="69"/>
  <c r="F9" i="67"/>
  <c r="E13" i="76"/>
  <c r="F7" i="15"/>
  <c r="F42" i="67"/>
  <c r="E10" i="76"/>
  <c r="E8" i="76"/>
  <c r="M23" i="67"/>
  <c r="B13" i="76"/>
  <c r="B9" i="76"/>
  <c r="B8" i="76"/>
  <c r="L48" i="67"/>
  <c r="M22" i="67"/>
  <c r="F3" i="73"/>
  <c r="F43" i="67"/>
  <c r="E9" i="76"/>
  <c r="F7" i="73"/>
  <c r="F4" i="73"/>
  <c r="F6" i="15"/>
  <c r="L47" i="67"/>
  <c r="D6" i="73"/>
  <c r="B11" i="76"/>
  <c r="M24" i="67"/>
  <c r="E11" i="76"/>
  <c r="AO13" i="1"/>
  <c r="F6" i="67"/>
  <c r="M24" i="15"/>
  <c r="M26" i="15"/>
  <c r="F6" i="73"/>
  <c r="B7" i="76"/>
  <c r="M29" i="15"/>
  <c r="F20" i="31"/>
  <c r="E12" i="76"/>
  <c r="F5" i="73"/>
  <c r="F66" i="15" l="1"/>
  <c r="AZ576" i="3"/>
  <c r="U15" i="21"/>
  <c r="AB36" i="34"/>
  <c r="AC20" i="36"/>
  <c r="AA25" i="35"/>
  <c r="AC34" i="33"/>
  <c r="BS5" i="3"/>
  <c r="BH5" i="3"/>
  <c r="AZ309" i="3"/>
  <c r="J38" i="37"/>
  <c r="W45" i="33"/>
  <c r="AC45" i="33"/>
  <c r="F9" i="33"/>
  <c r="AA9" i="33" s="1"/>
  <c r="H9" i="33"/>
  <c r="W38" i="34"/>
  <c r="AC38" i="34"/>
  <c r="AB34" i="37"/>
  <c r="U34" i="37"/>
  <c r="BA557" i="3"/>
  <c r="AZ557" i="3" s="1"/>
  <c r="AZ553" i="3"/>
  <c r="AZ540" i="3"/>
  <c r="BL537" i="3"/>
  <c r="BA536" i="3"/>
  <c r="AZ536" i="3" s="1"/>
  <c r="BA534" i="3"/>
  <c r="AZ534" i="3" s="1"/>
  <c r="AZ522" i="3"/>
  <c r="BA520" i="3"/>
  <c r="AZ520" i="3" s="1"/>
  <c r="BA515" i="3"/>
  <c r="AZ515" i="3" s="1"/>
  <c r="BA513" i="3"/>
  <c r="AZ510" i="3"/>
  <c r="BA508" i="3"/>
  <c r="AZ508" i="3" s="1"/>
  <c r="BA506" i="3"/>
  <c r="AZ506" i="3" s="1"/>
  <c r="BA501" i="3"/>
  <c r="AZ501" i="3" s="1"/>
  <c r="BA499" i="3"/>
  <c r="AZ499" i="3" s="1"/>
  <c r="AZ496" i="3"/>
  <c r="AZ180" i="3"/>
  <c r="U19" i="34"/>
  <c r="BA584" i="3"/>
  <c r="AZ584" i="3" s="1"/>
  <c r="AZ582" i="3"/>
  <c r="BA575" i="3"/>
  <c r="AZ575" i="3" s="1"/>
  <c r="BA568" i="3"/>
  <c r="AZ568" i="3" s="1"/>
  <c r="BA566" i="3"/>
  <c r="AZ566" i="3" s="1"/>
  <c r="AC13" i="39"/>
  <c r="AZ188" i="3"/>
  <c r="J31" i="33"/>
  <c r="W31" i="33" s="1"/>
  <c r="H31" i="33"/>
  <c r="F31" i="33"/>
  <c r="H30" i="34"/>
  <c r="F30" i="34"/>
  <c r="J30" i="34"/>
  <c r="H11" i="35"/>
  <c r="AB11" i="35" s="1"/>
  <c r="J11" i="35"/>
  <c r="F11" i="35"/>
  <c r="AC22" i="35"/>
  <c r="W22" i="35"/>
  <c r="AA42" i="34"/>
  <c r="S42" i="34"/>
  <c r="F36" i="39"/>
  <c r="J36" i="39"/>
  <c r="AC36" i="39" s="1"/>
  <c r="H36" i="39"/>
  <c r="H32" i="39"/>
  <c r="AB32" i="39" s="1"/>
  <c r="F28" i="15"/>
  <c r="C28" i="15" s="1"/>
  <c r="F28" i="67"/>
  <c r="AA15" i="21"/>
  <c r="W27" i="40"/>
  <c r="D120" i="9"/>
  <c r="D121" i="9" s="1"/>
  <c r="D7" i="52" s="1"/>
  <c r="S43" i="34"/>
  <c r="AA38" i="37"/>
  <c r="AB12" i="39"/>
  <c r="AA32" i="37"/>
  <c r="AZ389" i="3"/>
  <c r="AZ356" i="3"/>
  <c r="AZ329" i="3"/>
  <c r="AZ306" i="3"/>
  <c r="W35" i="40"/>
  <c r="AZ504" i="3"/>
  <c r="H38" i="37"/>
  <c r="BA587" i="3"/>
  <c r="S44" i="33"/>
  <c r="AA44" i="33"/>
  <c r="AA27" i="35"/>
  <c r="S27" i="35"/>
  <c r="U41" i="21"/>
  <c r="AB34" i="39"/>
  <c r="BL581" i="3"/>
  <c r="AZ503" i="3"/>
  <c r="AZ512" i="3"/>
  <c r="AZ538" i="3"/>
  <c r="W31" i="34"/>
  <c r="U46" i="34"/>
  <c r="AB46" i="34"/>
  <c r="U34" i="36"/>
  <c r="BE5" i="3"/>
  <c r="S37" i="21"/>
  <c r="AB23" i="33"/>
  <c r="W35" i="33"/>
  <c r="F54" i="9"/>
  <c r="F32" i="15"/>
  <c r="F60" i="15" s="1"/>
  <c r="W39" i="21"/>
  <c r="AC37" i="33"/>
  <c r="W30" i="37"/>
  <c r="U22" i="35"/>
  <c r="BG5" i="3"/>
  <c r="AZ364" i="3"/>
  <c r="AZ337" i="3"/>
  <c r="AZ376" i="3"/>
  <c r="AZ525" i="3"/>
  <c r="BL583" i="3"/>
  <c r="AZ583" i="3" s="1"/>
  <c r="BL572" i="3"/>
  <c r="AZ572" i="3" s="1"/>
  <c r="J45" i="21"/>
  <c r="J11" i="36"/>
  <c r="AC11" i="36" s="1"/>
  <c r="H11" i="36"/>
  <c r="U11" i="36" s="1"/>
  <c r="F11" i="36"/>
  <c r="E121" i="39"/>
  <c r="F121" i="39" s="1"/>
  <c r="G121" i="39" s="1"/>
  <c r="H121" i="39" s="1"/>
  <c r="I121" i="39" s="1"/>
  <c r="J121" i="39" s="1"/>
  <c r="K121" i="39" s="1"/>
  <c r="L121" i="39" s="1"/>
  <c r="M121" i="39" s="1"/>
  <c r="H40" i="39"/>
  <c r="AB40" i="39" s="1"/>
  <c r="J40" i="39"/>
  <c r="J27" i="39"/>
  <c r="AC27" i="39" s="1"/>
  <c r="F27" i="39"/>
  <c r="F100" i="39"/>
  <c r="G100" i="39" s="1"/>
  <c r="AA37" i="33"/>
  <c r="AB31" i="37"/>
  <c r="BI5" i="3"/>
  <c r="E10" i="6" s="1"/>
  <c r="AZ391" i="3"/>
  <c r="AZ304" i="3"/>
  <c r="BL569" i="3"/>
  <c r="AB30" i="21"/>
  <c r="B101" i="43"/>
  <c r="B79" i="43"/>
  <c r="C25" i="39"/>
  <c r="E125" i="39"/>
  <c r="F125" i="39" s="1"/>
  <c r="G125" i="39" s="1"/>
  <c r="H125" i="39" s="1"/>
  <c r="I125" i="39" s="1"/>
  <c r="J125" i="39" s="1"/>
  <c r="K125" i="39" s="1"/>
  <c r="L125" i="39" s="1"/>
  <c r="M125" i="39" s="1"/>
  <c r="H42" i="39"/>
  <c r="F42" i="39"/>
  <c r="J42" i="39"/>
  <c r="AC42" i="39" s="1"/>
  <c r="J33" i="40"/>
  <c r="F33" i="40"/>
  <c r="H33" i="40"/>
  <c r="AB33" i="40" s="1"/>
  <c r="H14" i="40"/>
  <c r="AB14" i="40" s="1"/>
  <c r="J14" i="40"/>
  <c r="F14" i="40"/>
  <c r="W19" i="40"/>
  <c r="W32" i="33"/>
  <c r="AC17" i="21"/>
  <c r="AB28" i="36"/>
  <c r="AB28" i="40"/>
  <c r="F48" i="9"/>
  <c r="O52" i="9" s="1"/>
  <c r="F32" i="83"/>
  <c r="F60" i="83" s="1"/>
  <c r="F28" i="83"/>
  <c r="C28" i="83" s="1"/>
  <c r="M18" i="83"/>
  <c r="AA47" i="34"/>
  <c r="AC5" i="3"/>
  <c r="AZ379" i="3"/>
  <c r="AZ322" i="3"/>
  <c r="BL571" i="3"/>
  <c r="AZ532" i="3"/>
  <c r="S14" i="34"/>
  <c r="AA14" i="34"/>
  <c r="AA35" i="39"/>
  <c r="S35" i="39"/>
  <c r="J27" i="21"/>
  <c r="F27" i="21"/>
  <c r="AA40" i="21"/>
  <c r="S40" i="21"/>
  <c r="F90" i="39"/>
  <c r="G90" i="39" s="1"/>
  <c r="H17" i="39"/>
  <c r="AB17" i="39" s="1"/>
  <c r="J13" i="40"/>
  <c r="F13" i="40"/>
  <c r="H5" i="3"/>
  <c r="BD5" i="3"/>
  <c r="BM5" i="3"/>
  <c r="C32" i="71"/>
  <c r="D31" i="71"/>
  <c r="AA39" i="71"/>
  <c r="AA38" i="71"/>
  <c r="H39" i="40"/>
  <c r="BA485" i="3"/>
  <c r="BA488" i="3"/>
  <c r="AZ488" i="3" s="1"/>
  <c r="BL224" i="3"/>
  <c r="BL227" i="3"/>
  <c r="BA148" i="3"/>
  <c r="AZ148" i="3" s="1"/>
  <c r="G48" i="3"/>
  <c r="D63" i="71"/>
  <c r="C47" i="71"/>
  <c r="D47" i="71" s="1"/>
  <c r="D46" i="71"/>
  <c r="U76" i="71"/>
  <c r="E75" i="71"/>
  <c r="E74" i="71" s="1"/>
  <c r="F22" i="71"/>
  <c r="F21" i="71" s="1"/>
  <c r="F20" i="71" s="1"/>
  <c r="F19" i="71" s="1"/>
  <c r="F18" i="71" s="1"/>
  <c r="F17" i="71" s="1"/>
  <c r="BL509" i="3"/>
  <c r="AZ509" i="3" s="1"/>
  <c r="BL519" i="3"/>
  <c r="AZ519" i="3" s="1"/>
  <c r="BL543" i="3"/>
  <c r="AZ543" i="3" s="1"/>
  <c r="S44" i="34"/>
  <c r="BA406" i="3"/>
  <c r="AZ406" i="3" s="1"/>
  <c r="BA407" i="3"/>
  <c r="BL409" i="3"/>
  <c r="BL411" i="3"/>
  <c r="BL419" i="3"/>
  <c r="BA476" i="3"/>
  <c r="B71" i="71"/>
  <c r="B70" i="71" s="1"/>
  <c r="S72" i="71"/>
  <c r="B18" i="71"/>
  <c r="B17" i="71" s="1"/>
  <c r="AC28" i="21"/>
  <c r="F12" i="36"/>
  <c r="F26" i="33"/>
  <c r="G570" i="3"/>
  <c r="M20" i="15"/>
  <c r="F34" i="83"/>
  <c r="F62" i="83" s="1"/>
  <c r="M20" i="83"/>
  <c r="G14" i="3"/>
  <c r="BL440" i="3"/>
  <c r="BL242" i="3"/>
  <c r="AB34" i="71"/>
  <c r="P68" i="71"/>
  <c r="E67" i="71"/>
  <c r="BL535" i="3"/>
  <c r="AZ577" i="3"/>
  <c r="G563" i="3"/>
  <c r="BT5" i="3"/>
  <c r="G408" i="3"/>
  <c r="BL443" i="3"/>
  <c r="BA458" i="3"/>
  <c r="BA462" i="3"/>
  <c r="BA466" i="3"/>
  <c r="BL220" i="3"/>
  <c r="BL221" i="3"/>
  <c r="BL262" i="3"/>
  <c r="BL135" i="3"/>
  <c r="AZ135" i="3" s="1"/>
  <c r="BA67" i="3"/>
  <c r="F28" i="71"/>
  <c r="F27" i="71" s="1"/>
  <c r="F26" i="71" s="1"/>
  <c r="AB28" i="71"/>
  <c r="X31" i="71"/>
  <c r="D88" i="71"/>
  <c r="C87" i="71"/>
  <c r="BL511" i="3"/>
  <c r="AZ511" i="3" s="1"/>
  <c r="BL523" i="3"/>
  <c r="AZ523" i="3" s="1"/>
  <c r="BL547" i="3"/>
  <c r="BA402" i="3"/>
  <c r="AZ402" i="3" s="1"/>
  <c r="BL408" i="3"/>
  <c r="BA413" i="3"/>
  <c r="BL416" i="3"/>
  <c r="BL417" i="3"/>
  <c r="BL418" i="3"/>
  <c r="BA473" i="3"/>
  <c r="BL213" i="3"/>
  <c r="BA248" i="3"/>
  <c r="BL259" i="3"/>
  <c r="BA207" i="3"/>
  <c r="BL20" i="3"/>
  <c r="BA26" i="3"/>
  <c r="BL28" i="3"/>
  <c r="BA33" i="3"/>
  <c r="BL44" i="3"/>
  <c r="BA94" i="3"/>
  <c r="U68" i="71"/>
  <c r="AA30" i="71"/>
  <c r="G558" i="3"/>
  <c r="BA400" i="3"/>
  <c r="AZ400" i="3" s="1"/>
  <c r="BL423" i="3"/>
  <c r="G424" i="3"/>
  <c r="BL433" i="3"/>
  <c r="G271" i="3"/>
  <c r="BA280" i="3"/>
  <c r="AZ280" i="3" s="1"/>
  <c r="BA157" i="3"/>
  <c r="BL167" i="3"/>
  <c r="AZ167" i="3" s="1"/>
  <c r="BL91" i="3"/>
  <c r="B39" i="71"/>
  <c r="B40" i="71" s="1"/>
  <c r="S40" i="71" s="1"/>
  <c r="G404" i="3"/>
  <c r="BL413" i="3"/>
  <c r="G415" i="3"/>
  <c r="BA420" i="3"/>
  <c r="BL465" i="3"/>
  <c r="AZ487" i="3"/>
  <c r="G270" i="3"/>
  <c r="BA278" i="3"/>
  <c r="AZ278" i="3" s="1"/>
  <c r="BA132" i="3"/>
  <c r="AZ132" i="3" s="1"/>
  <c r="BA156" i="3"/>
  <c r="AZ156" i="3" s="1"/>
  <c r="BA180" i="3"/>
  <c r="BL182" i="3"/>
  <c r="BA188" i="3"/>
  <c r="BA196" i="3"/>
  <c r="AZ196" i="3" s="1"/>
  <c r="BA72" i="3"/>
  <c r="BL74" i="3"/>
  <c r="BL75" i="3"/>
  <c r="V80" i="71"/>
  <c r="F79" i="71"/>
  <c r="F78" i="71" s="1"/>
  <c r="D84" i="71"/>
  <c r="C83" i="71"/>
  <c r="G435" i="3"/>
  <c r="BL435" i="3"/>
  <c r="BL436" i="3"/>
  <c r="G445" i="3"/>
  <c r="BA451" i="3"/>
  <c r="BA467" i="3"/>
  <c r="BA468" i="3"/>
  <c r="BL469" i="3"/>
  <c r="G470" i="3"/>
  <c r="G471" i="3"/>
  <c r="BL471" i="3"/>
  <c r="BA477" i="3"/>
  <c r="BL479" i="3"/>
  <c r="BL490" i="3"/>
  <c r="BA331" i="3"/>
  <c r="AZ331" i="3" s="1"/>
  <c r="BA339" i="3"/>
  <c r="AZ339" i="3" s="1"/>
  <c r="G358" i="3"/>
  <c r="G384" i="3"/>
  <c r="G392" i="3"/>
  <c r="BL211" i="3"/>
  <c r="BL222" i="3"/>
  <c r="BL223" i="3"/>
  <c r="G224" i="3"/>
  <c r="G226" i="3"/>
  <c r="BA231" i="3"/>
  <c r="AZ231" i="3" s="1"/>
  <c r="BL233" i="3"/>
  <c r="G235" i="3"/>
  <c r="G251" i="3"/>
  <c r="BA260" i="3"/>
  <c r="BA262" i="3"/>
  <c r="G265" i="3"/>
  <c r="BA275" i="3"/>
  <c r="G280" i="3"/>
  <c r="G282" i="3"/>
  <c r="G294" i="3"/>
  <c r="BA120" i="3"/>
  <c r="AZ120" i="3" s="1"/>
  <c r="BA122" i="3"/>
  <c r="AZ122" i="3" s="1"/>
  <c r="BA129" i="3"/>
  <c r="G136" i="3"/>
  <c r="BL143" i="3"/>
  <c r="AZ143" i="3" s="1"/>
  <c r="G155" i="3"/>
  <c r="BA162" i="3"/>
  <c r="G174" i="3"/>
  <c r="G184" i="3"/>
  <c r="BA189" i="3"/>
  <c r="BL191" i="3"/>
  <c r="AZ191" i="3" s="1"/>
  <c r="G192" i="3"/>
  <c r="G202" i="3"/>
  <c r="G203" i="3"/>
  <c r="BA52" i="3"/>
  <c r="AZ52" i="3" s="1"/>
  <c r="BL62" i="3"/>
  <c r="BL63" i="3"/>
  <c r="G74" i="3"/>
  <c r="BA88" i="3"/>
  <c r="G92" i="3"/>
  <c r="BL100" i="3"/>
  <c r="BL110" i="3"/>
  <c r="BL111" i="3"/>
  <c r="B26" i="71"/>
  <c r="X25" i="71"/>
  <c r="X35" i="71"/>
  <c r="B48" i="71"/>
  <c r="S48" i="71" s="1"/>
  <c r="BA439" i="3"/>
  <c r="BA440" i="3"/>
  <c r="BA449" i="3"/>
  <c r="AZ449" i="3" s="1"/>
  <c r="BL451" i="3"/>
  <c r="BL453" i="3"/>
  <c r="BL454" i="3"/>
  <c r="G469" i="3"/>
  <c r="G382" i="3"/>
  <c r="BL208" i="3"/>
  <c r="BA217" i="3"/>
  <c r="BA228" i="3"/>
  <c r="AZ228" i="3" s="1"/>
  <c r="BA245" i="3"/>
  <c r="BL245" i="3"/>
  <c r="BA257" i="3"/>
  <c r="AZ257" i="3" s="1"/>
  <c r="BL257" i="3"/>
  <c r="BL258" i="3"/>
  <c r="G292" i="3"/>
  <c r="BL292" i="3"/>
  <c r="BA298" i="3"/>
  <c r="AZ298" i="3" s="1"/>
  <c r="BA168" i="3"/>
  <c r="AZ168" i="3" s="1"/>
  <c r="G172" i="3"/>
  <c r="BA25" i="3"/>
  <c r="BL35" i="3"/>
  <c r="BA40" i="3"/>
  <c r="G44" i="3"/>
  <c r="BL52" i="3"/>
  <c r="BA69" i="3"/>
  <c r="G73" i="3"/>
  <c r="BA77" i="3"/>
  <c r="G81" i="3"/>
  <c r="BL97" i="3"/>
  <c r="AZ97" i="3" s="1"/>
  <c r="BL108" i="3"/>
  <c r="G1" i="83"/>
  <c r="AC21" i="21"/>
  <c r="W25" i="40"/>
  <c r="S18" i="36"/>
  <c r="P27" i="6"/>
  <c r="AA35" i="71"/>
  <c r="BL399" i="3"/>
  <c r="G400" i="3"/>
  <c r="BL420" i="3"/>
  <c r="G422" i="3"/>
  <c r="G423" i="3"/>
  <c r="BL430" i="3"/>
  <c r="G431" i="3"/>
  <c r="G432" i="3"/>
  <c r="BL432" i="3"/>
  <c r="BA437" i="3"/>
  <c r="G441" i="3"/>
  <c r="BA448" i="3"/>
  <c r="BA463" i="3"/>
  <c r="AZ463" i="3" s="1"/>
  <c r="BA465" i="3"/>
  <c r="AZ465" i="3" s="1"/>
  <c r="G467" i="3"/>
  <c r="G477" i="3"/>
  <c r="BL484" i="3"/>
  <c r="G323" i="3"/>
  <c r="G347" i="3"/>
  <c r="BA242" i="3"/>
  <c r="BA255" i="3"/>
  <c r="AZ255" i="3" s="1"/>
  <c r="BL255" i="3"/>
  <c r="G257" i="3"/>
  <c r="G274" i="3"/>
  <c r="G300" i="3"/>
  <c r="G152" i="3"/>
  <c r="BA194" i="3"/>
  <c r="G199" i="3"/>
  <c r="G18" i="3"/>
  <c r="G26" i="3"/>
  <c r="G27" i="3"/>
  <c r="BA39" i="3"/>
  <c r="G43" i="3"/>
  <c r="G79" i="3"/>
  <c r="G87" i="3"/>
  <c r="G88" i="3"/>
  <c r="BL96" i="3"/>
  <c r="C29" i="39"/>
  <c r="F31" i="71"/>
  <c r="F32" i="71" s="1"/>
  <c r="V32" i="71" s="1"/>
  <c r="AB36" i="71"/>
  <c r="E47" i="71"/>
  <c r="E48" i="71" s="1"/>
  <c r="U48" i="71" s="1"/>
  <c r="E59" i="71"/>
  <c r="E60" i="71" s="1"/>
  <c r="U60" i="71" s="1"/>
  <c r="F71" i="71"/>
  <c r="F70" i="71" s="1"/>
  <c r="BA481" i="3"/>
  <c r="BA319" i="3"/>
  <c r="AZ319" i="3" s="1"/>
  <c r="BA335" i="3"/>
  <c r="AZ335" i="3" s="1"/>
  <c r="BA384" i="3"/>
  <c r="AZ384" i="3" s="1"/>
  <c r="BA386" i="3"/>
  <c r="AZ386" i="3" s="1"/>
  <c r="BL395" i="3"/>
  <c r="BA216" i="3"/>
  <c r="AZ216" i="3" s="1"/>
  <c r="BA226" i="3"/>
  <c r="BA240" i="3"/>
  <c r="AZ240" i="3" s="1"/>
  <c r="BL240" i="3"/>
  <c r="BA270" i="3"/>
  <c r="BL289" i="3"/>
  <c r="BA294" i="3"/>
  <c r="BA125" i="3"/>
  <c r="BL139" i="3"/>
  <c r="AZ139" i="3" s="1"/>
  <c r="BL141" i="3"/>
  <c r="BL161" i="3"/>
  <c r="BL169" i="3"/>
  <c r="BA185" i="3"/>
  <c r="BA193" i="3"/>
  <c r="BL195" i="3"/>
  <c r="AZ195" i="3" s="1"/>
  <c r="BA205" i="3"/>
  <c r="AZ205" i="3" s="1"/>
  <c r="BA22" i="3"/>
  <c r="BL24" i="3"/>
  <c r="BA30" i="3"/>
  <c r="BA47" i="3"/>
  <c r="BA92" i="3"/>
  <c r="BL105" i="3"/>
  <c r="BL107" i="3"/>
  <c r="X36" i="71"/>
  <c r="B30" i="71"/>
  <c r="B31" i="71" s="1"/>
  <c r="B32" i="71" s="1"/>
  <c r="S32" i="71" s="1"/>
  <c r="F35" i="71"/>
  <c r="F36" i="71" s="1"/>
  <c r="V36" i="71" s="1"/>
  <c r="C43" i="71"/>
  <c r="F47" i="71"/>
  <c r="F48" i="71" s="1"/>
  <c r="V48" i="71" s="1"/>
  <c r="B51" i="71"/>
  <c r="B52" i="71" s="1"/>
  <c r="S52" i="71" s="1"/>
  <c r="G398" i="3"/>
  <c r="G399" i="3"/>
  <c r="G430" i="3"/>
  <c r="G438" i="3"/>
  <c r="BA445" i="3"/>
  <c r="BA447" i="3"/>
  <c r="AZ447" i="3" s="1"/>
  <c r="G449" i="3"/>
  <c r="BL462" i="3"/>
  <c r="G464" i="3"/>
  <c r="BA480" i="3"/>
  <c r="BA491" i="3"/>
  <c r="BL328" i="3"/>
  <c r="AZ328" i="3" s="1"/>
  <c r="G329" i="3"/>
  <c r="G216" i="3"/>
  <c r="BL229" i="3"/>
  <c r="AZ229" i="3" s="1"/>
  <c r="BL254" i="3"/>
  <c r="BL269" i="3"/>
  <c r="G273" i="3"/>
  <c r="G287" i="3"/>
  <c r="G288" i="3"/>
  <c r="BA293" i="3"/>
  <c r="BA114" i="3"/>
  <c r="BA124" i="3"/>
  <c r="AZ124" i="3" s="1"/>
  <c r="BL127" i="3"/>
  <c r="AZ127" i="3" s="1"/>
  <c r="G150" i="3"/>
  <c r="G178" i="3"/>
  <c r="BL178" i="3"/>
  <c r="BL186" i="3"/>
  <c r="G195" i="3"/>
  <c r="G206" i="3"/>
  <c r="BA21" i="3"/>
  <c r="BL23" i="3"/>
  <c r="BA29" i="3"/>
  <c r="G32" i="3"/>
  <c r="G33" i="3"/>
  <c r="BL47" i="3"/>
  <c r="G49" i="3"/>
  <c r="G50" i="3"/>
  <c r="BA55" i="3"/>
  <c r="BL57" i="3"/>
  <c r="G59" i="3"/>
  <c r="G85" i="3"/>
  <c r="BL85" i="3"/>
  <c r="G95" i="3"/>
  <c r="BA102" i="3"/>
  <c r="D72" i="71"/>
  <c r="AB33" i="71"/>
  <c r="Y30" i="71"/>
  <c r="Z30" i="71" s="1"/>
  <c r="F59" i="71"/>
  <c r="F60" i="71" s="1"/>
  <c r="V60" i="71" s="1"/>
  <c r="BA424" i="3"/>
  <c r="BL427" i="3"/>
  <c r="G428" i="3"/>
  <c r="BL428" i="3"/>
  <c r="BL429" i="3"/>
  <c r="BA443" i="3"/>
  <c r="AZ443" i="3" s="1"/>
  <c r="BA444" i="3"/>
  <c r="G448" i="3"/>
  <c r="BL458" i="3"/>
  <c r="BL459" i="3"/>
  <c r="G461" i="3"/>
  <c r="BA469" i="3"/>
  <c r="BL472" i="3"/>
  <c r="G474" i="3"/>
  <c r="BL475" i="3"/>
  <c r="G227" i="3"/>
  <c r="BL237" i="3"/>
  <c r="BL238" i="3"/>
  <c r="G239" i="3"/>
  <c r="G253" i="3"/>
  <c r="BL267" i="3"/>
  <c r="G269" i="3"/>
  <c r="BL272" i="3"/>
  <c r="BA283" i="3"/>
  <c r="AZ283" i="3" s="1"/>
  <c r="BL283" i="3"/>
  <c r="BL284" i="3"/>
  <c r="G285" i="3"/>
  <c r="BA133" i="3"/>
  <c r="BL133" i="3"/>
  <c r="BL134" i="3"/>
  <c r="BL146" i="3"/>
  <c r="G147" i="3"/>
  <c r="BL158" i="3"/>
  <c r="G159" i="3"/>
  <c r="G167" i="3"/>
  <c r="BL175" i="3"/>
  <c r="AZ175" i="3" s="1"/>
  <c r="G176" i="3"/>
  <c r="G31" i="3"/>
  <c r="G57" i="3"/>
  <c r="G68" i="3"/>
  <c r="BL68" i="3"/>
  <c r="BA73" i="3"/>
  <c r="BL76" i="3"/>
  <c r="G84" i="3"/>
  <c r="BA91" i="3"/>
  <c r="AZ91" i="3" s="1"/>
  <c r="G93" i="3"/>
  <c r="AC21" i="33"/>
  <c r="AA3" i="71"/>
  <c r="Y37" i="71"/>
  <c r="Z37" i="71" s="1"/>
  <c r="E63" i="71"/>
  <c r="E64" i="71" s="1"/>
  <c r="U64" i="71" s="1"/>
  <c r="C40" i="68"/>
  <c r="C40" i="69"/>
  <c r="C21" i="68"/>
  <c r="C40" i="11"/>
  <c r="F19" i="39"/>
  <c r="H19" i="39"/>
  <c r="AB19" i="39"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9" i="39"/>
  <c r="B67" i="43"/>
  <c r="B56" i="43"/>
  <c r="W29" i="39"/>
  <c r="U31" i="39"/>
  <c r="U32" i="39"/>
  <c r="AB27" i="39"/>
  <c r="U37" i="39"/>
  <c r="U29" i="39"/>
  <c r="U14" i="39"/>
  <c r="U17" i="39"/>
  <c r="S21" i="39"/>
  <c r="S23" i="39"/>
  <c r="S14" i="39"/>
  <c r="S43" i="39"/>
  <c r="AA11" i="39"/>
  <c r="S40" i="39"/>
  <c r="S32" i="39"/>
  <c r="AA39" i="39"/>
  <c r="AA41" i="39"/>
  <c r="S15" i="39"/>
  <c r="W9" i="39"/>
  <c r="U9" i="39"/>
  <c r="S9" i="39"/>
  <c r="F34" i="15"/>
  <c r="F62" i="15" s="1"/>
  <c r="M20" i="67"/>
  <c r="E19" i="11"/>
  <c r="D23" i="15"/>
  <c r="BL13" i="3"/>
  <c r="S27" i="40"/>
  <c r="U25" i="39"/>
  <c r="AB25" i="39"/>
  <c r="U14" i="40"/>
  <c r="AZ527" i="3"/>
  <c r="AC16" i="35"/>
  <c r="W16" i="35"/>
  <c r="AA17" i="33"/>
  <c r="AA20" i="35"/>
  <c r="S20" i="35"/>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497" i="3"/>
  <c r="AZ571" i="3"/>
  <c r="AZ579" i="3"/>
  <c r="AZ542" i="3"/>
  <c r="AZ502" i="3"/>
  <c r="U46" i="33"/>
  <c r="U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BA564" i="3"/>
  <c r="AZ564" i="3" s="1"/>
  <c r="BK5" i="3"/>
  <c r="BC5" i="3"/>
  <c r="BJ5" i="3"/>
  <c r="BB5" i="3"/>
  <c r="BL556" i="3"/>
  <c r="AZ556" i="3" s="1"/>
  <c r="AC36" i="40"/>
  <c r="AZ14" i="3"/>
  <c r="AZ357" i="3"/>
  <c r="AZ334" i="3"/>
  <c r="AZ394" i="3"/>
  <c r="AZ325" i="3"/>
  <c r="AZ513" i="3"/>
  <c r="AZ524" i="3"/>
  <c r="AZ570" i="3"/>
  <c r="AC40" i="37"/>
  <c r="W40" i="37"/>
  <c r="AA11" i="36"/>
  <c r="S11" i="36"/>
  <c r="BL585" i="3"/>
  <c r="BA585" i="3"/>
  <c r="J29" i="21"/>
  <c r="H29" i="21"/>
  <c r="F44" i="21"/>
  <c r="J44" i="21"/>
  <c r="B97" i="43"/>
  <c r="B75" i="43"/>
  <c r="W39" i="33"/>
  <c r="AC39" i="33"/>
  <c r="J29" i="33"/>
  <c r="H29" i="33"/>
  <c r="U45" i="33"/>
  <c r="AB45" i="33"/>
  <c r="H14" i="34"/>
  <c r="J14" i="34"/>
  <c r="F12" i="35"/>
  <c r="AA12" i="35" s="1"/>
  <c r="J12" i="35"/>
  <c r="H12" i="35"/>
  <c r="AZ387" i="3"/>
  <c r="AZ362" i="3"/>
  <c r="AZ338" i="3"/>
  <c r="AZ390" i="3"/>
  <c r="AZ371" i="3"/>
  <c r="AZ351" i="3"/>
  <c r="AZ336" i="3"/>
  <c r="AZ305" i="3"/>
  <c r="AZ360" i="3"/>
  <c r="AC31" i="33"/>
  <c r="AZ539" i="3"/>
  <c r="BL565" i="3"/>
  <c r="G557" i="3"/>
  <c r="AZ529" i="3"/>
  <c r="AZ537" i="3"/>
  <c r="AZ518" i="3"/>
  <c r="AZ526" i="3"/>
  <c r="AZ546" i="3"/>
  <c r="AZ580" i="3"/>
  <c r="AB26" i="33"/>
  <c r="AA29" i="35"/>
  <c r="AB17" i="34"/>
  <c r="H25" i="37"/>
  <c r="F25" i="37"/>
  <c r="AZ419" i="3"/>
  <c r="AZ469"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2" i="3"/>
  <c r="G443" i="3"/>
  <c r="BA446" i="3"/>
  <c r="BA450" i="3"/>
  <c r="AZ450" i="3" s="1"/>
  <c r="BA453" i="3"/>
  <c r="BA455" i="3"/>
  <c r="AZ455" i="3" s="1"/>
  <c r="BL457" i="3"/>
  <c r="BL460" i="3"/>
  <c r="BL461" i="3"/>
  <c r="BL463" i="3"/>
  <c r="G465" i="3"/>
  <c r="BA471" i="3"/>
  <c r="AZ471" i="3" s="1"/>
  <c r="G486" i="3"/>
  <c r="G488" i="3"/>
  <c r="BL317" i="3"/>
  <c r="G318" i="3"/>
  <c r="BL340" i="3"/>
  <c r="AZ340" i="3" s="1"/>
  <c r="BL346" i="3"/>
  <c r="AZ346" i="3" s="1"/>
  <c r="G349" i="3"/>
  <c r="G364" i="3"/>
  <c r="BA367" i="3"/>
  <c r="AZ367" i="3" s="1"/>
  <c r="BA370" i="3"/>
  <c r="AZ370" i="3" s="1"/>
  <c r="BL385" i="3"/>
  <c r="BA212" i="3"/>
  <c r="AZ212" i="3" s="1"/>
  <c r="BA218" i="3"/>
  <c r="BL218" i="3"/>
  <c r="BA225" i="3"/>
  <c r="BA227" i="3"/>
  <c r="AZ227" i="3" s="1"/>
  <c r="BL230" i="3"/>
  <c r="BL231" i="3"/>
  <c r="BA251" i="3"/>
  <c r="BL251" i="3"/>
  <c r="BL15" i="3"/>
  <c r="AZ15" i="3" s="1"/>
  <c r="BA398" i="3"/>
  <c r="BA399" i="3"/>
  <c r="AZ399" i="3" s="1"/>
  <c r="BL401" i="3"/>
  <c r="BL404" i="3"/>
  <c r="BL405" i="3"/>
  <c r="BL407" i="3"/>
  <c r="AZ407" i="3" s="1"/>
  <c r="BA412" i="3"/>
  <c r="AZ412" i="3" s="1"/>
  <c r="BA414" i="3"/>
  <c r="BA415" i="3"/>
  <c r="BA416" i="3"/>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AZ478" i="3" s="1"/>
  <c r="G479" i="3"/>
  <c r="G480" i="3"/>
  <c r="BL480" i="3"/>
  <c r="AZ480" i="3" s="1"/>
  <c r="G482" i="3"/>
  <c r="BA483" i="3"/>
  <c r="BL483" i="3"/>
  <c r="AZ483" i="3" s="1"/>
  <c r="BA486" i="3"/>
  <c r="BL489" i="3"/>
  <c r="AZ489" i="3" s="1"/>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BA222" i="3"/>
  <c r="AZ222" i="3" s="1"/>
  <c r="BA224" i="3"/>
  <c r="AZ224" i="3" s="1"/>
  <c r="G229" i="3"/>
  <c r="BA235" i="3"/>
  <c r="AZ235" i="3" s="1"/>
  <c r="BA237" i="3"/>
  <c r="AZ237" i="3" s="1"/>
  <c r="BA249" i="3"/>
  <c r="BL249" i="3"/>
  <c r="BA551" i="3"/>
  <c r="AZ551" i="3" s="1"/>
  <c r="BA550" i="3"/>
  <c r="BL548" i="3"/>
  <c r="AZ548" i="3" s="1"/>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48" i="3"/>
  <c r="BA350" i="3"/>
  <c r="AZ350" i="3" s="1"/>
  <c r="BA385" i="3"/>
  <c r="BA214" i="3"/>
  <c r="BL219" i="3"/>
  <c r="BA233" i="3"/>
  <c r="AZ233" i="3" s="1"/>
  <c r="BL243" i="3"/>
  <c r="BA247" i="3"/>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BL256" i="3"/>
  <c r="BA258" i="3"/>
  <c r="BL264" i="3"/>
  <c r="BL266" i="3"/>
  <c r="BA268" i="3"/>
  <c r="BL273" i="3"/>
  <c r="AZ273" i="3" s="1"/>
  <c r="BA277" i="3"/>
  <c r="BL277" i="3"/>
  <c r="BA282" i="3"/>
  <c r="BL282" i="3"/>
  <c r="BA284" i="3"/>
  <c r="AZ284" i="3" s="1"/>
  <c r="BL290" i="3"/>
  <c r="AZ290" i="3" s="1"/>
  <c r="BL291" i="3"/>
  <c r="AZ291" i="3" s="1"/>
  <c r="BL293" i="3"/>
  <c r="BL294" i="3"/>
  <c r="AZ294" i="3" s="1"/>
  <c r="BA297" i="3"/>
  <c r="BL297" i="3"/>
  <c r="BL300" i="3"/>
  <c r="BA302" i="3"/>
  <c r="AZ302" i="3" s="1"/>
  <c r="BL123" i="3"/>
  <c r="AZ123" i="3" s="1"/>
  <c r="BL34" i="3"/>
  <c r="BA62" i="3"/>
  <c r="AZ62" i="3" s="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AZ25" i="3" s="1"/>
  <c r="BL27" i="3"/>
  <c r="AZ27" i="3" s="1"/>
  <c r="BA28" i="3"/>
  <c r="AZ28" i="3" s="1"/>
  <c r="BA31" i="3"/>
  <c r="BA32" i="3"/>
  <c r="G38" i="3"/>
  <c r="BA38" i="3"/>
  <c r="AZ38" i="3" s="1"/>
  <c r="BA41" i="3"/>
  <c r="BA42" i="3"/>
  <c r="G47" i="3"/>
  <c r="BL48" i="3"/>
  <c r="BL54" i="3"/>
  <c r="AZ54" i="3" s="1"/>
  <c r="BL55" i="3"/>
  <c r="AZ55" i="3" s="1"/>
  <c r="G58" i="3"/>
  <c r="BA59" i="3"/>
  <c r="BL61" i="3"/>
  <c r="G64" i="3"/>
  <c r="BA64" i="3"/>
  <c r="BA68" i="3"/>
  <c r="BA80" i="3"/>
  <c r="BL84" i="3"/>
  <c r="G89" i="3"/>
  <c r="BA90" i="3"/>
  <c r="BA105" i="3"/>
  <c r="AZ105" i="3" s="1"/>
  <c r="BA106" i="3"/>
  <c r="BA111" i="3"/>
  <c r="AZ111" i="3" s="1"/>
  <c r="K13" i="1"/>
  <c r="M13" i="1" s="1"/>
  <c r="O13" i="1" s="1"/>
  <c r="P13" i="1" s="1"/>
  <c r="T28" i="71"/>
  <c r="D28" i="71"/>
  <c r="U28" i="71" s="1"/>
  <c r="C27" i="71"/>
  <c r="D34" i="71"/>
  <c r="C35"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52" i="3"/>
  <c r="AZ456" i="3"/>
  <c r="AZ468" i="3"/>
  <c r="AZ470" i="3"/>
  <c r="W35" i="39"/>
  <c r="F27" i="34"/>
  <c r="C21" i="39"/>
  <c r="U9" i="36"/>
  <c r="U14" i="37"/>
  <c r="H12" i="21"/>
  <c r="G526" i="3"/>
  <c r="AZ420" i="3"/>
  <c r="AZ424" i="3"/>
  <c r="AZ436" i="3"/>
  <c r="AZ438" i="3"/>
  <c r="AZ446" i="3"/>
  <c r="G28" i="6"/>
  <c r="G30" i="6" s="1"/>
  <c r="G31" i="6" s="1"/>
  <c r="U26" i="21"/>
  <c r="U23" i="40"/>
  <c r="AA39" i="37"/>
  <c r="AC16" i="36"/>
  <c r="AB12" i="33"/>
  <c r="C27" i="39"/>
  <c r="U40" i="40"/>
  <c r="AC9" i="40"/>
  <c r="W36" i="35"/>
  <c r="J12" i="21"/>
  <c r="B73" i="43"/>
  <c r="B76" i="43"/>
  <c r="F9" i="36"/>
  <c r="J40" i="40"/>
  <c r="G562" i="3"/>
  <c r="AZ426" i="3"/>
  <c r="AZ38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7" i="80"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M7" i="15"/>
  <c r="F50" i="15"/>
  <c r="F71" i="15"/>
  <c r="F71" i="67"/>
  <c r="N59" i="67"/>
  <c r="L59" i="67"/>
  <c r="L58" i="67"/>
  <c r="M59" i="67"/>
  <c r="B13" i="70"/>
  <c r="M7" i="67"/>
  <c r="F50" i="67"/>
  <c r="C36" i="68"/>
  <c r="D9" i="69"/>
  <c r="C36" i="69"/>
  <c r="D9" i="68"/>
  <c r="F38" i="67"/>
  <c r="M8" i="67"/>
  <c r="M9" i="15"/>
  <c r="M23" i="15"/>
  <c r="F38" i="15"/>
  <c r="F13" i="67"/>
  <c r="M28" i="67"/>
  <c r="D4" i="73"/>
  <c r="F9" i="15"/>
  <c r="F26" i="15"/>
  <c r="F8" i="15"/>
  <c r="F42" i="15"/>
  <c r="L47" i="15"/>
  <c r="M6" i="67"/>
  <c r="M6" i="15"/>
  <c r="C76" i="15"/>
  <c r="D3" i="73"/>
  <c r="F16" i="15"/>
  <c r="M8" i="15"/>
  <c r="F40" i="15"/>
  <c r="F36" i="67"/>
  <c r="M29" i="67"/>
  <c r="F37" i="67"/>
  <c r="F37" i="15"/>
  <c r="F26" i="67"/>
  <c r="F40" i="67"/>
  <c r="J15" i="67"/>
  <c r="L48" i="15"/>
  <c r="F13" i="15"/>
  <c r="D7" i="73"/>
  <c r="C76" i="67"/>
  <c r="M9" i="67"/>
  <c r="M28" i="15"/>
  <c r="F16" i="67"/>
  <c r="M22" i="15"/>
  <c r="D5" i="73"/>
  <c r="F65" i="15" l="1"/>
  <c r="F64" i="15"/>
  <c r="C27" i="67"/>
  <c r="F64" i="67"/>
  <c r="Q71" i="67"/>
  <c r="F65" i="67"/>
  <c r="C27" i="15"/>
  <c r="L59" i="15"/>
  <c r="Q74" i="15" s="1"/>
  <c r="M59" i="15"/>
  <c r="N59" i="15"/>
  <c r="F66" i="67"/>
  <c r="F68" i="67"/>
  <c r="Q71" i="15"/>
  <c r="AZ89" i="3"/>
  <c r="W36" i="39"/>
  <c r="AA27" i="21"/>
  <c r="S27" i="21"/>
  <c r="W14" i="40"/>
  <c r="AC14" i="40"/>
  <c r="S11" i="35"/>
  <c r="AA11" i="35"/>
  <c r="J6" i="67"/>
  <c r="J18" i="67" s="1"/>
  <c r="E7" i="80"/>
  <c r="E6" i="80" s="1"/>
  <c r="C6" i="80"/>
  <c r="W33" i="36"/>
  <c r="AZ441" i="3"/>
  <c r="AZ585" i="3"/>
  <c r="AZ133" i="3"/>
  <c r="AZ245" i="3"/>
  <c r="C86" i="71"/>
  <c r="D86" i="71" s="1"/>
  <c r="D87" i="71"/>
  <c r="W27" i="21"/>
  <c r="AC27" i="21"/>
  <c r="U38" i="37"/>
  <c r="AB38" i="37"/>
  <c r="AB36" i="39"/>
  <c r="U36" i="39"/>
  <c r="W11" i="35"/>
  <c r="AC11" i="35"/>
  <c r="AZ96" i="3"/>
  <c r="G5" i="3"/>
  <c r="B3" i="3" s="1"/>
  <c r="E28" i="6"/>
  <c r="K14" i="1" s="1"/>
  <c r="AZ190" i="3"/>
  <c r="AZ550" i="3"/>
  <c r="AZ453" i="3"/>
  <c r="AZ242" i="3"/>
  <c r="AZ440" i="3"/>
  <c r="D83" i="71"/>
  <c r="C82" i="71"/>
  <c r="D82" i="71" s="1"/>
  <c r="AZ413" i="3"/>
  <c r="W13" i="40"/>
  <c r="AC13" i="40"/>
  <c r="AA33" i="40"/>
  <c r="S33" i="40"/>
  <c r="AC38" i="37"/>
  <c r="W38" i="37"/>
  <c r="AZ46" i="3"/>
  <c r="AZ186" i="3"/>
  <c r="AZ130" i="3"/>
  <c r="AZ64" i="3"/>
  <c r="AZ220" i="3"/>
  <c r="W17" i="39"/>
  <c r="P67" i="71"/>
  <c r="E66" i="71"/>
  <c r="AC33" i="40"/>
  <c r="W33" i="40"/>
  <c r="S30" i="34"/>
  <c r="AA30" i="34"/>
  <c r="J7" i="37"/>
  <c r="AZ474" i="3"/>
  <c r="AZ110" i="3"/>
  <c r="AZ405" i="3"/>
  <c r="AZ416" i="3"/>
  <c r="AZ429" i="3"/>
  <c r="S17" i="39"/>
  <c r="AZ262" i="3"/>
  <c r="AB30" i="34"/>
  <c r="U30" i="34"/>
  <c r="U39" i="40"/>
  <c r="AB39" i="40"/>
  <c r="AA13" i="40"/>
  <c r="S13" i="40"/>
  <c r="U11" i="35"/>
  <c r="AZ80" i="3"/>
  <c r="AZ20" i="3"/>
  <c r="AZ353" i="3"/>
  <c r="AZ297" i="3"/>
  <c r="AZ256" i="3"/>
  <c r="AZ247" i="3"/>
  <c r="AZ249" i="3"/>
  <c r="AZ398" i="3"/>
  <c r="AZ565" i="3"/>
  <c r="AZ451" i="3"/>
  <c r="AA26" i="33"/>
  <c r="S26" i="33"/>
  <c r="S27" i="39"/>
  <c r="AA27" i="39"/>
  <c r="W45" i="21"/>
  <c r="AC45" i="21"/>
  <c r="S31" i="33"/>
  <c r="AA31" i="33"/>
  <c r="AZ76" i="3"/>
  <c r="AZ47" i="3"/>
  <c r="S12" i="36"/>
  <c r="AA12" i="36"/>
  <c r="AA14" i="40"/>
  <c r="S14" i="40"/>
  <c r="AB42" i="39"/>
  <c r="U42" i="39"/>
  <c r="AB9" i="33"/>
  <c r="U9" i="33"/>
  <c r="U19" i="39"/>
  <c r="AA19" i="39"/>
  <c r="S19" i="39"/>
  <c r="F11" i="83"/>
  <c r="M11" i="83"/>
  <c r="AC41" i="39"/>
  <c r="U41" i="39"/>
  <c r="G26" i="43"/>
  <c r="J26" i="43"/>
  <c r="G16" i="1"/>
  <c r="F10" i="39" s="1"/>
  <c r="H16" i="1"/>
  <c r="N370" i="46"/>
  <c r="N94" i="46"/>
  <c r="F26" i="43"/>
  <c r="Q16" i="1"/>
  <c r="F27" i="69" s="1"/>
  <c r="C47" i="69" s="1"/>
  <c r="D45" i="69" s="1"/>
  <c r="E26" i="43"/>
  <c r="E14" i="6"/>
  <c r="E59" i="40" s="1"/>
  <c r="D20" i="53"/>
  <c r="B40" i="72" s="1"/>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5" i="3" s="1"/>
  <c r="AY6" i="3" s="1"/>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F7" i="33"/>
  <c r="E58" i="21"/>
  <c r="F7" i="37"/>
  <c r="M17" i="67"/>
  <c r="M17" i="15"/>
  <c r="P28" i="43"/>
  <c r="B66" i="40" s="1"/>
  <c r="P25" i="43"/>
  <c r="C49" i="67"/>
  <c r="P29" i="43"/>
  <c r="P27" i="43"/>
  <c r="B70" i="39" s="1"/>
  <c r="C32" i="67"/>
  <c r="Q60" i="67"/>
  <c r="Q73" i="67"/>
  <c r="M11" i="67"/>
  <c r="J10" i="67" s="1"/>
  <c r="J5" i="67" s="1"/>
  <c r="F11" i="15"/>
  <c r="M11" i="15"/>
  <c r="F11" i="67"/>
  <c r="F1" i="67"/>
  <c r="Q52" i="67"/>
  <c r="Q61" i="67"/>
  <c r="Q74" i="67"/>
  <c r="AE11" i="1"/>
  <c r="AE9" i="1"/>
  <c r="F27" i="68"/>
  <c r="AE8" i="1"/>
  <c r="AE12" i="1"/>
  <c r="AE10" i="1"/>
  <c r="L48" i="83"/>
  <c r="M9" i="83"/>
  <c r="C16" i="67"/>
  <c r="F8" i="83"/>
  <c r="F41" i="83"/>
  <c r="C16" i="15"/>
  <c r="F6" i="83"/>
  <c r="F41" i="67"/>
  <c r="J15" i="83"/>
  <c r="F26" i="83"/>
  <c r="M26" i="83"/>
  <c r="L47" i="83"/>
  <c r="M28" i="83"/>
  <c r="G1" i="73"/>
  <c r="F7" i="83"/>
  <c r="M8" i="83"/>
  <c r="M24" i="83"/>
  <c r="F42" i="83"/>
  <c r="F37" i="83"/>
  <c r="M29" i="83"/>
  <c r="F13" i="83"/>
  <c r="F40" i="83"/>
  <c r="F9" i="83"/>
  <c r="F43" i="83"/>
  <c r="M22" i="83"/>
  <c r="M6" i="83"/>
  <c r="F16" i="83"/>
  <c r="C76" i="83"/>
  <c r="F38" i="83"/>
  <c r="M23" i="83"/>
  <c r="F66" i="83" l="1"/>
  <c r="F65" i="83"/>
  <c r="F64" i="83"/>
  <c r="Q61" i="15"/>
  <c r="F68" i="83"/>
  <c r="C27" i="83"/>
  <c r="M7" i="83"/>
  <c r="J6" i="83" s="1"/>
  <c r="J10" i="83" s="1"/>
  <c r="J5" i="83" s="1"/>
  <c r="J24" i="83" s="1"/>
  <c r="F50" i="83"/>
  <c r="F51" i="83"/>
  <c r="F69" i="83"/>
  <c r="Q71" i="83"/>
  <c r="F71" i="83"/>
  <c r="J53" i="83"/>
  <c r="J57" i="83"/>
  <c r="J55" i="83" s="1"/>
  <c r="J58" i="83" s="1"/>
  <c r="Q50" i="83" s="1"/>
  <c r="I54" i="83"/>
  <c r="C6" i="83"/>
  <c r="C10" i="83" s="1"/>
  <c r="C5" i="83" s="1"/>
  <c r="L59" i="83"/>
  <c r="M59" i="83"/>
  <c r="N59" i="83"/>
  <c r="L58" i="83"/>
  <c r="D6" i="80"/>
  <c r="E12" i="80"/>
  <c r="P65" i="71"/>
  <c r="P66" i="71"/>
  <c r="AC7" i="36"/>
  <c r="V36" i="36" s="1"/>
  <c r="I36" i="36" s="1"/>
  <c r="AB7" i="36"/>
  <c r="T36" i="36" s="1"/>
  <c r="G36" i="36" s="1"/>
  <c r="G40" i="36" s="1"/>
  <c r="H40" i="36" s="1"/>
  <c r="C12" i="80"/>
  <c r="C9" i="80"/>
  <c r="E9" i="80" s="1"/>
  <c r="G12" i="80" s="1"/>
  <c r="C10" i="80"/>
  <c r="E10" i="80" s="1"/>
  <c r="F28" i="12"/>
  <c r="C29" i="12" s="1"/>
  <c r="D28" i="12" s="1"/>
  <c r="F27" i="11"/>
  <c r="C29" i="11" s="1"/>
  <c r="D27" i="11" s="1"/>
  <c r="J10" i="15"/>
  <c r="J5" i="15" s="1"/>
  <c r="J24" i="15" s="1"/>
  <c r="Q73" i="15"/>
  <c r="F45" i="69"/>
  <c r="C29" i="69"/>
  <c r="D27" i="69" s="1"/>
  <c r="D26" i="43"/>
  <c r="C25" i="43" s="1"/>
  <c r="E16" i="6"/>
  <c r="E56" i="40"/>
  <c r="E61" i="39"/>
  <c r="E65" i="39" s="1"/>
  <c r="AC6" i="3"/>
  <c r="E6" i="3" s="1"/>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H39" i="6" s="1"/>
  <c r="H42"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6" i="37"/>
  <c r="H46" i="37" s="1"/>
  <c r="I46" i="37"/>
  <c r="J46" i="37" s="1"/>
  <c r="G48" i="35"/>
  <c r="U7" i="33"/>
  <c r="AB7" i="33"/>
  <c r="T48" i="33" s="1"/>
  <c r="G48" i="33" s="1"/>
  <c r="J24" i="67"/>
  <c r="C53" i="67"/>
  <c r="C48" i="67" s="1"/>
  <c r="C10" i="67"/>
  <c r="C5" i="67" s="1"/>
  <c r="C38" i="67" s="1"/>
  <c r="C10" i="15"/>
  <c r="C5" i="15" s="1"/>
  <c r="C38" i="15" s="1"/>
  <c r="C16" i="83"/>
  <c r="AE6" i="1"/>
  <c r="F41" i="15"/>
  <c r="M27" i="67"/>
  <c r="D12" i="80" l="1"/>
  <c r="C49" i="83"/>
  <c r="Q73" i="83"/>
  <c r="Q60" i="83"/>
  <c r="J19" i="83"/>
  <c r="J18" i="83"/>
  <c r="G41" i="36"/>
  <c r="H41" i="36" s="1"/>
  <c r="L56" i="83"/>
  <c r="Q52" i="83"/>
  <c r="F1" i="83"/>
  <c r="B14" i="74"/>
  <c r="B1" i="74" s="1"/>
  <c r="Q74" i="83"/>
  <c r="Q61" i="83"/>
  <c r="C32" i="83"/>
  <c r="C33" i="83"/>
  <c r="F24" i="15"/>
  <c r="C24" i="15" s="1"/>
  <c r="F24" i="83"/>
  <c r="C38" i="83"/>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7" i="83"/>
  <c r="C14" i="67"/>
  <c r="C17" i="67"/>
  <c r="AE7" i="1"/>
  <c r="M27" i="15"/>
  <c r="AG7" i="1" l="1"/>
  <c r="E7" i="70"/>
  <c r="H25" i="6"/>
  <c r="C61" i="83"/>
  <c r="C53" i="83"/>
  <c r="C48" i="83" s="1"/>
  <c r="O37" i="43"/>
  <c r="C60" i="15"/>
  <c r="M36" i="43"/>
  <c r="P37" i="43"/>
  <c r="N36" i="43"/>
  <c r="C24" i="83"/>
  <c r="N37" i="43"/>
  <c r="Q37" i="43"/>
  <c r="Q36" i="43"/>
  <c r="P36" i="43"/>
  <c r="O36" i="43"/>
  <c r="C44" i="69"/>
  <c r="D41" i="69" s="1"/>
  <c r="C26" i="69"/>
  <c r="D22" i="69" s="1"/>
  <c r="C26" i="68"/>
  <c r="D22" i="68" s="1"/>
  <c r="C44" i="68"/>
  <c r="D41" i="68" s="1"/>
  <c r="C44" i="11"/>
  <c r="D41" i="11" s="1"/>
  <c r="C23" i="11"/>
  <c r="C26" i="11"/>
  <c r="D22" i="11" s="1"/>
  <c r="C25" i="11"/>
  <c r="C16" i="71"/>
  <c r="M23" i="43" s="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3"/>
  <c r="C14" i="83"/>
  <c r="E6" i="76"/>
  <c r="M27" i="83"/>
  <c r="B6" i="76"/>
  <c r="M21" i="83"/>
  <c r="C15" i="83" l="1"/>
  <c r="C18" i="83"/>
  <c r="C66" i="83"/>
  <c r="C60" i="83"/>
  <c r="J20" i="83"/>
  <c r="J17" i="83" s="1"/>
  <c r="C34" i="83"/>
  <c r="C31" i="83" s="1"/>
  <c r="F63" i="83"/>
  <c r="C62" i="8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3" l="1"/>
  <c r="C19" i="83"/>
  <c r="C20" i="83" s="1"/>
  <c r="C23" i="8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J59" i="83" l="1"/>
  <c r="J60" i="83" s="1"/>
  <c r="Q48" i="83" s="1"/>
  <c r="C57" i="83"/>
  <c r="C64" i="83" s="1"/>
  <c r="C36" i="83"/>
  <c r="Q49" i="83"/>
  <c r="C13" i="83"/>
  <c r="J14" i="83"/>
  <c r="L57" i="83"/>
  <c r="L60" i="8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J22" i="83" l="1"/>
  <c r="J13" i="83"/>
  <c r="J23" i="83" s="1"/>
  <c r="Q70" i="83"/>
  <c r="C75" i="83"/>
  <c r="C37" i="83"/>
  <c r="C30" i="83" s="1"/>
  <c r="C39" i="83" s="1"/>
  <c r="C56" i="83"/>
  <c r="C65" i="83" s="1"/>
  <c r="C58" i="83" s="1"/>
  <c r="C67" i="83" s="1"/>
  <c r="C68" i="83" s="1"/>
  <c r="C71" i="83" s="1"/>
  <c r="Q66" i="83"/>
  <c r="Q57" i="83"/>
  <c r="L46"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I39" i="83" l="1"/>
  <c r="C40" i="83"/>
  <c r="Q69" i="83"/>
  <c r="Q68" i="83" s="1"/>
  <c r="C80" i="83"/>
  <c r="C79" i="83" s="1"/>
  <c r="J16" i="83"/>
  <c r="J25" i="83" s="1"/>
  <c r="J26" i="83" s="1"/>
  <c r="J29" i="8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3"/>
  <c r="D2" i="33"/>
  <c r="L51" i="67"/>
  <c r="B2" i="83" l="1"/>
  <c r="B3" i="83" s="1"/>
  <c r="Q67" i="83"/>
  <c r="C46" i="83"/>
  <c r="Q47" i="83"/>
  <c r="Q53" i="83" s="1"/>
  <c r="C43" i="83"/>
  <c r="Q65" i="83"/>
  <c r="Q75" i="83" s="1"/>
  <c r="Q56" i="83"/>
  <c r="Q62" i="83" s="1"/>
  <c r="C83" i="83"/>
  <c r="C82"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E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9" i="1"/>
  <c r="AO11" i="1"/>
  <c r="AO10"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AO7"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C20" i="9"/>
  <c r="D35" i="9"/>
  <c r="D34" i="9"/>
  <c r="G20" i="9" l="1"/>
  <c r="C32" i="9" s="1"/>
  <c r="C103" i="9"/>
  <c r="C35" i="9" l="1"/>
  <c r="C34" i="9" s="1"/>
  <c r="D118" i="9" s="1"/>
  <c r="D119" i="9" s="1"/>
  <c r="D5" i="52" s="1"/>
  <c r="B49" i="72" s="1"/>
  <c r="H118" i="9"/>
  <c r="F118" i="9" l="1"/>
  <c r="G118" i="9" s="1"/>
  <c r="G4" i="52" s="1"/>
  <c r="B52" i="72" s="1"/>
  <c r="H119" i="9"/>
  <c r="H5" i="52" s="1"/>
  <c r="D14" i="74"/>
  <c r="G14" i="74" s="1"/>
  <c r="B6" i="74" s="1"/>
  <c r="D6" i="74" s="1"/>
  <c r="I118" i="9"/>
  <c r="I4" i="52" s="1"/>
  <c r="H101" i="9"/>
  <c r="C104" i="9"/>
  <c r="D4" i="52"/>
  <c r="B47" i="72" s="1"/>
  <c r="H4" i="52"/>
  <c r="F119" i="9" l="1"/>
  <c r="F5" i="52" s="1"/>
  <c r="B53" i="72" s="1"/>
  <c r="F4" i="52"/>
  <c r="B51" i="72" s="1"/>
  <c r="C105" i="9"/>
  <c r="E118" i="9"/>
  <c r="E4" i="52" s="1"/>
  <c r="B48" i="72" s="1"/>
  <c r="F14" i="74"/>
  <c r="B5" i="74"/>
  <c r="D5" i="74" s="1"/>
  <c r="E14" i="74"/>
  <c r="H102" i="9"/>
  <c r="D7" i="53" s="1"/>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在建项目均选择“是”</t>
        </r>
      </text>
    </comment>
    <comment ref="F59" authorId="1" shapeId="0" xr:uid="{00000000-0006-0000-2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800-000006000000}">
      <text>
        <r>
          <rPr>
            <sz val="10"/>
            <color indexed="81"/>
            <rFont val="宋体"/>
            <family val="3"/>
            <charset val="134"/>
          </rPr>
          <t xml:space="preserve">在建
</t>
        </r>
      </text>
    </comment>
    <comment ref="N59" authorId="0" shapeId="0" xr:uid="{00000000-0006-0000-28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<sst xmlns="http://schemas.openxmlformats.org/spreadsheetml/2006/main" count="8522" uniqueCount="3571">
  <si>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</si>
  <si>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</si>
  <si>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</si>
  <si>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</si>
  <si>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</si>
  <si>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</si>
  <si>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</si>
  <si>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</si>
  <si>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</si>
  <si>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</si>
  <si>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</si>
  <si>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</si>
  <si>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</si>
  <si>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</si>
  <si>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</si>
  <si>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</si>
  <si>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</si>
  <si>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</si>
  <si>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</si>
  <si>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</si>
  <si>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</si>
  <si>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</si>
  <si>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</si>
  <si>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</si>
  <si>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</si>
  <si>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</si>
  <si>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</si>
  <si>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</si>
  <si>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</si>
  <si>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</si>
  <si>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</si>
  <si>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</si>
  <si>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</si>
  <si>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</si>
  <si>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</si>
  <si>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</si>
  <si>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</si>
  <si>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</si>
  <si>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</si>
  <si>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</si>
  <si>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</si>
  <si>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</si>
  <si>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</si>
  <si>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</si>
  <si>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</si>
  <si>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</si>
  <si>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</si>
  <si>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</si>
  <si>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</si>
  <si>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</si>
  <si>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</si>
  <si>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</si>
  <si>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</si>
  <si>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</si>
  <si>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</si>
  <si>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</si>
  <si>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</si>
  <si>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</si>
  <si>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</si>
  <si>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</si>
  <si>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</si>
  <si>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</si>
  <si>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</si>
  <si>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</si>
  <si>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</si>
  <si>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</si>
  <si>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</si>
  <si>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</si>
  <si>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</si>
  <si>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</si>
  <si>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</si>
  <si>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</si>
  <si>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</si>
  <si>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</si>
  <si>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</si>
  <si>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</si>
  <si>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</si>
  <si>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</si>
  <si>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</si>
  <si>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</si>
  <si>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</si>
  <si>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</si>
  <si>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</si>
  <si>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</si>
  <si>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</si>
  <si>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</si>
  <si>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</si>
  <si>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</si>
  <si>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</si>
  <si>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</si>
  <si>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</si>
  <si>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</si>
  <si>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</si>
  <si>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</si>
  <si>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</si>
  <si>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</si>
  <si>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</si>
  <si>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</si>
  <si>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</si>
  <si>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</si>
  <si>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</si>
  <si>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</si>
  <si>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</si>
  <si>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</si>
  <si>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</si>
  <si>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</si>
  <si>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</si>
  <si>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</si>
  <si>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</si>
  <si>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</si>
  <si>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</si>
  <si>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</si>
  <si>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</si>
  <si>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</si>
  <si>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</si>
  <si>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</si>
  <si>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</si>
  <si>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</si>
  <si>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</si>
  <si>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</si>
  <si>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</si>
  <si>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</si>
  <si>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</si>
  <si>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</si>
  <si>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</si>
  <si>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</si>
  <si>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</si>
  <si>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</si>
  <si>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</si>
  <si>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</si>
  <si>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</si>
  <si>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</si>
  <si>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</si>
  <si>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</si>
  <si>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</si>
  <si>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</si>
  <si>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</si>
  <si>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</si>
  <si>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</si>
  <si>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</si>
  <si>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</si>
  <si>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</si>
  <si>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</si>
  <si>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</si>
  <si>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</si>
  <si>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</si>
  <si>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</si>
  <si>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</si>
  <si>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</si>
  <si>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</si>
  <si>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</si>
  <si>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</si>
  <si>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</si>
  <si>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</si>
  <si>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</si>
  <si>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</si>
  <si>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</si>
  <si>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</si>
  <si>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</si>
  <si>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</si>
  <si>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</si>
  <si>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</si>
  <si>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</si>
  <si>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</si>
  <si>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</si>
  <si>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</si>
  <si>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</si>
  <si>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</si>
  <si>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</si>
  <si>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</si>
  <si>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</si>
  <si>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</si>
  <si>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</si>
  <si>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</si>
  <si>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</si>
  <si>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</si>
  <si>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</si>
  <si>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</si>
  <si>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</si>
  <si>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</si>
  <si>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</si>
  <si>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</si>
  <si>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</si>
  <si>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</si>
  <si>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</si>
  <si>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</si>
  <si>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</si>
  <si>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</si>
  <si>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</si>
  <si>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</si>
  <si>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</si>
  <si>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</si>
  <si>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</si>
  <si>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</si>
  <si>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</si>
  <si>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</si>
  <si>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</si>
  <si>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</si>
  <si>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</si>
  <si>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</si>
  <si>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</si>
  <si>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</si>
  <si>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</si>
  <si>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</si>
  <si>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</si>
  <si>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</si>
  <si>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</si>
  <si>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</si>
  <si>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</si>
  <si>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</si>
  <si>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</si>
  <si>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</si>
  <si>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</si>
  <si>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</si>
  <si>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</si>
  <si>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</si>
  <si>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</si>
  <si>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</si>
  <si>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</si>
  <si>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</si>
  <si>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</si>
  <si>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</si>
  <si>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</si>
  <si>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</si>
  <si>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</si>
  <si>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</si>
  <si>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</si>
  <si>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</si>
  <si>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</si>
  <si>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</si>
  <si>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</si>
  <si>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</si>
  <si>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</si>
  <si>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</si>
  <si>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</si>
  <si>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</si>
  <si>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</si>
  <si>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</si>
  <si>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</si>
  <si>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</si>
  <si>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</si>
  <si>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</si>
  <si>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</si>
  <si>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</si>
  <si>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</si>
  <si>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</si>
  <si>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</si>
  <si>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</si>
  <si>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</si>
  <si>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</si>
  <si>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</si>
  <si>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</si>
  <si>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</si>
  <si>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</si>
  <si>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</si>
  <si>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</si>
  <si>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</si>
  <si>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</si>
  <si>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</si>
  <si>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</si>
  <si>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</si>
  <si>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</si>
  <si>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</si>
  <si>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</si>
  <si>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</si>
  <si>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</si>
  <si>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</si>
  <si>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</si>
  <si>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</si>
  <si>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</si>
  <si>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</si>
  <si>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</si>
  <si>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</si>
  <si>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</si>
  <si>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</si>
  <si>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</si>
  <si>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</si>
  <si>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</si>
  <si>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</si>
  <si>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</si>
  <si>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</si>
  <si>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</si>
  <si>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</si>
  <si>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</si>
  <si>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</si>
  <si>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</si>
  <si>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</si>
  <si>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</si>
  <si>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</si>
  <si>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</si>
  <si>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</si>
  <si>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</si>
  <si>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</si>
  <si>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</si>
  <si>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</si>
  <si>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</si>
  <si>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</si>
  <si>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</si>
  <si>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</si>
  <si>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</si>
  <si>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</si>
  <si>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</si>
  <si>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</si>
  <si>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</si>
  <si>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</si>
  <si>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</si>
  <si>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</si>
  <si>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</si>
  <si>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</si>
  <si>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</si>
  <si>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</si>
  <si>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</si>
  <si>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</si>
  <si>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</si>
  <si>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</si>
  <si>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</si>
  <si>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</si>
  <si>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</si>
  <si>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</si>
  <si>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</si>
  <si>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</si>
  <si>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</si>
  <si>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</si>
  <si>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</si>
  <si>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</si>
  <si>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</si>
  <si>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</si>
  <si>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</si>
  <si>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</si>
  <si>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</si>
  <si>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</si>
  <si>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</si>
  <si>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</si>
  <si>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</si>
  <si>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</si>
  <si>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</si>
  <si>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</si>
  <si>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</si>
  <si>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</si>
  <si>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</si>
  <si>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</si>
  <si>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</si>
  <si>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</si>
  <si>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</si>
  <si>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</si>
  <si>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</si>
  <si>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</si>
  <si>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</si>
  <si>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</si>
  <si>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</si>
  <si>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</si>
  <si>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</si>
  <si>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</si>
  <si>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</si>
  <si>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</si>
  <si>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</si>
  <si>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</si>
  <si>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</si>
  <si>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</si>
  <si>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</si>
  <si>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</si>
  <si>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</si>
  <si>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</si>
  <si>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</si>
  <si>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</si>
  <si>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</si>
  <si>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</si>
  <si>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</si>
  <si>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</si>
  <si>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</si>
  <si>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</si>
  <si>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</si>
  <si>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</si>
  <si>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</si>
  <si>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</si>
  <si>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</si>
  <si>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</si>
  <si>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</si>
  <si>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</si>
  <si>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</si>
  <si>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</si>
  <si>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</si>
  <si>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</si>
  <si>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</si>
  <si>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</si>
  <si>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</si>
  <si>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</si>
  <si>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</si>
  <si>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</si>
  <si>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</si>
  <si>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</si>
  <si>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</si>
  <si>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</si>
  <si>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</si>
  <si>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</si>
  <si>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</si>
  <si>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</si>
  <si>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</si>
  <si>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</si>
  <si>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</si>
  <si>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</si>
  <si>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</si>
  <si>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</si>
  <si>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</si>
  <si>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</si>
  <si>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</si>
  <si>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</si>
  <si>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</si>
  <si>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</si>
  <si>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</si>
  <si>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</si>
  <si>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</si>
  <si>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</si>
  <si>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</si>
  <si>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</si>
  <si>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</si>
  <si>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</si>
  <si>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</si>
  <si>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</si>
  <si>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</si>
  <si>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</si>
  <si>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</si>
  <si>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</si>
  <si>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</si>
  <si>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</si>
  <si>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</si>
  <si>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</si>
  <si>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</si>
  <si>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</si>
  <si>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</si>
  <si>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</si>
  <si>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</si>
  <si>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</si>
  <si>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</si>
  <si>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</si>
  <si>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</si>
  <si>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</si>
  <si>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</si>
  <si>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</si>
  <si>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</si>
  <si>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</si>
  <si>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</si>
  <si>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</si>
  <si>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</si>
  <si>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</si>
  <si>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</si>
  <si>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</si>
  <si>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</si>
  <si>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</si>
  <si>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</si>
  <si>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</si>
  <si>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</si>
  <si>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</si>
  <si>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</si>
  <si>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</si>
  <si>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</si>
  <si>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</si>
  <si>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</si>
  <si>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</si>
  <si>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</si>
  <si>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</si>
  <si>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</si>
  <si>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</si>
  <si>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</si>
  <si>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</si>
  <si>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</si>
  <si>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</si>
  <si>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</si>
  <si>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</si>
  <si>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</si>
  <si>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</si>
  <si>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</si>
  <si>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</si>
  <si>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</si>
  <si>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</si>
  <si>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</si>
  <si>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</si>
  <si>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</si>
  <si>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</si>
  <si>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</si>
  <si>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</si>
  <si>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</si>
  <si>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</si>
  <si>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</si>
  <si>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</si>
  <si>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</si>
  <si>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</si>
  <si>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</si>
  <si>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</si>
  <si>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</si>
  <si>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</si>
  <si>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</si>
  <si>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</si>
  <si>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</si>
  <si>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</si>
  <si>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</si>
  <si>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</si>
  <si>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</si>
  <si>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</si>
  <si>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</si>
  <si>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</si>
  <si>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</si>
  <si>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</si>
  <si>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</si>
  <si>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</si>
  <si>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</si>
  <si>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</si>
  <si>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</si>
  <si>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</si>
  <si>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</si>
  <si>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</si>
  <si>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</si>
  <si>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</si>
  <si>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</si>
  <si>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</si>
  <si>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</si>
  <si>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</si>
  <si>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</si>
  <si>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</si>
  <si>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</si>
  <si>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</si>
  <si>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</si>
  <si>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</si>
  <si>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</si>
  <si>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</si>
  <si>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</si>
  <si>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</si>
  <si>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</si>
  <si>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</si>
  <si>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</si>
  <si>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</si>
  <si>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</si>
  <si>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</si>
  <si>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</si>
  <si>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</si>
  <si>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</si>
  <si>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</si>
  <si>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</si>
  <si>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</si>
  <si>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</si>
  <si>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</si>
  <si>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</si>
  <si>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</si>
  <si>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</si>
  <si>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</si>
  <si>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</si>
  <si>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</si>
  <si>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</si>
  <si>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</si>
  <si>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</si>
  <si>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</si>
  <si>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</si>
  <si>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</si>
  <si>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</si>
  <si>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</si>
  <si>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</si>
  <si>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</si>
  <si>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</si>
  <si>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</si>
  <si>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</si>
  <si>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</si>
  <si>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</si>
  <si>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</si>
  <si>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</si>
  <si>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</si>
  <si>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</si>
  <si>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</si>
  <si>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</si>
  <si>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</si>
  <si>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</si>
  <si>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</si>
  <si>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</si>
  <si>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</si>
  <si>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</si>
  <si>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</si>
  <si>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</si>
  <si>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</si>
  <si>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</si>
  <si>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</si>
  <si>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</si>
  <si>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</si>
  <si>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</si>
  <si>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</si>
  <si>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</si>
  <si>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</si>
  <si>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</si>
  <si>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</si>
  <si>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</si>
  <si>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</si>
  <si>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</si>
  <si>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</si>
  <si>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</si>
  <si>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</si>
  <si>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</si>
  <si>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</si>
  <si>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</si>
  <si>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</si>
  <si>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</si>
  <si>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</si>
  <si>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</si>
  <si>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</si>
  <si>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</si>
  <si>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</si>
  <si>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</si>
  <si>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</si>
  <si>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</si>
  <si>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</si>
  <si>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</si>
  <si>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</si>
  <si>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</si>
  <si>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</si>
  <si>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</si>
  <si>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</si>
  <si>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</si>
  <si>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</si>
  <si>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</si>
  <si>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</si>
  <si>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</si>
  <si>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</si>
  <si>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</si>
  <si>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</si>
  <si>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</si>
  <si>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</si>
  <si>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</si>
  <si>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</si>
  <si>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</si>
  <si>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</si>
  <si>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</si>
  <si>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</si>
  <si>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</si>
  <si>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</si>
  <si>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</si>
  <si>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</si>
  <si>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</si>
  <si>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</si>
  <si>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</si>
  <si>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</si>
  <si>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</si>
  <si>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</si>
  <si>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</si>
  <si>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</si>
  <si>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</si>
  <si>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</si>
  <si>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</si>
  <si>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</si>
  <si>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</si>
  <si>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</si>
  <si>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</si>
  <si>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</si>
  <si>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</si>
  <si>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</si>
  <si>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</si>
  <si>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</si>
  <si>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</si>
  <si>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</si>
  <si>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</si>
  <si>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</si>
  <si>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</si>
  <si>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</si>
  <si>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</si>
  <si>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</si>
  <si>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</si>
  <si>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</si>
  <si>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</si>
  <si>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</si>
  <si>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</si>
  <si>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</si>
  <si>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</si>
  <si>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</si>
  <si>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</si>
  <si>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</si>
  <si>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</si>
  <si>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</si>
  <si>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</si>
  <si>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</si>
  <si>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</si>
  <si>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</si>
  <si>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</si>
  <si>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</si>
  <si>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</si>
  <si>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</si>
  <si>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</si>
  <si>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</si>
  <si>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</si>
  <si>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</si>
  <si>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</si>
  <si>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</si>
  <si>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</si>
  <si>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</si>
  <si>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</si>
  <si>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</si>
  <si>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</si>
  <si>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</si>
  <si>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</si>
  <si>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</si>
  <si>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</si>
  <si>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</si>
  <si>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</si>
  <si>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</si>
  <si>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</si>
  <si>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</si>
  <si>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</si>
  <si>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</si>
  <si>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</si>
  <si>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</si>
  <si>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</si>
  <si>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</si>
  <si>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</si>
  <si>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</si>
  <si>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</si>
  <si>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</si>
  <si>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</si>
  <si>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</si>
  <si>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</si>
  <si>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</si>
  <si>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</si>
  <si>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</si>
  <si>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</si>
  <si>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</si>
  <si>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</si>
  <si>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</si>
  <si>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</si>
  <si>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</si>
  <si>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</si>
  <si>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</si>
  <si>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</si>
  <si>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</si>
  <si>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</si>
  <si>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</si>
  <si>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</si>
  <si>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</si>
  <si>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</si>
  <si>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</si>
  <si>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</si>
  <si>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</si>
  <si>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</si>
  <si>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</si>
  <si>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</si>
  <si>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</si>
  <si>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</si>
  <si>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</si>
  <si>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</si>
  <si>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</si>
  <si>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</si>
  <si>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</si>
  <si>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</si>
  <si>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</si>
  <si>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</si>
  <si>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</si>
  <si>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</si>
  <si>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</si>
  <si>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</si>
  <si>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</si>
  <si>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</si>
  <si>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</si>
  <si>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</si>
  <si>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</si>
  <si>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</si>
  <si>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</si>
  <si>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</si>
  <si>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</si>
  <si>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</si>
  <si>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</si>
  <si>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</si>
  <si>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</si>
  <si>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</si>
  <si>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</si>
  <si>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</si>
  <si>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</si>
  <si>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</si>
  <si>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</si>
  <si>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</si>
  <si>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</si>
  <si>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</si>
  <si>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</si>
  <si>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</si>
  <si>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</si>
  <si>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</si>
  <si>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</si>
  <si>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</si>
  <si>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</si>
  <si>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</si>
  <si>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</si>
  <si>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</si>
  <si>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</si>
  <si>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</si>
  <si>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</si>
  <si>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</si>
  <si>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</si>
  <si>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</si>
  <si>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</si>
  <si>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</si>
  <si>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</si>
  <si>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</si>
  <si>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</si>
  <si>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</si>
  <si>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</si>
  <si>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</si>
  <si>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</si>
  <si>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</si>
  <si>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</si>
  <si>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</si>
  <si>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</si>
  <si>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</si>
  <si>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</si>
  <si>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</si>
  <si>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</si>
  <si>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</si>
  <si>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</si>
  <si>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</si>
  <si>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</si>
  <si>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</si>
  <si>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</si>
  <si>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</si>
  <si>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</si>
  <si>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</si>
  <si>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</si>
  <si>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</si>
  <si>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</si>
  <si>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</si>
  <si>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</si>
  <si>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</si>
  <si>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</si>
  <si>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</si>
  <si>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</si>
  <si>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</si>
  <si>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</si>
  <si>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</si>
  <si>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</si>
  <si>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</si>
  <si>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</si>
  <si>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</si>
  <si>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</si>
  <si>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</si>
  <si>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</si>
  <si>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</si>
  <si>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</si>
  <si>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</si>
  <si>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</si>
  <si>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</si>
  <si>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</si>
  <si>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</si>
  <si>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</si>
  <si>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</si>
  <si>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</si>
  <si>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</si>
  <si>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</si>
  <si>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</si>
  <si>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</si>
  <si>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</si>
  <si>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</si>
  <si>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</si>
  <si>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</si>
  <si>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</si>
  <si>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</si>
  <si>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</si>
  <si>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</si>
  <si>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</si>
  <si>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</si>
  <si>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</si>
  <si>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</si>
  <si>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</si>
  <si>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</si>
  <si>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</si>
  <si>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</si>
  <si>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</si>
  <si>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</si>
  <si>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</si>
  <si>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</si>
  <si>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</si>
  <si>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</si>
  <si>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</si>
  <si>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</si>
  <si>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</si>
  <si>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</si>
  <si>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</si>
  <si>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</si>
  <si>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</si>
  <si>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</si>
  <si>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</si>
  <si>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</si>
  <si>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</si>
  <si>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</si>
  <si>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</si>
  <si>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</si>
  <si>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</si>
  <si>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</si>
  <si>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</si>
  <si>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</si>
  <si>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</si>
  <si>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</si>
  <si>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</si>
  <si>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</si>
  <si>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</si>
  <si>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</si>
  <si>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</si>
  <si>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</si>
  <si>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</si>
  <si>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</si>
  <si>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</si>
  <si>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</si>
  <si>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</si>
  <si>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</si>
  <si>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</si>
  <si>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</si>
  <si>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</si>
  <si>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</si>
  <si>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</si>
  <si>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</si>
  <si>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</si>
  <si>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</si>
  <si>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</si>
  <si>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</si>
  <si>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</si>
  <si>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</si>
  <si>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</si>
  <si>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</si>
  <si>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</si>
  <si>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</si>
  <si>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</si>
  <si>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</si>
  <si>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</si>
  <si>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</si>
  <si>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</si>
  <si>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</si>
  <si>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</si>
  <si>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</si>
  <si>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</si>
  <si>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</si>
  <si>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</si>
  <si>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</si>
  <si>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</si>
  <si>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</si>
  <si>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</si>
  <si>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</si>
  <si>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</si>
  <si>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</si>
  <si>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</si>
  <si>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</si>
  <si>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</si>
  <si>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</si>
  <si>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</si>
  <si>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</si>
  <si>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</si>
  <si>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</si>
  <si>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</si>
  <si>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</si>
  <si>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</si>
  <si>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</si>
  <si>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</si>
  <si>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</si>
  <si>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</si>
  <si>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</si>
  <si>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</si>
  <si>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</si>
  <si>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</si>
  <si>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</si>
  <si>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</si>
  <si>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</si>
  <si>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</si>
  <si>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</si>
  <si>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</si>
  <si>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</si>
  <si>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</si>
  <si>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</si>
  <si>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</si>
  <si>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</si>
  <si>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</si>
  <si>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</si>
  <si>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</si>
  <si>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</si>
  <si>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</si>
  <si>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</si>
  <si>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</si>
  <si>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</si>
  <si>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</si>
  <si>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</si>
  <si>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</si>
  <si>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</si>
  <si>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</si>
  <si>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</si>
  <si>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</si>
  <si>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</si>
  <si>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</si>
  <si>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</si>
  <si>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</si>
  <si>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</si>
  <si>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</si>
  <si>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</si>
  <si>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</si>
  <si>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</si>
  <si>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</si>
  <si>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</si>
  <si>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</si>
  <si>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</si>
  <si>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</si>
  <si>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</si>
  <si>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</si>
  <si>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</si>
  <si>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</si>
  <si>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</si>
  <si>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</si>
  <si>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</si>
  <si>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</si>
  <si>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</si>
  <si>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</si>
  <si>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</si>
  <si>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</si>
  <si>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</si>
  <si>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</si>
  <si>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</si>
  <si>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</si>
  <si>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</si>
  <si>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</si>
  <si>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</si>
  <si>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</si>
  <si>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</si>
  <si>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</si>
  <si>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</si>
  <si>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</si>
  <si>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</si>
  <si>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</si>
  <si>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</si>
  <si>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</si>
  <si>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</si>
  <si>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</si>
  <si>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</si>
  <si>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</si>
  <si>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</si>
  <si>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</si>
  <si>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</si>
  <si>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</si>
  <si>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</si>
  <si>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</si>
  <si>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</si>
  <si>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</si>
  <si>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</si>
  <si>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</si>
  <si>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</si>
  <si>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</si>
  <si>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</si>
  <si>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</si>
  <si>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</si>
  <si>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</si>
  <si>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</si>
  <si>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</si>
  <si>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</si>
  <si>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</si>
  <si>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</si>
  <si>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</si>
  <si>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</si>
  <si>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</si>
  <si>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</si>
  <si>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</si>
  <si>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</si>
  <si>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</si>
  <si>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</si>
  <si>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</si>
  <si>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</si>
  <si>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</si>
  <si>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</si>
  <si>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</si>
  <si>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</si>
  <si>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</si>
  <si>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</si>
  <si>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</si>
  <si>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</si>
  <si>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</si>
  <si>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</si>
  <si>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</si>
  <si>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</si>
  <si>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</si>
  <si>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</si>
  <si>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</si>
  <si>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</si>
  <si>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</si>
  <si>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</si>
  <si>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</si>
  <si>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</si>
  <si>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</si>
  <si>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</si>
  <si>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</si>
  <si>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</si>
  <si>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</si>
  <si>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</si>
  <si>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</si>
  <si>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</si>
  <si>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</si>
  <si>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</si>
  <si>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</si>
  <si>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</si>
  <si>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</si>
  <si>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</si>
  <si>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</si>
  <si>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</si>
  <si>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</si>
  <si>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</si>
  <si>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</si>
  <si>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</si>
  <si>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</si>
  <si>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</si>
  <si>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</si>
  <si>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</si>
  <si>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</si>
  <si>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</si>
  <si>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</si>
  <si>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</si>
  <si>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</si>
  <si>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</si>
  <si>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</si>
  <si>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</si>
  <si>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</si>
  <si>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</si>
  <si>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</si>
  <si>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</si>
  <si>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</si>
  <si>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</si>
  <si>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</si>
  <si>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</si>
  <si>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</si>
  <si>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</si>
  <si>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</si>
  <si>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</si>
  <si>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</si>
  <si>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</si>
  <si>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</si>
  <si>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</si>
  <si>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</si>
  <si>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</si>
  <si>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</si>
  <si>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</si>
  <si>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</si>
  <si>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</si>
  <si>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</si>
  <si>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</si>
  <si>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</si>
  <si>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</si>
  <si>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</si>
  <si>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</si>
  <si>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</si>
  <si>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</si>
  <si>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</si>
  <si>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</si>
  <si>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</si>
  <si>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</si>
  <si>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</si>
  <si>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</si>
  <si>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</si>
  <si>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</si>
  <si>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</si>
  <si>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</si>
  <si>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</si>
  <si>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</si>
  <si>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</si>
  <si>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</si>
  <si>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</si>
  <si>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</si>
  <si>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</si>
  <si>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</si>
  <si>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</si>
  <si>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</si>
  <si>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</si>
  <si>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</si>
  <si>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</si>
  <si>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</si>
  <si>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</si>
  <si>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</si>
  <si>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</si>
  <si>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</si>
  <si>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</si>
  <si>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</si>
  <si>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</si>
  <si>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</si>
  <si>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</si>
  <si>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</si>
  <si>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</si>
  <si>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</si>
  <si>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</si>
  <si>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</si>
  <si>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</si>
  <si>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</si>
  <si>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</si>
  <si>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</si>
  <si>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</si>
  <si>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</si>
  <si>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</si>
  <si>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</si>
  <si>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</si>
  <si>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</si>
  <si>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</si>
  <si>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</si>
  <si>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</si>
  <si>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</si>
  <si>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</si>
  <si>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</si>
  <si>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</si>
  <si>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</si>
  <si>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</si>
  <si>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</si>
  <si>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</si>
  <si>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</si>
  <si>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</si>
  <si>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</si>
  <si>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</si>
  <si>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</si>
  <si>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</si>
  <si>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</si>
  <si>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</si>
  <si>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</si>
  <si>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</si>
  <si>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</si>
  <si>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</si>
  <si>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</si>
  <si>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</si>
  <si>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</si>
  <si>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</si>
  <si>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</si>
  <si>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</si>
  <si>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</si>
  <si>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</si>
  <si>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</si>
  <si>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</si>
  <si>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</si>
  <si>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</si>
  <si>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</si>
  <si>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</si>
  <si>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</si>
  <si>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</si>
  <si>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</si>
  <si>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</si>
  <si>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</si>
  <si>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</si>
  <si>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</si>
  <si>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</si>
  <si>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</si>
  <si>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</si>
  <si>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</si>
  <si>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</si>
  <si>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</si>
  <si>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</si>
  <si>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</si>
  <si>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</si>
  <si>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</si>
  <si>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</si>
  <si>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</si>
  <si>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</si>
  <si>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</si>
  <si>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</si>
  <si>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</si>
  <si>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</si>
  <si>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</si>
  <si>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</si>
  <si>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</si>
  <si>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</si>
  <si>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</si>
  <si>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</si>
  <si>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</si>
  <si>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</si>
  <si>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</si>
  <si>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</si>
  <si>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</si>
  <si>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</si>
  <si>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</si>
  <si>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</si>
  <si>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</si>
  <si>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</si>
  <si>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</si>
  <si>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</si>
  <si>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</si>
  <si>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</si>
  <si>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</si>
  <si>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</si>
  <si>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</si>
  <si>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</si>
  <si>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</si>
  <si>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</si>
  <si>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</si>
  <si>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</si>
  <si>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</si>
  <si>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</si>
  <si>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</si>
  <si>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</si>
  <si>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</si>
  <si>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</si>
  <si>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</si>
  <si>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</si>
  <si>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</si>
  <si>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</si>
  <si>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</si>
  <si>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</si>
  <si>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</si>
  <si>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</si>
  <si>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</si>
  <si>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</si>
  <si>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</si>
  <si>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</si>
  <si>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</si>
  <si>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</si>
  <si>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</si>
  <si>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</si>
  <si>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</si>
  <si>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</si>
  <si>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</si>
  <si>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</si>
  <si>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</si>
  <si>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</si>
  <si>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</si>
  <si>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</si>
  <si>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</si>
  <si>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</si>
  <si>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</si>
  <si>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</si>
  <si>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</si>
  <si>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</si>
  <si>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</si>
  <si>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</si>
  <si>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</si>
  <si>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</si>
  <si>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</si>
  <si>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</si>
  <si>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</si>
  <si>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</si>
  <si>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</si>
  <si>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</si>
  <si>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</si>
  <si>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</si>
  <si>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</si>
  <si>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</si>
  <si>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</si>
  <si>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</si>
  <si>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</si>
  <si>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</si>
  <si>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</si>
  <si>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</si>
  <si>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</si>
  <si>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</si>
  <si>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</si>
  <si>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</si>
  <si>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</si>
  <si>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</si>
  <si>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</si>
  <si>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</si>
  <si>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</si>
  <si>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</si>
  <si>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</si>
  <si>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</si>
  <si>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</si>
  <si>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</si>
  <si>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</si>
  <si>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</si>
  <si>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</si>
  <si>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</si>
  <si>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</si>
  <si>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</si>
  <si>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</si>
  <si>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</si>
  <si>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</si>
  <si>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</si>
  <si>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</si>
  <si>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</si>
  <si>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</si>
  <si>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</si>
  <si>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</si>
  <si>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</si>
  <si>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</si>
  <si>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</si>
  <si>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</si>
  <si>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</si>
  <si>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</si>
  <si>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</si>
  <si>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</si>
  <si>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</si>
  <si>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</si>
  <si>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</si>
  <si>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</si>
  <si>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</si>
  <si>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</si>
  <si>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</si>
  <si>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</si>
  <si>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</si>
  <si>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</si>
  <si>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</si>
  <si>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</si>
  <si>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</si>
  <si>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</si>
  <si>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</si>
  <si>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</si>
  <si>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</si>
  <si>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</si>
  <si>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</si>
  <si>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</si>
  <si>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</si>
  <si>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</si>
  <si>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</si>
  <si>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</si>
  <si>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</si>
  <si>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</si>
  <si>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</si>
  <si>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</si>
  <si>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</si>
  <si>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</si>
  <si>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</si>
  <si>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</si>
  <si>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</si>
  <si>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</si>
  <si>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</si>
  <si>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</si>
  <si>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</si>
  <si>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</si>
  <si>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</si>
  <si>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</si>
  <si>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</si>
  <si>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</si>
  <si>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</si>
  <si>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</si>
  <si>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</si>
  <si>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</si>
  <si>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</si>
  <si>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</si>
  <si>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</si>
  <si>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</si>
  <si>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</si>
  <si>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</si>
  <si>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</si>
  <si>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</si>
  <si>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</si>
  <si>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</si>
  <si>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</si>
  <si>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</si>
  <si>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</si>
  <si>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</si>
  <si>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</si>
  <si>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</si>
  <si>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</si>
  <si>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</si>
  <si>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</si>
  <si>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</si>
  <si>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</si>
  <si>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</si>
  <si>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</si>
  <si>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</si>
  <si>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</si>
  <si>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</si>
  <si>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</si>
  <si>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</si>
  <si>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</si>
  <si>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</si>
  <si>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</si>
  <si>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</si>
  <si>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</si>
  <si>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</si>
  <si>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</si>
  <si>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</si>
  <si>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</si>
  <si>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</si>
  <si>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</si>
  <si>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</si>
  <si>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</si>
  <si>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</si>
  <si>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</si>
  <si>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</si>
  <si>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</si>
  <si>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</si>
  <si>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</si>
  <si>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</si>
  <si>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</si>
  <si>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</si>
  <si>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</si>
  <si>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</si>
  <si>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</si>
  <si>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</si>
  <si>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</si>
  <si>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</si>
  <si>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</si>
  <si>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</si>
  <si>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</si>
  <si>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</si>
  <si>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</si>
  <si>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</si>
  <si>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</si>
  <si>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</si>
  <si>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</si>
  <si>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</si>
  <si>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</si>
  <si>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</si>
  <si>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</si>
  <si>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</si>
  <si>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</si>
  <si>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</si>
  <si>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</si>
  <si>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</si>
  <si>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</si>
  <si>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</si>
  <si>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</si>
  <si>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</si>
  <si>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</si>
  <si>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</si>
  <si>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</si>
  <si>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</si>
  <si>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</si>
  <si>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</si>
  <si>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</si>
  <si>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</si>
  <si>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</si>
  <si>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</si>
  <si>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</si>
  <si>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</si>
  <si>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</si>
  <si>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</si>
  <si>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</si>
  <si>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</si>
  <si>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</si>
  <si>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</si>
  <si>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</si>
  <si>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</si>
  <si>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</si>
  <si>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</si>
  <si>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</si>
  <si>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</si>
  <si>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</si>
  <si>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</si>
  <si>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</si>
  <si>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</si>
  <si>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</si>
  <si>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</si>
  <si>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</si>
  <si>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</si>
  <si>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</si>
  <si>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</si>
  <si>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</si>
  <si>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</si>
  <si>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</si>
  <si>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</si>
  <si>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</si>
  <si>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</si>
  <si>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</si>
  <si>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</si>
  <si>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</si>
  <si>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</si>
  <si>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</si>
  <si>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</si>
  <si>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</si>
  <si>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</si>
  <si>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</si>
  <si>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</si>
  <si>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</si>
  <si>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</si>
  <si>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</si>
  <si>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</si>
  <si>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</si>
  <si>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</si>
  <si>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</si>
  <si>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</si>
  <si>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</si>
  <si>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</si>
  <si>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</si>
  <si>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</si>
  <si>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</si>
  <si>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</si>
  <si>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</si>
  <si>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</si>
  <si>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</si>
  <si>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</si>
  <si>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</si>
  <si>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</si>
  <si>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</si>
  <si>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</si>
  <si>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</si>
  <si>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</si>
  <si>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</si>
  <si>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</si>
  <si>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</si>
  <si>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</si>
  <si>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</si>
  <si>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</si>
  <si>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</si>
  <si>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</si>
  <si>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</si>
  <si>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</si>
  <si>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</si>
  <si>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</si>
  <si>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</si>
  <si>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</si>
  <si>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</si>
  <si>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</si>
  <si>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</si>
  <si>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</si>
  <si>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</si>
  <si>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</si>
  <si>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</si>
  <si>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</si>
  <si>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</si>
  <si>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</si>
  <si>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</si>
  <si>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</si>
  <si>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</si>
  <si>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</si>
  <si>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</si>
  <si>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</si>
  <si>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</si>
  <si>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</si>
  <si>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</si>
  <si>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</si>
  <si>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</si>
  <si>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</si>
  <si>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</si>
  <si>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</si>
  <si>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</si>
  <si>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</si>
  <si>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</si>
  <si>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</si>
  <si>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</si>
  <si>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</si>
  <si>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</si>
  <si>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</si>
  <si>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</si>
  <si>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</si>
  <si>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</si>
  <si>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</si>
  <si>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</si>
  <si>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</si>
  <si>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</si>
  <si>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</si>
  <si>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</si>
  <si>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</si>
  <si>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</si>
  <si>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</si>
  <si>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</si>
  <si>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</si>
  <si>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</si>
  <si>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</si>
  <si>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</si>
  <si>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</si>
  <si>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</si>
  <si>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</si>
  <si>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</si>
  <si>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</si>
  <si>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</si>
  <si>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</si>
  <si>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</si>
  <si>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</si>
  <si>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</si>
  <si>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</si>
  <si>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</si>
  <si>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</si>
  <si>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</si>
  <si>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</si>
  <si>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</si>
  <si>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</si>
  <si>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</si>
  <si>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</si>
  <si>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</si>
  <si>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</si>
  <si>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</si>
  <si>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</si>
  <si>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</si>
  <si>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</si>
  <si>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</si>
  <si>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</si>
  <si>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</si>
  <si>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</si>
  <si>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</si>
  <si>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</si>
  <si>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</si>
  <si>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</si>
  <si>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</si>
  <si>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</si>
  <si>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</si>
  <si>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</si>
  <si>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</si>
  <si>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</si>
  <si>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</si>
  <si>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</si>
  <si>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</si>
  <si>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</si>
  <si>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</si>
  <si>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</si>
  <si>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</si>
  <si>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</si>
  <si>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</si>
  <si>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</si>
  <si>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</si>
  <si>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</si>
  <si>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</si>
  <si>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</si>
  <si>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</si>
  <si>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</si>
  <si>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</si>
  <si>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</si>
  <si>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</si>
  <si>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</si>
  <si>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</si>
  <si>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</si>
  <si>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</si>
  <si>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</si>
  <si>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</si>
  <si>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</si>
  <si>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</si>
  <si>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</si>
  <si>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</si>
  <si>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</si>
  <si>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</si>
  <si>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</si>
  <si>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</si>
  <si>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</si>
  <si>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</si>
  <si>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</si>
  <si>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</si>
  <si>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</si>
  <si>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</si>
  <si>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</si>
  <si>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</si>
  <si>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</si>
  <si>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</si>
  <si>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</si>
  <si>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</si>
  <si>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</si>
  <si>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</si>
  <si>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</si>
  <si>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</si>
  <si>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</si>
  <si>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</si>
  <si>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</si>
  <si>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</si>
  <si>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</si>
  <si>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</si>
  <si>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</si>
  <si>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</si>
  <si>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</si>
  <si>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</si>
  <si>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</si>
  <si>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</si>
  <si>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</si>
  <si>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</si>
  <si>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</si>
  <si>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</si>
  <si>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</si>
  <si>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</si>
  <si>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</si>
  <si>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</si>
  <si>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</si>
  <si>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</si>
  <si>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</si>
  <si>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</si>
  <si>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</si>
  <si>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</si>
  <si>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</si>
  <si>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</si>
  <si>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</si>
  <si>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</si>
  <si>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</si>
  <si>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</si>
  <si>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</si>
  <si>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</si>
  <si>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</si>
  <si>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</si>
  <si>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</si>
  <si>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</si>
  <si>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</si>
  <si>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</si>
  <si>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</si>
  <si>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</si>
  <si>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</si>
  <si>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</si>
  <si>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</si>
  <si>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</si>
  <si>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</si>
  <si>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</si>
  <si>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</si>
  <si>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</si>
  <si>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</si>
  <si>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</si>
  <si>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</si>
  <si>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</si>
  <si>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</si>
  <si>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</si>
  <si>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</si>
  <si>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</si>
  <si>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</si>
  <si>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</si>
  <si>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</si>
  <si>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</si>
  <si>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</si>
  <si>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</si>
  <si>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</si>
  <si>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</si>
  <si>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</si>
  <si>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</si>
  <si>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</si>
  <si>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</si>
  <si>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</si>
  <si>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</si>
  <si>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</si>
  <si>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</si>
  <si>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</si>
  <si>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</si>
  <si>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</si>
  <si>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</si>
  <si>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</si>
  <si>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</si>
  <si>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</si>
  <si>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</si>
  <si>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</si>
  <si>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</si>
  <si>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</si>
  <si>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</si>
  <si>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</si>
  <si>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</si>
  <si>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</si>
  <si>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</si>
  <si>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</si>
  <si>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</si>
  <si>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</si>
  <si>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</si>
  <si>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</si>
  <si>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</si>
  <si>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</si>
  <si>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</si>
  <si>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</si>
  <si>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</si>
  <si>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</si>
  <si>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</si>
  <si>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</si>
  <si>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</si>
  <si>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</si>
  <si>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</si>
  <si>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</si>
  <si>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</si>
  <si>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</si>
  <si>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</si>
  <si>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</si>
  <si>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</si>
  <si>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</si>
  <si>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</si>
  <si>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</si>
  <si>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</si>
  <si>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</si>
  <si>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</si>
  <si>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</si>
  <si>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</si>
  <si>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</si>
  <si>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</si>
  <si>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</si>
  <si>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</si>
  <si>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</si>
  <si>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</si>
  <si>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</si>
  <si>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</si>
  <si>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</si>
  <si>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</si>
  <si>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</si>
  <si>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</si>
  <si>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</si>
  <si>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</si>
  <si>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</si>
  <si>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</si>
  <si>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</si>
  <si>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</si>
  <si>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</si>
  <si>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</si>
  <si>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</si>
  <si>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</si>
  <si>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</si>
  <si>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</si>
  <si>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</si>
  <si>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</si>
  <si>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</si>
  <si>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</si>
  <si>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</si>
  <si>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</si>
  <si>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</si>
  <si>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</si>
  <si>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</si>
  <si>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</si>
  <si>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</si>
  <si>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</si>
  <si>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</si>
  <si>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</si>
  <si>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</si>
  <si>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</si>
  <si>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</si>
  <si>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</si>
  <si>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</si>
  <si>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</si>
  <si>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</si>
  <si>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</si>
  <si>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</si>
  <si>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</si>
  <si>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</si>
  <si>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</si>
  <si>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</si>
  <si>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</si>
  <si>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</si>
  <si>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</si>
  <si>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</si>
  <si>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</si>
  <si>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</si>
  <si>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</si>
  <si>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</si>
  <si>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</si>
  <si>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</si>
  <si>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</si>
  <si>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</si>
  <si>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</si>
  <si>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</si>
  <si>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</si>
  <si>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</si>
  <si>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</si>
  <si>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</si>
  <si>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</si>
  <si>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</si>
  <si>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</si>
  <si>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</si>
  <si>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</si>
  <si>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</si>
  <si>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</si>
  <si>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</si>
  <si>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</si>
  <si>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</si>
  <si>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</si>
  <si>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</si>
  <si>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</si>
  <si>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</si>
  <si>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</si>
  <si>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</si>
  <si>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</si>
  <si>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</si>
  <si>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</si>
  <si>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</si>
  <si>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</si>
  <si>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</si>
  <si>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</si>
  <si>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</si>
  <si>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</si>
  <si>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</si>
  <si>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</si>
  <si>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</si>
  <si>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</si>
  <si>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</si>
  <si>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</si>
  <si>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</si>
  <si>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</si>
  <si>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</si>
  <si>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</si>
  <si>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</si>
  <si>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</si>
  <si>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</si>
  <si>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</si>
  <si>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</si>
  <si>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</si>
  <si>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</si>
  <si>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</si>
  <si>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</si>
  <si>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</si>
  <si>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</si>
  <si>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</si>
  <si>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</si>
  <si>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</si>
  <si>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</si>
  <si>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</si>
  <si>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</si>
  <si>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</si>
  <si>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</si>
  <si>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</si>
  <si>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</si>
  <si>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</si>
  <si>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</si>
  <si>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</si>
  <si>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</si>
  <si>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</si>
  <si>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</si>
  <si>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</si>
  <si>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</si>
  <si>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</si>
  <si>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</si>
  <si>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</si>
  <si>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</si>
  <si>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</si>
  <si>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</si>
  <si>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</si>
  <si>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</si>
  <si>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</si>
  <si>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</si>
  <si>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</si>
  <si>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</si>
  <si>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</si>
  <si>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</si>
  <si>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</si>
  <si>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</si>
  <si>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</si>
  <si>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</si>
  <si>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</si>
  <si>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</si>
  <si>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</si>
  <si>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</si>
  <si>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</si>
  <si>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</si>
  <si>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</si>
  <si>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</si>
  <si>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</si>
  <si>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</si>
  <si>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</si>
  <si>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</si>
  <si>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</si>
  <si>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</si>
  <si>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</si>
  <si>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</si>
  <si>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</si>
  <si>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</si>
  <si>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</si>
  <si>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</si>
  <si>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</si>
  <si>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</si>
  <si>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</si>
  <si>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</si>
  <si>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</si>
  <si>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</si>
  <si>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</si>
  <si>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</si>
  <si>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</si>
  <si>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</si>
  <si>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</si>
  <si>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</si>
  <si>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</si>
  <si>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</si>
  <si>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</si>
  <si>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</si>
  <si>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</si>
  <si>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</si>
  <si>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</si>
  <si>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</si>
  <si>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</si>
  <si>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</si>
  <si>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</si>
  <si>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</si>
  <si>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</si>
  <si>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</si>
  <si>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</si>
  <si>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</si>
  <si>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</si>
  <si>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</si>
  <si>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</si>
  <si>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</si>
  <si>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</si>
  <si>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</si>
  <si>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</si>
  <si>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</si>
  <si>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</si>
  <si>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</si>
  <si>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</si>
  <si>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</si>
  <si>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</si>
  <si>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</si>
  <si>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</si>
  <si>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</si>
  <si>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</si>
  <si>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</si>
  <si>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</si>
  <si>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</si>
  <si>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</si>
  <si>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</si>
  <si>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</si>
  <si>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</si>
  <si>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</si>
  <si>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</si>
  <si>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</si>
  <si>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</si>
  <si>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</si>
  <si>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</si>
  <si>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</si>
  <si>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</si>
  <si>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</si>
  <si>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</si>
  <si>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</si>
  <si>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</si>
  <si>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</si>
  <si>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</si>
  <si>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</si>
  <si>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</si>
  <si>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</si>
  <si>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</si>
  <si>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</si>
  <si>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</si>
  <si>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</si>
  <si>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</si>
  <si>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</si>
  <si>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</si>
  <si>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</si>
  <si>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</si>
  <si>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</si>
  <si>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</si>
  <si>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</si>
  <si>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</si>
  <si>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</si>
  <si>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</si>
  <si>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</si>
  <si>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</si>
  <si>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</si>
  <si>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</si>
  <si>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</si>
  <si>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</si>
  <si>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</si>
  <si>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</si>
  <si>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</si>
  <si>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</si>
  <si>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</si>
  <si>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</si>
  <si>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</si>
  <si>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</si>
  <si>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</si>
  <si>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</si>
  <si>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</si>
  <si>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</si>
  <si>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</si>
  <si>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</si>
  <si>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</si>
  <si>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</si>
  <si>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</si>
  <si>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</si>
  <si>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</si>
  <si>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</si>
  <si>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</si>
  <si>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</si>
  <si>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</si>
  <si>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</si>
  <si>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</si>
  <si>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</si>
  <si>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</si>
  <si>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</si>
  <si>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</si>
  <si>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</si>
  <si>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</si>
  <si>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</si>
  <si>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</si>
  <si>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</si>
  <si>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</si>
  <si>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</si>
  <si>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</si>
  <si>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</si>
  <si>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</si>
  <si>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</si>
  <si>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</si>
  <si>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</si>
  <si>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</si>
  <si>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</si>
  <si>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</si>
  <si>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</si>
  <si>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</si>
  <si>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</si>
  <si>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</si>
  <si>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</si>
  <si>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</si>
  <si>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</si>
  <si>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</si>
  <si>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</si>
  <si>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</si>
  <si>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</si>
  <si>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</si>
  <si>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</si>
  <si>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</si>
  <si>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</si>
  <si>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</si>
  <si>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</si>
  <si>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</si>
  <si>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</si>
  <si>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</si>
  <si>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</si>
  <si>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</si>
  <si>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</si>
  <si>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</si>
  <si>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</si>
  <si>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</si>
  <si>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</si>
  <si>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</si>
  <si>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</si>
  <si>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</si>
  <si>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</si>
  <si>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</si>
  <si>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</si>
  <si>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</si>
  <si>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</si>
  <si>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</si>
  <si>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</si>
  <si>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</si>
  <si>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</si>
  <si>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</si>
  <si>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</si>
  <si>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</si>
  <si>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</si>
  <si>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</si>
  <si>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</si>
  <si>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</si>
  <si>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</si>
  <si>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</si>
  <si>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</si>
  <si>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</si>
  <si>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</si>
  <si>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</si>
  <si>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</si>
  <si>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</si>
  <si>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</si>
  <si>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</si>
  <si>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</si>
  <si>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</si>
  <si>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</si>
  <si>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</si>
  <si>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</si>
  <si>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</si>
  <si>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</si>
  <si>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</si>
  <si>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</si>
  <si>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</si>
  <si>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</si>
  <si>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</si>
  <si>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</si>
  <si>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</si>
  <si>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</si>
  <si>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</si>
  <si>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</si>
  <si>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</si>
  <si>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</si>
  <si>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</si>
  <si>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</si>
  <si>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</si>
  <si>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</si>
  <si>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</si>
  <si>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</si>
  <si>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</si>
  <si>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</si>
  <si>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</si>
  <si>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</si>
  <si>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</si>
  <si>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</si>
  <si>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</si>
  <si>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</si>
  <si>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</si>
  <si>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</si>
  <si>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</si>
  <si>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</si>
  <si>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</si>
  <si>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</si>
  <si>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</si>
  <si>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</si>
  <si>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</si>
  <si>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</si>
  <si>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</si>
  <si>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</si>
  <si>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</si>
  <si>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</si>
  <si>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</si>
  <si>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</si>
  <si>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</si>
  <si>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</si>
  <si>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</si>
  <si>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</si>
  <si>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</si>
  <si>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</si>
  <si>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</si>
  <si>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</si>
  <si>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</si>
  <si>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</si>
  <si>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</si>
  <si>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</si>
  <si>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</si>
  <si>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</si>
  <si>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</si>
  <si>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</si>
  <si>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</si>
  <si>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</si>
  <si>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</si>
  <si>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</si>
  <si>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</si>
  <si>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</si>
  <si>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</si>
  <si>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</si>
  <si>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</si>
  <si>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</si>
  <si>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</si>
  <si>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</si>
  <si>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</si>
  <si>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</si>
  <si>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</si>
  <si>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</si>
  <si>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</si>
  <si>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</si>
  <si>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</si>
  <si>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</si>
  <si>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</si>
  <si>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</si>
  <si>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</si>
  <si>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</si>
  <si>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</si>
  <si>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</si>
  <si>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</si>
  <si>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</si>
  <si>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</si>
  <si>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</si>
  <si>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</si>
  <si>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</si>
  <si>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</si>
  <si>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</si>
  <si>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</si>
  <si>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</si>
  <si>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</si>
  <si>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</si>
  <si>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</si>
  <si>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</si>
  <si>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</si>
  <si>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</si>
  <si>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</si>
  <si>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</si>
  <si>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</si>
  <si>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</si>
  <si>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</si>
  <si>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</si>
  <si>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</si>
  <si>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</si>
  <si>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</si>
  <si>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</si>
  <si>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</si>
  <si>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</si>
  <si>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</si>
  <si>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</si>
  <si>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</si>
  <si>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</si>
  <si>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</si>
  <si>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</si>
  <si>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</si>
  <si>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</si>
  <si>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</si>
  <si>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</si>
  <si>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</si>
  <si>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</si>
  <si>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</si>
  <si>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</si>
  <si>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</si>
  <si>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</si>
  <si>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</si>
  <si>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</si>
  <si>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</si>
  <si>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</si>
  <si>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</si>
  <si>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</si>
  <si>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</si>
  <si>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</si>
  <si>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</si>
  <si>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</si>
  <si>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</si>
  <si>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</si>
  <si>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</si>
  <si>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</si>
  <si>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</si>
  <si>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</si>
  <si>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</si>
  <si>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</si>
  <si>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</si>
  <si>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</si>
  <si>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</si>
  <si>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</si>
  <si>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</si>
  <si>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</si>
  <si>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</si>
  <si>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</si>
  <si>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</si>
  <si>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</si>
  <si>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</si>
  <si>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</si>
  <si>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</si>
  <si>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</si>
  <si>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</si>
  <si>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</si>
  <si>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</si>
  <si>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</si>
  <si>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</si>
  <si>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</si>
  <si>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</si>
  <si>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</si>
  <si>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</si>
  <si>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</si>
  <si>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</si>
  <si>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</si>
  <si>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</si>
  <si>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</si>
  <si>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</si>
  <si>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</si>
  <si>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</si>
  <si>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</si>
  <si>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</si>
  <si>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</si>
  <si>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</si>
  <si>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</si>
  <si>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</si>
  <si>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</si>
  <si>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</si>
  <si>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</si>
  <si>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</si>
  <si>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</si>
  <si>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</si>
  <si>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</si>
  <si>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</si>
  <si>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</si>
  <si>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</si>
  <si>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</si>
  <si>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</si>
  <si>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</si>
  <si>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</si>
  <si>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</si>
  <si>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</si>
  <si>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</si>
  <si>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</si>
  <si>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</si>
  <si>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</si>
  <si>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</si>
  <si>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</si>
  <si>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</si>
  <si>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</si>
  <si>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</si>
  <si>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</si>
  <si>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</si>
  <si>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</si>
  <si>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</si>
  <si>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</si>
  <si>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</si>
  <si>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</si>
  <si>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</si>
  <si>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</si>
  <si>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</si>
  <si>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</si>
  <si>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</si>
  <si>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</si>
  <si>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</si>
  <si>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</si>
  <si>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</si>
  <si>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</si>
  <si>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</si>
  <si>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</si>
  <si>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</si>
  <si>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</si>
  <si>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</si>
  <si>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</si>
  <si>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</si>
  <si>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</si>
  <si>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</si>
  <si>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</si>
  <si>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</si>
  <si>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</si>
  <si>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</si>
  <si>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</si>
  <si>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</si>
  <si>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</si>
  <si>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</si>
  <si>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</si>
  <si>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</si>
  <si>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</si>
  <si>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</si>
  <si>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</si>
  <si>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</si>
  <si>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</si>
  <si>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</si>
  <si>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</si>
  <si>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</si>
  <si>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</si>
  <si>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</si>
  <si>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</si>
  <si>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</si>
  <si>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</si>
  <si>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</si>
  <si>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</si>
  <si>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</si>
  <si>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</si>
  <si>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</si>
  <si>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</si>
  <si>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</si>
  <si>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</si>
  <si>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</si>
  <si>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</si>
  <si>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</si>
  <si>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</si>
  <si>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</si>
  <si>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</si>
  <si>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</si>
  <si>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</si>
  <si>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</si>
  <si>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</si>
  <si>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</si>
  <si>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</si>
  <si>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</si>
  <si>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</si>
  <si>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</si>
  <si>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</si>
  <si>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</si>
  <si>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</si>
  <si>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</si>
  <si>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</si>
  <si>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</si>
  <si>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</si>
  <si>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</si>
  <si>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</si>
  <si>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</si>
  <si>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</si>
  <si>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</si>
  <si>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</si>
  <si>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</si>
  <si>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</si>
  <si>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</si>
  <si>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</si>
  <si>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</si>
  <si>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</si>
  <si>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</si>
  <si>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</si>
  <si>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</si>
  <si>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</si>
  <si>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</si>
  <si>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</si>
  <si>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</si>
  <si>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</si>
  <si>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</si>
  <si>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</si>
  <si>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</si>
  <si>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</si>
  <si>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</si>
  <si>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</si>
  <si>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</si>
  <si>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</si>
  <si>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</si>
  <si>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</si>
  <si>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</si>
  <si>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</si>
  <si>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</si>
  <si>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</si>
  <si>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</si>
  <si>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</si>
  <si>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</si>
  <si>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</si>
  <si>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</si>
  <si>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</si>
  <si>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</si>
  <si>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</si>
  <si>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</si>
  <si>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</si>
  <si>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</si>
  <si>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</si>
  <si>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</si>
  <si>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</si>
  <si>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</si>
  <si>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</si>
  <si>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</si>
  <si>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</si>
  <si>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</si>
  <si>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</si>
  <si>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</si>
  <si>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</si>
  <si>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</si>
  <si>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</si>
  <si>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</si>
  <si>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</si>
  <si>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</si>
  <si>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</si>
  <si>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</si>
  <si>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</si>
  <si>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</si>
  <si>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</si>
  <si>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</si>
  <si>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</si>
  <si>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</si>
  <si>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</si>
  <si>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</si>
  <si>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</si>
  <si>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</si>
  <si>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</si>
  <si>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</si>
  <si>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</si>
  <si>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</si>
  <si>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</si>
  <si>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</si>
  <si>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</si>
  <si>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</si>
  <si>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</si>
  <si>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</si>
  <si>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</si>
  <si>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</si>
  <si>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</si>
  <si>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</si>
  <si>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</si>
  <si>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</si>
  <si>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</si>
  <si>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</si>
  <si>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</si>
  <si>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</si>
  <si>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</si>
  <si>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</si>
  <si>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</si>
  <si>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</si>
  <si>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</si>
  <si>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</si>
  <si>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</si>
  <si>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</si>
  <si>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</si>
  <si>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</si>
  <si>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</si>
  <si>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</si>
  <si>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</si>
  <si>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</si>
  <si>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</si>
  <si>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</si>
  <si>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</si>
  <si>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</si>
  <si>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</si>
  <si>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</si>
  <si>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</si>
  <si>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</si>
  <si>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</si>
  <si>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</si>
  <si>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</si>
  <si>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</si>
  <si>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</si>
  <si>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</si>
  <si>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</si>
  <si>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</si>
  <si>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</si>
  <si>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</si>
  <si>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</si>
  <si>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</si>
  <si>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</si>
  <si>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</si>
  <si>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</si>
  <si>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</si>
  <si>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</si>
  <si>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</si>
  <si>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</si>
  <si>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</si>
  <si>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</si>
  <si>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</si>
  <si>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</si>
  <si>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</si>
  <si>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</si>
  <si>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</si>
  <si>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</si>
  <si>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</si>
  <si>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</si>
  <si>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</si>
  <si>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</si>
  <si>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</si>
  <si>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</si>
  <si>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</si>
  <si>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</si>
  <si>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</si>
  <si>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</si>
  <si>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</si>
  <si>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</si>
  <si>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</si>
  <si>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</si>
  <si>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</si>
  <si>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</si>
  <si>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</si>
  <si>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</si>
  <si>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</si>
  <si>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</si>
  <si>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</si>
  <si>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</si>
  <si>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</si>
  <si>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</si>
  <si>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</si>
  <si>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</si>
  <si>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</si>
  <si>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</si>
  <si>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</si>
  <si>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</si>
  <si>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</si>
  <si>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</si>
  <si>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</si>
  <si>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</si>
  <si>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</si>
  <si>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</si>
  <si>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</si>
  <si>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</si>
  <si>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</si>
  <si>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</si>
  <si>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</si>
  <si>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</si>
  <si>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</si>
  <si>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</si>
  <si>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</si>
  <si>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</si>
  <si>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</si>
  <si>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</si>
  <si>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</si>
  <si>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</si>
  <si>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</si>
  <si>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</si>
  <si>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</si>
  <si>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</si>
  <si>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</si>
  <si>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</si>
  <si>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</si>
  <si>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</si>
  <si>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</si>
  <si>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</si>
  <si>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</si>
  <si>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</si>
  <si>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</si>
  <si>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</si>
  <si>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</si>
  <si>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</si>
  <si>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</si>
  <si>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</si>
  <si>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</si>
  <si>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</si>
  <si>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</si>
  <si>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</si>
  <si>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</si>
  <si>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</si>
  <si>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</si>
  <si>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</si>
  <si>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</si>
  <si>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</si>
  <si>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</si>
  <si>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</si>
  <si>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</si>
  <si>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</si>
  <si>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</si>
  <si>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</si>
  <si>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</si>
  <si>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</si>
  <si>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</si>
  <si>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</si>
  <si>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</si>
  <si>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</si>
  <si>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</si>
  <si>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</si>
  <si>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</si>
  <si>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</si>
  <si>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</si>
  <si>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</si>
  <si>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</si>
  <si>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</si>
  <si>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</si>
  <si>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</si>
  <si>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</si>
  <si>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</si>
  <si>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</si>
  <si>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</si>
  <si>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</si>
  <si>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</si>
  <si>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</si>
  <si>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</si>
  <si>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</si>
  <si>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</si>
  <si>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</si>
  <si>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</si>
  <si>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</si>
  <si>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</si>
  <si>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</si>
  <si>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</si>
  <si>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</si>
  <si>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</si>
  <si>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</si>
  <si>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</si>
  <si>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</si>
  <si>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</si>
  <si>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</si>
  <si>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</si>
  <si>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</si>
  <si>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</si>
  <si>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</si>
  <si>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</si>
  <si>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</si>
  <si>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</si>
  <si>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</si>
  <si>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</si>
  <si>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</si>
  <si>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</si>
  <si>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</si>
  <si>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</si>
  <si>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</si>
  <si>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</si>
  <si>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</si>
  <si>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</si>
  <si>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</si>
  <si>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</si>
  <si>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</si>
  <si>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</si>
  <si>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</si>
  <si>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</si>
  <si>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</si>
  <si>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</si>
  <si>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</si>
  <si>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</si>
  <si>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</si>
  <si>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</si>
  <si>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</si>
  <si>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</si>
  <si>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</si>
  <si>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</si>
  <si>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</si>
  <si>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</si>
  <si>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</si>
  <si>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</si>
  <si>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</si>
  <si>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</si>
  <si>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</si>
  <si>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</si>
  <si>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</si>
  <si>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</si>
  <si>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</si>
  <si>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</si>
  <si>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</si>
  <si>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</si>
  <si>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</si>
  <si>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</si>
  <si>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</si>
  <si>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</si>
  <si>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</si>
  <si>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</si>
  <si>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</si>
  <si>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</si>
  <si>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</si>
  <si>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</si>
  <si>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</si>
  <si>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</si>
  <si>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</si>
  <si>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</si>
  <si>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</si>
  <si>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</si>
  <si>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</si>
  <si>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</si>
  <si>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</si>
  <si>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</si>
  <si>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</si>
  <si>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</si>
  <si>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</si>
  <si>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</si>
  <si>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</si>
  <si>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</si>
  <si>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</si>
  <si>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</si>
  <si>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</si>
  <si>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</si>
  <si>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</si>
  <si>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</si>
  <si>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</si>
  <si>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</si>
  <si>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</si>
  <si>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</si>
  <si>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</si>
  <si>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</si>
  <si>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</si>
  <si>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</si>
  <si>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</si>
  <si>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</si>
  <si>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</si>
  <si>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</si>
  <si>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</si>
  <si>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</si>
  <si>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</si>
  <si>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</si>
  <si>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</si>
  <si>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</si>
  <si>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</si>
  <si>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</si>
  <si>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</si>
  <si>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</si>
  <si>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</si>
  <si>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</si>
  <si>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</si>
  <si>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</si>
  <si>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</si>
  <si>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</si>
  <si>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</si>
  <si>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</si>
  <si>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</si>
  <si>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</si>
  <si>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</si>
  <si>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</si>
  <si>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</si>
  <si>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</si>
  <si>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</si>
  <si>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</si>
  <si>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</si>
  <si>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</si>
  <si>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</si>
  <si>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</si>
  <si>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</si>
  <si>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</si>
  <si>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</si>
  <si>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</si>
  <si>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</si>
  <si>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</si>
  <si>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</si>
  <si>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</si>
  <si>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</si>
  <si>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</si>
  <si>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</si>
  <si>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</si>
  <si>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</si>
  <si>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</si>
  <si>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</si>
  <si>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</si>
  <si>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</si>
  <si>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</si>
  <si>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</si>
  <si>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</si>
  <si>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</si>
  <si>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</si>
  <si>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</si>
  <si>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</si>
  <si>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</si>
  <si>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</si>
  <si>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</si>
  <si>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</si>
  <si>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</si>
  <si>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</si>
  <si>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</si>
  <si>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</si>
  <si>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</si>
  <si>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</si>
  <si>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</si>
  <si>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</si>
  <si>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</si>
  <si>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</si>
  <si>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</si>
  <si>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</si>
  <si>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</si>
  <si>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</si>
  <si>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</si>
  <si>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</si>
  <si>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</si>
  <si>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</si>
  <si>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</si>
  <si>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</si>
  <si>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</si>
  <si>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</si>
  <si>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</si>
  <si>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</si>
  <si>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</si>
  <si>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</si>
  <si>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</si>
  <si>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</si>
  <si>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</si>
  <si>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</si>
  <si>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</si>
  <si>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</si>
  <si>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</si>
  <si>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</si>
  <si>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</si>
  <si>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</si>
  <si>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</si>
  <si>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</si>
  <si>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</si>
  <si>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</si>
  <si>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</si>
  <si>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</si>
  <si>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</si>
  <si>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</si>
  <si>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</si>
  <si>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</si>
  <si>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</si>
  <si>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</si>
  <si>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</si>
  <si>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</si>
  <si>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</si>
  <si>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</si>
  <si>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</si>
  <si>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</si>
  <si>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</si>
  <si>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</si>
  <si>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</si>
  <si>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</si>
  <si>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</si>
  <si>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</si>
  <si>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</si>
  <si>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</si>
  <si>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</si>
  <si>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</si>
  <si>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</si>
  <si>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</si>
  <si>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</si>
  <si>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</si>
  <si>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</si>
  <si>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</si>
  <si>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</si>
  <si>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</si>
  <si>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</si>
  <si>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</si>
  <si>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</si>
  <si>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</si>
  <si>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</si>
  <si>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</si>
  <si>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</si>
  <si>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</si>
  <si>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</si>
  <si>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</si>
  <si>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</si>
  <si>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</si>
  <si>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</si>
  <si>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</si>
  <si>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</si>
  <si>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</si>
  <si>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</si>
  <si>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</si>
  <si>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</si>
  <si>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</si>
  <si>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</si>
  <si>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</si>
  <si>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</si>
  <si>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</si>
  <si>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</si>
  <si>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</si>
  <si>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</si>
  <si>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</si>
  <si>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</si>
  <si>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</si>
  <si>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</si>
  <si>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</si>
  <si>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</si>
  <si>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</si>
  <si>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</si>
  <si>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</si>
  <si>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</si>
  <si>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</si>
  <si>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</si>
  <si>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</si>
  <si>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</si>
  <si>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</si>
  <si>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</si>
  <si>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</si>
  <si>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</si>
  <si>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</si>
  <si>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</si>
  <si>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</si>
  <si>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</si>
  <si>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</si>
  <si>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</si>
  <si>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</si>
  <si>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</si>
  <si>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</si>
  <si>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</si>
  <si>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</si>
  <si>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</si>
  <si>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</si>
  <si>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</si>
  <si>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</si>
  <si>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</si>
  <si>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</si>
  <si>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</si>
  <si>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</si>
  <si>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</si>
  <si>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</si>
  <si>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</si>
  <si>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</si>
  <si>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</si>
  <si>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</si>
  <si>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</si>
  <si>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</si>
  <si>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</si>
  <si>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</si>
  <si>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</si>
  <si>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</si>
  <si>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</si>
  <si>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</si>
  <si>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</si>
  <si>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</si>
  <si>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</si>
  <si>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</si>
  <si>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</si>
  <si>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</si>
  <si>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</si>
  <si>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</si>
  <si>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</si>
  <si>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</si>
  <si>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</si>
  <si>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</si>
  <si>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</si>
  <si>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</si>
  <si>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</si>
  <si>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</si>
  <si>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</si>
  <si>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</si>
  <si>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</si>
  <si>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</si>
  <si>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</si>
  <si>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</si>
  <si>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</si>
  <si>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</si>
  <si>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</si>
  <si>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</si>
  <si>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</si>
  <si>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</si>
  <si>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</si>
  <si>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</si>
  <si>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</si>
  <si>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</si>
  <si>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</si>
  <si>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</si>
  <si>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</si>
  <si>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</si>
  <si>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</si>
  <si>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</si>
  <si>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</si>
  <si>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</si>
  <si>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</si>
  <si>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</si>
  <si>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</si>
  <si>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</si>
  <si>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</si>
  <si>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</si>
  <si>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</si>
  <si>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</si>
  <si>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</si>
  <si>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</si>
  <si>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</si>
  <si>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</si>
  <si>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</si>
  <si>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</si>
  <si>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</si>
  <si>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</si>
  <si>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</si>
  <si>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</si>
  <si>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</si>
  <si>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</si>
  <si>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</si>
  <si>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</si>
  <si>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</si>
  <si>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</si>
  <si>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</si>
  <si>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</si>
  <si>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</si>
  <si>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</si>
  <si>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</si>
  <si>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</si>
  <si>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</si>
  <si>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</si>
  <si>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</si>
  <si>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</si>
  <si>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</si>
  <si>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</si>
  <si>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</si>
  <si>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</si>
  <si>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</si>
  <si>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</si>
  <si>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</si>
  <si>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</si>
  <si>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</si>
  <si>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</si>
  <si>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</si>
  <si>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</si>
  <si>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</si>
  <si>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</si>
  <si>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</si>
  <si>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</si>
  <si>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</si>
  <si>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</si>
  <si>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</si>
  <si>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</si>
  <si>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</si>
  <si>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</si>
  <si>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</si>
  <si>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</si>
  <si>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</si>
  <si>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</si>
  <si>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</si>
  <si>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</si>
  <si>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</si>
  <si>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</si>
  <si>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</si>
  <si>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</si>
  <si>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</si>
  <si>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</si>
  <si>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</si>
  <si>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</si>
  <si>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</si>
  <si>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</si>
  <si>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</si>
  <si>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</si>
  <si>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</si>
  <si>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</si>
  <si>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</si>
  <si>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</si>
  <si>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</si>
  <si>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</si>
  <si>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</si>
  <si>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</si>
  <si>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</si>
  <si>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</si>
  <si>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</si>
  <si>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</si>
  <si>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</si>
  <si>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</si>
  <si>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</si>
  <si>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</si>
  <si>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</si>
  <si>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</si>
  <si>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</si>
  <si>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</si>
  <si>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</si>
  <si>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</si>
  <si>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</si>
  <si>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</si>
  <si>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</si>
  <si>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</si>
  <si>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</si>
  <si>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</si>
  <si>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</si>
  <si>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</si>
  <si>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</si>
  <si>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</si>
  <si>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</si>
  <si>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</si>
  <si>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</si>
  <si>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</si>
  <si>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</si>
  <si>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</si>
  <si>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</si>
  <si>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</si>
  <si>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</si>
  <si>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</si>
  <si>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</si>
  <si>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</si>
  <si>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</si>
  <si>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</si>
  <si>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</si>
  <si>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</si>
  <si>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</si>
  <si>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</si>
  <si>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</si>
  <si>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</si>
  <si>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</si>
  <si>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</si>
  <si>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</si>
  <si>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</si>
  <si>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</si>
  <si>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</si>
  <si>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</si>
  <si>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</si>
  <si>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</si>
  <si>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</si>
  <si>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</si>
  <si>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</si>
  <si>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</si>
  <si>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</si>
  <si>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</si>
  <si>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</si>
  <si>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</si>
  <si>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</si>
  <si>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</si>
  <si>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</si>
  <si>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</si>
  <si>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</si>
  <si>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</si>
  <si>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</si>
  <si>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</si>
  <si>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</si>
  <si>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</si>
  <si>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</si>
  <si>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</si>
  <si>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</si>
  <si>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</si>
  <si>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</si>
  <si>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</si>
  <si>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</si>
  <si>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</si>
  <si>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</si>
  <si>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</si>
  <si>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</si>
  <si>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</si>
  <si>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</si>
  <si>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</si>
  <si>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</si>
  <si>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</si>
  <si>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</si>
  <si>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</si>
  <si>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</si>
  <si>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</si>
  <si>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</si>
  <si>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</si>
  <si>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</si>
  <si>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</si>
  <si>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</si>
  <si>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</si>
  <si>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</si>
  <si>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</si>
  <si>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</si>
  <si>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</si>
  <si>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</si>
  <si>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</si>
  <si>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</si>
  <si>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</si>
  <si>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</si>
  <si>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</si>
  <si>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</si>
  <si>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</si>
  <si>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</si>
  <si>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</si>
  <si>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</si>
  <si>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</si>
  <si>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</si>
  <si>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</si>
  <si>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</si>
  <si>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</si>
  <si>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</si>
  <si>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</si>
  <si>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</si>
  <si>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</si>
  <si>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</si>
  <si>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</si>
  <si>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</si>
  <si>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</si>
  <si>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</si>
  <si>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</si>
  <si>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</si>
  <si>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</si>
  <si>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</si>
  <si>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</si>
  <si>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</si>
  <si>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</si>
  <si>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</si>
  <si>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</si>
  <si>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</si>
  <si>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</si>
  <si>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</si>
  <si>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</si>
  <si>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</si>
  <si>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</si>
  <si>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</si>
  <si>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</si>
  <si>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</si>
  <si>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</si>
  <si>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</si>
  <si>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</si>
  <si>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</si>
  <si>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</si>
  <si>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</si>
  <si>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</si>
  <si>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</si>
  <si>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</si>
  <si>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</si>
  <si>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</si>
  <si>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</si>
  <si>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</si>
  <si>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</si>
  <si>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</si>
  <si>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</si>
  <si>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</si>
  <si>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</si>
  <si>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</si>
  <si>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</si>
  <si>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</si>
  <si>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</si>
  <si>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</si>
  <si>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</si>
  <si>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</si>
  <si>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</si>
  <si>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</si>
  <si>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</si>
  <si>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</si>
  <si>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</si>
  <si>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</si>
  <si>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</si>
  <si>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</si>
  <si>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</si>
  <si>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</si>
  <si>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</si>
  <si>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</si>
  <si>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</si>
  <si>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</si>
  <si>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</si>
  <si>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</si>
  <si>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</si>
  <si>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</si>
  <si>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</si>
  <si>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</si>
  <si>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</si>
  <si>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</si>
  <si>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</si>
  <si>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</si>
  <si>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</si>
  <si>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</si>
  <si>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</si>
  <si>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</si>
  <si>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</si>
  <si>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</si>
  <si>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</si>
  <si>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</si>
  <si>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</si>
  <si>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</si>
  <si>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</si>
  <si>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</si>
  <si>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</si>
  <si>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</si>
  <si>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</si>
  <si>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</si>
  <si>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</si>
  <si>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</si>
  <si>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</si>
  <si>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</si>
  <si>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</si>
  <si>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</si>
  <si>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</si>
  <si>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</si>
  <si>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</si>
  <si>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</si>
  <si>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</si>
  <si>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</si>
  <si>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</si>
  <si>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</si>
  <si>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</si>
  <si>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</si>
  <si>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</si>
  <si>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</si>
  <si>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</si>
  <si>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</si>
  <si>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</si>
  <si>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</si>
  <si>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</si>
  <si>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</si>
  <si>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</si>
  <si>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</si>
  <si>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</si>
  <si>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</si>
  <si>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</si>
  <si>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</si>
  <si>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</si>
  <si>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</si>
  <si>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</si>
  <si>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</si>
  <si>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</si>
  <si>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</si>
  <si>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</si>
  <si>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</si>
  <si>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</si>
  <si>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</si>
  <si>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</si>
  <si>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</si>
  <si>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</si>
  <si>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</si>
  <si>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</si>
  <si>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</si>
  <si>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</si>
  <si>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</si>
  <si>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</si>
  <si>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</si>
  <si>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</si>
  <si>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</si>
  <si>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</si>
  <si>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</si>
  <si>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</si>
  <si>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</si>
  <si>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</si>
  <si>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</si>
  <si>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</si>
  <si>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</si>
  <si>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</si>
  <si>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</si>
  <si>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</si>
  <si>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</si>
  <si>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</si>
  <si>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</si>
  <si>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</si>
  <si>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</si>
  <si>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</si>
  <si>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</si>
  <si>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</si>
  <si>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</si>
  <si>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</si>
  <si>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</si>
  <si>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</si>
  <si>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</si>
  <si>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</si>
  <si>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</si>
  <si>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</si>
  <si>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</si>
  <si>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</si>
  <si>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</si>
  <si>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</si>
  <si>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</si>
  <si>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</si>
  <si>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</si>
  <si>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</si>
  <si>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</si>
  <si>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</si>
  <si>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</si>
  <si>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</si>
  <si>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</si>
  <si>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</si>
  <si>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</si>
  <si>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</si>
  <si>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</si>
  <si>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</si>
  <si>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</si>
  <si>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</si>
  <si>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</si>
  <si>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</si>
  <si>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</si>
  <si>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</si>
  <si>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</si>
  <si>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</si>
  <si>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</si>
  <si>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</si>
  <si>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</si>
  <si>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</si>
  <si>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</si>
  <si>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</si>
  <si>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</si>
  <si>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</si>
  <si>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</si>
  <si>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</si>
  <si>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</si>
  <si>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</si>
  <si>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</si>
  <si>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</si>
  <si>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</si>
  <si>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</si>
  <si>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</si>
  <si>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</si>
  <si>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</si>
  <si>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</si>
  <si>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</si>
  <si>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</si>
  <si>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</si>
  <si>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</si>
  <si>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</si>
  <si>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</si>
  <si>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</si>
  <si>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</si>
  <si>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</si>
  <si>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</si>
  <si>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</si>
  <si>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</si>
  <si>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</si>
  <si>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</si>
  <si>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</si>
  <si>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</si>
  <si>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</si>
  <si>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</si>
  <si>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</si>
  <si>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</si>
  <si>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</si>
  <si>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</si>
  <si>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</si>
  <si>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</si>
  <si>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</si>
  <si>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</si>
  <si>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</si>
  <si>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</si>
  <si>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</si>
  <si>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</si>
  <si>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</si>
  <si>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</si>
  <si>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</si>
  <si>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</si>
  <si>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</si>
  <si>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</si>
  <si>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</si>
  <si>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</si>
  <si>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</si>
  <si>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</si>
  <si>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</si>
  <si>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</si>
  <si>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需扣减承租人权益</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</si>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</sst>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54" fillId="18" borderId="24" xfId="0" applyFont="1" applyFill="1" applyBorder="1" applyAlignment="1" applyProtection="1">
      <alignment horizontal="center" vertical="center"/>
      <protection locked="0"/>
    </xf>
    <xf numFmtId="10" fontId="52" fillId="18" borderId="24" xfId="0" applyNumberFormat="1" applyFont="1" applyFill="1" applyBorder="1" applyAlignment="1" applyProtection="1">
      <alignment horizontal="center" vertical="center"/>
      <protection locked="0"/>
    </xf>
    <xf numFmtId="182" fontId="52" fillId="18" borderId="24" xfId="0" applyNumberFormat="1" applyFont="1" applyFill="1" applyBorder="1" applyAlignment="1" applyProtection="1">
      <alignment horizontal="center" vertical="center"/>
      <protection locked="0"/>
    </xf>
    <xf numFmtId="181" fontId="52" fillId="18" borderId="79" xfId="0" applyNumberFormat="1" applyFont="1" applyFill="1" applyBorder="1" applyAlignment="1" applyProtection="1">
      <alignment horizontal="center" vertical="center"/>
      <protection locked="0"/>
    </xf>
    <xf numFmtId="10" fontId="52" fillId="18"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2024年10月8日（评估专业人员实地查勘之日）</v>
      </c>
    </row>
    <row r="13" spans="1:2">
      <c r="A13" s="1119" t="s">
        <v>529</v>
      </c>
      <c r="B13" s="1120"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22431</v>
      </c>
    </row>
    <row r="21" spans="1:2">
      <c r="A21" s="1119" t="s">
        <v>537</v>
      </c>
      <c r="B21" s="1120">
        <f ca="1">'预评函-2'!D7</f>
        <v>24824</v>
      </c>
    </row>
    <row r="22" spans="1:2">
      <c r="A22" s="1119" t="s">
        <v>538</v>
      </c>
      <c r="B22" s="1120" t="str">
        <f ca="1">'预评函-2'!D6</f>
        <v>贰亿贰仟肆佰叁拾壹万元整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22431</v>
      </c>
    </row>
    <row r="31" spans="1:2">
      <c r="A31" s="1119" t="s">
        <v>576</v>
      </c>
      <c r="B31" s="1120">
        <f ca="1">'预评函-2'!D15</f>
        <v>24824</v>
      </c>
    </row>
    <row r="32" spans="1:2">
      <c r="A32" s="1119" t="s">
        <v>543</v>
      </c>
      <c r="B32" s="1120" t="str">
        <f ca="1">'预评函-2'!D14</f>
        <v>贰亿贰仟肆佰叁拾壹万元整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17205</v>
      </c>
    </row>
    <row r="48" spans="1:2">
      <c r="A48" s="1119" t="s">
        <v>549</v>
      </c>
      <c r="B48" s="1120">
        <f ca="1">'预评函-3'!E4</f>
        <v>19040</v>
      </c>
    </row>
    <row r="49" spans="1:2">
      <c r="A49" s="1119" t="s">
        <v>550</v>
      </c>
      <c r="B49" s="1120" t="str">
        <f ca="1">'预评函-3'!D5</f>
        <v>壹亿柒仟贰佰零伍万元整</v>
      </c>
    </row>
    <row r="50" spans="1:2">
      <c r="A50" s="1119" t="s">
        <v>574</v>
      </c>
      <c r="B50" s="1120" t="str">
        <f>'预评函-3'!F2</f>
        <v>在建建筑物价值</v>
      </c>
    </row>
    <row r="51" spans="1:2">
      <c r="A51" s="1119" t="s">
        <v>551</v>
      </c>
      <c r="B51" s="1120">
        <f ca="1">'预评函-3'!F4</f>
        <v>5226</v>
      </c>
    </row>
    <row r="52" spans="1:2">
      <c r="A52" s="1119" t="s">
        <v>552</v>
      </c>
      <c r="B52" s="1120">
        <f ca="1">'预评函-3'!G4</f>
        <v>5784</v>
      </c>
    </row>
    <row r="53" spans="1:2">
      <c r="A53" s="1119" t="s">
        <v>580</v>
      </c>
      <c r="B53" s="1120" t="str">
        <f ca="1">'预评函-3'!F5</f>
        <v>伍仟贰佰贰拾陆万元整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9" t="s">
        <v>2578</v>
      </c>
      <c r="J2" s="3209"/>
      <c r="K2" s="3209"/>
      <c r="L2" s="3209"/>
      <c r="M2" s="3209"/>
      <c r="N2" s="3209"/>
      <c r="O2" s="3209"/>
      <c r="P2" s="3209"/>
      <c r="Q2" s="3209"/>
      <c r="R2" s="3209"/>
    </row>
    <row r="3" spans="1:18">
      <c r="A3" s="2760" t="s">
        <v>2499</v>
      </c>
      <c r="B3" s="2761">
        <f>项目基本情况!D3</f>
        <v>45573</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2.19</v>
      </c>
      <c r="D5" s="2765">
        <f>IF(ISERROR(ROUND(POWER(1+E5,A5-C5)*(POWER(1+E5,C5)-1)/(POWER(1+E5,A5)-1),3)),0,ROUND(POWER(1+E5,A5-C5)*(POWER(1+E5,C5)-1)/(POWER(1+E5,A5)-1),4))</f>
        <v>0.104</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v>
      </c>
      <c r="D6" s="2765">
        <f>IF(ISERROR(ROUND(POWER(1+E6,A6-C6)*(POWER(1+E6,C6)-1)/(POWER(1+E6,A6)-1),3)),0,ROUND(POWER(1+E6,A6-C6)*(POWER(1+E6,C6)-1)/(POWER(1+E6,A6)-1),4))</f>
        <v>0.44259999999999999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32.21</v>
      </c>
      <c r="D7" s="2765">
        <f>IF(ISERROR(ROUND(POWER(1+E7,A7-C7)*(POWER(1+E7,C7)-1)/(POWER(1+E7,A7)-1),3)),0,ROUND(POWER(1+E7,A7-C7)*(POWER(1+E7,C7)-1)/(POWER(1+E7,A7)-1),4))</f>
        <v>0.76649999999999996</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J18" sqref="J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北京市靛厂路11号房地产抵押价值预评估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f>B3</f>
        <v>45573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20"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21"/>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142"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21.9</v>
      </c>
      <c r="E15" s="2221">
        <f>IF(A13="出让",IF(E13="","",ROUNDDOWN(MIN((E13-$D$3)/365,E14),2)),E14)</f>
        <v>31.91</v>
      </c>
      <c r="F15" s="2221" t="str">
        <f>IF(A13="出让",IF(F13="","",ROUNDDOWN(MIN((F13-$D$3)/365,F14),2)),F14)</f>
        <v/>
      </c>
      <c r="G15" s="2221" t="str">
        <f>IF(A13="出让",IF(G13="","",ROUNDDOWN(MIN((G13-$D$3)/365,G14),2)),G14)</f>
        <v/>
      </c>
      <c r="H15" s="2221" t="str">
        <f>IF(A13="出让",IF(H13="","",ROUNDDOWN(MIN((H13-$D$3)/365,H14),2)),H14)</f>
        <v/>
      </c>
      <c r="I15" s="2221">
        <f>IF(A13="出让",IF(I13="","",ROUNDDOWN(MIN((I13-$D$3)/365,I14),2)),I14)</f>
        <v>8.77</v>
      </c>
      <c r="J15" s="2802"/>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1"/>
      <c r="L16" s="1670"/>
      <c r="M16" s="1670"/>
      <c r="N16" s="2245"/>
      <c r="O16" s="1670"/>
      <c r="P16" s="2245"/>
      <c r="Q16" s="2245"/>
      <c r="R16" s="2245"/>
    </row>
    <row r="17" spans="1:28">
      <c r="A17" s="305" t="s">
        <v>2195</v>
      </c>
      <c r="B17" s="294" t="s">
        <v>2196</v>
      </c>
      <c r="C17" s="8">
        <f>'数据-汇总表'!E3</f>
        <v>9035.91</v>
      </c>
      <c r="D17" s="1256" t="s">
        <v>2197</v>
      </c>
      <c r="E17" s="3233" t="s">
        <v>2198</v>
      </c>
      <c r="F17" s="3234"/>
      <c r="G17" s="3234"/>
      <c r="H17" s="3234"/>
      <c r="I17" s="3235"/>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6" t="s">
        <v>2202</v>
      </c>
      <c r="F18" s="3237"/>
      <c r="G18" s="3237"/>
      <c r="H18" s="3237"/>
      <c r="I18" s="3238"/>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23" t="s">
        <v>2206</v>
      </c>
      <c r="C20" s="3224"/>
      <c r="D20" s="3225" t="s">
        <v>2207</v>
      </c>
      <c r="E20" s="3226"/>
      <c r="F20" s="2428" t="s">
        <v>1056</v>
      </c>
      <c r="G20" s="2440"/>
      <c r="H20" s="2440"/>
      <c r="I20" s="2440"/>
      <c r="J20" s="2245"/>
      <c r="K20" s="3222"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11"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11"/>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11"/>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12"/>
      <c r="B30" s="294" t="s">
        <v>2218</v>
      </c>
      <c r="C30" s="3213"/>
      <c r="D30" s="3214"/>
      <c r="E30" s="2440"/>
      <c r="F30" s="2440"/>
      <c r="G30" s="2440"/>
      <c r="H30" s="2440"/>
      <c r="I30" s="2440"/>
      <c r="J30" s="2245"/>
      <c r="K30" s="2400"/>
      <c r="L30" s="2397"/>
      <c r="M30" s="2397"/>
      <c r="N30" s="2245"/>
      <c r="O30" s="1670"/>
      <c r="P30" s="2245"/>
      <c r="Q30" s="2245"/>
      <c r="R30" s="2245"/>
      <c r="S30" s="2245"/>
      <c r="T30" s="2245"/>
      <c r="U30" s="2245"/>
      <c r="V30" s="2245"/>
    </row>
    <row r="31" spans="1:28">
      <c r="A31" s="3215"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16"/>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16"/>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5"/>
      <c r="V34" s="2245"/>
    </row>
    <row r="35" spans="1:30">
      <c r="A35" s="2236"/>
      <c r="B35" s="3210" t="s">
        <v>2229</v>
      </c>
      <c r="C35" s="3210"/>
      <c r="D35" s="3210"/>
      <c r="E35" s="3210"/>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10"/>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2"/>
  <sheetViews>
    <sheetView view="pageBreakPreview" zoomScale="70" zoomScaleNormal="100" zoomScaleSheetLayoutView="70" workbookViewId="0">
      <selection activeCell="F19" sqref="F19:G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3" t="s">
        <v>1108</v>
      </c>
      <c r="F2" s="2437"/>
      <c r="G2" s="2430"/>
      <c r="H2" s="2431"/>
      <c r="I2" s="2146" t="s">
        <v>1132</v>
      </c>
      <c r="J2" s="2437"/>
      <c r="K2" s="2437"/>
      <c r="L2" s="2437"/>
      <c r="M2" s="2437"/>
      <c r="N2" s="2438"/>
      <c r="O2" s="2437"/>
      <c r="P2" s="2437"/>
    </row>
    <row r="3" spans="1:16" ht="15.75" thickBot="1">
      <c r="A3" s="3249" t="s">
        <v>1105</v>
      </c>
      <c r="B3" s="3249"/>
      <c r="C3" s="3249"/>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50"/>
      <c r="B4" s="3251"/>
      <c r="C4" s="325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3" t="s">
        <v>1110</v>
      </c>
      <c r="C5" s="325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3" t="s">
        <v>1111</v>
      </c>
      <c r="C6" s="3253"/>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45"/>
      <c r="B7" s="3246"/>
      <c r="C7" s="3247"/>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42" t="s">
        <v>1135</v>
      </c>
      <c r="L16" s="3243"/>
      <c r="M16" s="3243"/>
      <c r="N16" s="3243"/>
      <c r="O16" s="3243"/>
      <c r="P16" s="3244"/>
    </row>
    <row r="17" spans="1:19" ht="15">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'[1]数据-基础表'!K13</f>
        <v>6023.94</v>
      </c>
      <c r="G19" s="1243">
        <f>'[1]数据-基础表'!M13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'[1]数据-基础表'!I13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8">
      <c r="D33" s="1558"/>
    </row>
    <row r="39" spans="4:8">
      <c r="F39" s="1522">
        <v>2000</v>
      </c>
      <c r="G39" s="1522">
        <v>4000</v>
      </c>
      <c r="H39" s="1522">
        <f>(F39*F31+G39*G31)/E31</f>
        <v>2333.3333333333335</v>
      </c>
    </row>
    <row r="40" spans="4:8">
      <c r="H40" s="1522">
        <v>2500</v>
      </c>
    </row>
    <row r="41" spans="4:8">
      <c r="H41" s="1522">
        <v>2000</v>
      </c>
    </row>
    <row r="42" spans="4:8">
      <c r="H42" s="1522">
        <f>H39+H40+H41</f>
        <v>6833.3333333333339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4:I37"/>
  <sheetViews>
    <sheetView topLeftCell="A13" workbookViewId="0">
      <selection activeCell="I35" sqref="I35"/>
    </sheetView>
  </sheetViews>
  <sheetFormatPr defaultColWidth="9" defaultRowHeight="13.5"/>
  <cols>
    <col min="1" max="16384" width="9" style="3143"/>
  </cols>
  <sheetData>
    <row r="4" spans="2:7">
      <c r="B4" s="3143" t="s">
        <v>3402</v>
      </c>
    </row>
    <row r="5" spans="2:7">
      <c r="B5" s="3144"/>
      <c r="C5" s="3145" t="s">
        <v>3403</v>
      </c>
      <c r="D5" s="3145" t="s">
        <v>3404</v>
      </c>
      <c r="E5" s="3145" t="s">
        <v>3405</v>
      </c>
      <c r="F5" s="3144"/>
      <c r="G5" s="3146" t="s">
        <v>3406</v>
      </c>
    </row>
    <row r="6" spans="2:7">
      <c r="B6" s="3147" t="s">
        <v>3407</v>
      </c>
      <c r="C6" s="3148">
        <f>C7+C8</f>
        <v>9035.91</v>
      </c>
      <c r="D6" s="3148">
        <f>E6/C6</f>
        <v>2333.3333333333335</v>
      </c>
      <c r="E6" s="3148">
        <f>E7+E8</f>
        <v>21083790</v>
      </c>
      <c r="F6" s="3144"/>
      <c r="G6" s="3149">
        <v>1</v>
      </c>
    </row>
    <row r="7" spans="2:7">
      <c r="B7" s="3145" t="s">
        <v>3399</v>
      </c>
      <c r="C7" s="3150">
        <f>'数据-汇总表'!F27</f>
        <v>7529.9249999999993</v>
      </c>
      <c r="D7" s="3144">
        <v>2000</v>
      </c>
      <c r="E7" s="3144">
        <f>D7*C7</f>
        <v>15059849.999999998</v>
      </c>
      <c r="F7" s="3144"/>
      <c r="G7" s="3144"/>
    </row>
    <row r="8" spans="2:7">
      <c r="B8" s="3145" t="s">
        <v>3400</v>
      </c>
      <c r="C8" s="3150">
        <f>'数据-汇总表'!G19</f>
        <v>1505.9850000000006</v>
      </c>
      <c r="D8" s="3144">
        <v>4000</v>
      </c>
      <c r="E8" s="3144">
        <f t="shared" ref="E8:E11" si="0">D8*C8</f>
        <v>6023940.0000000019</v>
      </c>
      <c r="F8" s="3144"/>
      <c r="G8" s="3144"/>
    </row>
    <row r="9" spans="2:7">
      <c r="B9" s="3147" t="s">
        <v>3408</v>
      </c>
      <c r="C9" s="3148">
        <f>C6</f>
        <v>9035.91</v>
      </c>
      <c r="D9" s="3148">
        <v>2000</v>
      </c>
      <c r="E9" s="3148">
        <f t="shared" si="0"/>
        <v>18071820</v>
      </c>
      <c r="F9" s="3144"/>
      <c r="G9" s="3149">
        <v>1</v>
      </c>
    </row>
    <row r="10" spans="2:7">
      <c r="B10" s="3147" t="s">
        <v>3409</v>
      </c>
      <c r="C10" s="3148">
        <f>C6</f>
        <v>9035.91</v>
      </c>
      <c r="D10" s="3148">
        <v>1500</v>
      </c>
      <c r="E10" s="3148">
        <f t="shared" si="0"/>
        <v>13553865</v>
      </c>
      <c r="F10" s="3144"/>
      <c r="G10" s="3149">
        <v>1</v>
      </c>
    </row>
    <row r="11" spans="2:7">
      <c r="B11" s="3147" t="s">
        <v>3410</v>
      </c>
      <c r="C11" s="3148">
        <v>0</v>
      </c>
      <c r="D11" s="3148">
        <f>D8</f>
        <v>4000</v>
      </c>
      <c r="E11" s="3148">
        <f t="shared" si="0"/>
        <v>0</v>
      </c>
      <c r="F11" s="3144"/>
      <c r="G11" s="3144"/>
    </row>
    <row r="12" spans="2:7">
      <c r="B12" s="3145" t="s">
        <v>3411</v>
      </c>
      <c r="C12" s="3144">
        <f>C6</f>
        <v>9035.91</v>
      </c>
      <c r="D12" s="3144">
        <f>E12/C12</f>
        <v>5833.333333333333</v>
      </c>
      <c r="E12" s="3144">
        <f>E6+E9+E10+E11</f>
        <v>52709475</v>
      </c>
      <c r="F12" s="3144"/>
      <c r="G12" s="3147">
        <f>(G6*E6+G9*E9+G10*E10)/E12</f>
        <v>1</v>
      </c>
    </row>
    <row r="16" spans="2:7">
      <c r="B16" s="3143" t="s">
        <v>3412</v>
      </c>
    </row>
    <row r="17" spans="2:8">
      <c r="B17" s="3144"/>
      <c r="C17" s="3145" t="s">
        <v>3413</v>
      </c>
      <c r="D17" s="3145"/>
      <c r="E17" s="3145" t="s">
        <v>3414</v>
      </c>
      <c r="F17" s="3145" t="s">
        <v>3415</v>
      </c>
      <c r="G17" s="3145" t="s">
        <v>3416</v>
      </c>
      <c r="H17" s="3146" t="s">
        <v>3412</v>
      </c>
    </row>
    <row r="18" spans="2:8">
      <c r="B18" s="3147" t="s">
        <v>3417</v>
      </c>
      <c r="C18" s="3148">
        <v>2012</v>
      </c>
      <c r="D18" s="3148">
        <v>2024</v>
      </c>
      <c r="E18" s="3148">
        <v>50</v>
      </c>
      <c r="F18" s="3144">
        <v>60</v>
      </c>
      <c r="G18" s="3144">
        <v>0</v>
      </c>
      <c r="H18" s="3151">
        <f>ROUND((1-G18)-(D18-C18)/F18,2)</f>
        <v>0.8</v>
      </c>
    </row>
    <row r="19" spans="2:8">
      <c r="B19" s="3145" t="s">
        <v>3418</v>
      </c>
      <c r="C19" s="3150"/>
      <c r="D19" s="3144"/>
      <c r="E19" s="3144"/>
      <c r="F19" s="3144"/>
      <c r="G19" s="3144"/>
      <c r="H19" s="3149">
        <v>0.9</v>
      </c>
    </row>
    <row r="20" spans="2:8">
      <c r="B20" s="3145"/>
      <c r="C20" s="3144"/>
      <c r="D20" s="3144"/>
      <c r="E20" s="3144"/>
      <c r="F20" s="3144"/>
      <c r="G20" s="3144"/>
      <c r="H20" s="3152">
        <f>ROUND((H19+H18)/2,2)</f>
        <v>0.85</v>
      </c>
    </row>
    <row r="22" spans="2:8">
      <c r="B22" s="3144"/>
      <c r="C22" s="3145" t="s">
        <v>3413</v>
      </c>
      <c r="D22" s="3145"/>
      <c r="E22" s="3145" t="s">
        <v>3414</v>
      </c>
      <c r="F22" s="3145" t="s">
        <v>3415</v>
      </c>
      <c r="G22" s="3145" t="s">
        <v>3416</v>
      </c>
      <c r="H22" s="3146" t="s">
        <v>3412</v>
      </c>
    </row>
    <row r="23" spans="2:8">
      <c r="B23" s="3147" t="s">
        <v>3417</v>
      </c>
      <c r="C23" s="3148">
        <v>2012</v>
      </c>
      <c r="D23" s="3148">
        <v>2033</v>
      </c>
      <c r="E23" s="3148">
        <v>50</v>
      </c>
      <c r="F23" s="3144">
        <v>60</v>
      </c>
      <c r="G23" s="3144">
        <v>0</v>
      </c>
      <c r="H23" s="3151">
        <f>ROUND((1-G23)-(D23-C23)/F23,2)</f>
        <v>0.65</v>
      </c>
    </row>
    <row r="24" spans="2:8">
      <c r="B24" s="3145" t="s">
        <v>3418</v>
      </c>
      <c r="C24" s="3150"/>
      <c r="D24" s="3144"/>
      <c r="E24" s="3144"/>
      <c r="F24" s="3144"/>
      <c r="G24" s="3144"/>
      <c r="H24" s="3149">
        <v>0.8</v>
      </c>
    </row>
    <row r="25" spans="2:8">
      <c r="B25" s="3145"/>
      <c r="C25" s="3144"/>
      <c r="D25" s="3144"/>
      <c r="E25" s="3144"/>
      <c r="F25" s="3144"/>
      <c r="G25" s="3144"/>
      <c r="H25" s="3152">
        <f>ROUND((H24+H23)/2,2)</f>
        <v>0.73</v>
      </c>
    </row>
    <row r="30" spans="2:8">
      <c r="B30" s="3143" t="s">
        <v>3419</v>
      </c>
    </row>
    <row r="31" spans="2:8">
      <c r="B31" s="2446"/>
      <c r="C31" s="3153">
        <v>0.03</v>
      </c>
      <c r="D31" s="2446"/>
      <c r="E31" s="2446"/>
      <c r="F31" s="2446"/>
      <c r="G31" s="2446"/>
    </row>
    <row r="32" spans="2:8">
      <c r="B32" s="2446"/>
      <c r="C32" s="2446">
        <v>2018</v>
      </c>
      <c r="D32" s="2446">
        <v>2019</v>
      </c>
      <c r="E32" s="2446">
        <v>2020</v>
      </c>
      <c r="F32" s="2446">
        <v>2021</v>
      </c>
      <c r="G32" s="2446">
        <v>2022</v>
      </c>
    </row>
    <row r="33" spans="1:9">
      <c r="A33" s="3143" t="s">
        <v>2810</v>
      </c>
      <c r="B33" s="2446">
        <f>'数据-基础表'!K13</f>
        <v>6023.94</v>
      </c>
      <c r="C33" s="2446">
        <v>1.5</v>
      </c>
      <c r="D33" s="2446">
        <f>C33*(1+$C$31)</f>
        <v>1.5449999999999999</v>
      </c>
      <c r="E33" s="2446">
        <f t="shared" ref="E33:F33" si="1">D33*(1+$C$31)</f>
        <v>1.59135</v>
      </c>
      <c r="F33" s="2446">
        <f t="shared" si="1"/>
        <v>1.6390905</v>
      </c>
      <c r="G33" s="2446">
        <f>ROUND(F33*(1+$C$31),2)</f>
        <v>1.69</v>
      </c>
      <c r="I33" s="2446">
        <v>4</v>
      </c>
    </row>
    <row r="34" spans="1:9">
      <c r="A34" s="3143" t="s">
        <v>3566</v>
      </c>
      <c r="B34" s="2446">
        <f>'数据-汇总表'!G19</f>
        <v>1505.9850000000006</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143" t="s">
        <v>3567</v>
      </c>
      <c r="C37" s="3143">
        <f>C33</f>
        <v>1.5</v>
      </c>
      <c r="D37" s="3143">
        <f t="shared" ref="D37:G37" si="3">D33</f>
        <v>1.5449999999999999</v>
      </c>
      <c r="E37" s="3143">
        <f t="shared" si="3"/>
        <v>1.59135</v>
      </c>
      <c r="F37" s="3143">
        <f t="shared" si="3"/>
        <v>1.6390905</v>
      </c>
      <c r="G37" s="3143">
        <f t="shared" si="3"/>
        <v>1.69</v>
      </c>
      <c r="I37" s="3143">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31.91</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69">
        <f>ROUND(Sheet1!I35*(1+AA6)^AF6,2)</f>
        <v>4.16</v>
      </c>
      <c r="AA6" s="63">
        <v>0.02</v>
      </c>
      <c r="AB6" s="63">
        <v>0.1</v>
      </c>
      <c r="AC6" s="979"/>
      <c r="AD6" s="690">
        <f>Sheet1!H25</f>
        <v>0.73</v>
      </c>
      <c r="AE6" s="980">
        <f ca="1">IF(AN6="",0,SUMIF(INDIRECT("'"&amp;AN6&amp;"'"&amp;"!E:E"),$AE$5,INDIRECT("'"&amp;AN6&amp;"'"&amp;"!F:F")))</f>
        <v>31.91</v>
      </c>
      <c r="AF6" s="74">
        <f>项目基本情况!I15</f>
        <v>8.77</v>
      </c>
      <c r="AG6" s="130">
        <f ca="1">IF(AF6="",0,AE6-AF6)</f>
        <v>23.14</v>
      </c>
      <c r="AH6" s="71"/>
      <c r="AI6" s="73">
        <v>365</v>
      </c>
      <c r="AJ6" s="74"/>
      <c r="AK6" s="75">
        <v>5.0000000000000001E-3</v>
      </c>
      <c r="AL6" s="75">
        <v>1E-3</v>
      </c>
      <c r="AM6" s="77">
        <v>5.0000000000000001E-3</v>
      </c>
      <c r="AN6" s="1589" t="s">
        <v>3420</v>
      </c>
      <c r="AO6" s="50">
        <f ca="1">SUMIF(INDIRECT("'"&amp;AN6&amp;"'"&amp;"!A:A"),"总价",INDIRECT("'"&amp;AN6&amp;"'"&amp;"!B:B"))</f>
        <v>10265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v>
      </c>
      <c r="G7" s="62">
        <f t="shared" ref="G7:G11" si="2">IF(ISERROR(ROUND(POWER(1+H7,D7-F7)*(POWER(1+H7,F7)-1)/(POWER(1+H7,D7)-1),3)),0,ROUND(POWER(1+H7,D7-F7)*(POWER(1+H7,F7)-1)/(POWER(1+H7,D7)-1),3))</f>
        <v>0.76500000000000001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69">
        <f>ROUND(Sheet1!I37*(1+AA7)^AF7,2)</f>
        <v>5.95</v>
      </c>
      <c r="AA7" s="63">
        <v>0.02</v>
      </c>
      <c r="AB7" s="63">
        <v>0.1</v>
      </c>
      <c r="AC7" s="979"/>
      <c r="AD7" s="690">
        <f>AD6</f>
        <v>0.73</v>
      </c>
      <c r="AE7" s="980">
        <f t="shared" ref="AE7:AE13" ca="1" si="6">IF(AN7="",0,SUMIF(INDIRECT("'"&amp;AN7&amp;"'"&amp;"!E:E"),$AE$5,INDIRECT("'"&amp;AN7&amp;"'"&amp;"!F:F")))</f>
        <v>21.9</v>
      </c>
      <c r="AF7" s="74">
        <f>AF6</f>
        <v>8.77</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2125</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0.84799999999999998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0.06</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54" t="s">
        <v>2282</v>
      </c>
      <c r="B1" s="3255"/>
      <c r="C1" s="3255"/>
      <c r="D1" s="3255"/>
      <c r="E1" s="3255"/>
      <c r="F1" s="3255"/>
      <c r="G1" s="325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8" t="s">
        <v>3538</v>
      </c>
      <c r="D4" s="2266"/>
      <c r="E4" s="2269"/>
      <c r="F4" s="1281" t="s">
        <v>2255</v>
      </c>
      <c r="G4" s="2270" t="s">
        <v>2256</v>
      </c>
      <c r="H4" s="751"/>
      <c r="I4" s="751"/>
      <c r="J4" s="751"/>
      <c r="K4" s="751"/>
      <c r="L4" s="751"/>
      <c r="M4" s="751"/>
      <c r="N4" s="751"/>
      <c r="O4" s="751"/>
      <c r="P4" s="751"/>
      <c r="Q4" s="751"/>
    </row>
    <row r="5" spans="1:29" ht="48">
      <c r="A5" s="2248"/>
      <c r="B5" s="315" t="s">
        <v>2257</v>
      </c>
      <c r="C5" s="3158" t="s">
        <v>3539</v>
      </c>
      <c r="D5" s="2266"/>
      <c r="E5" s="2269"/>
      <c r="F5" s="315" t="s">
        <v>2258</v>
      </c>
      <c r="G5" s="2270" t="s">
        <v>2259</v>
      </c>
      <c r="H5" s="751"/>
      <c r="I5" s="751"/>
      <c r="J5" s="751"/>
      <c r="K5" s="751"/>
      <c r="L5" s="751"/>
      <c r="M5" s="751"/>
      <c r="N5" s="751"/>
      <c r="O5" s="751"/>
      <c r="P5" s="751"/>
      <c r="Q5" s="751"/>
    </row>
    <row r="6" spans="1:29" ht="48">
      <c r="A6" s="2248"/>
      <c r="B6" s="315" t="s">
        <v>2260</v>
      </c>
      <c r="C6" s="3159"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9" t="s">
        <v>3541</v>
      </c>
      <c r="D7" s="2245"/>
      <c r="E7" s="2271"/>
      <c r="F7" s="2272" t="s">
        <v>2263</v>
      </c>
      <c r="G7" s="2273" t="s">
        <v>2264</v>
      </c>
      <c r="H7" s="751"/>
      <c r="I7" s="751"/>
      <c r="J7" s="751"/>
      <c r="K7" s="751"/>
      <c r="L7" s="751"/>
      <c r="M7" s="751"/>
      <c r="N7" s="751"/>
      <c r="O7" s="751"/>
      <c r="P7" s="751"/>
      <c r="Q7" s="751"/>
    </row>
    <row r="8" spans="1:29" ht="33.75" customHeight="1">
      <c r="A8" s="2248"/>
      <c r="B8" s="315" t="s">
        <v>2261</v>
      </c>
      <c r="C8" s="3159" t="s">
        <v>3542</v>
      </c>
      <c r="D8" s="2245"/>
      <c r="E8" s="2245"/>
      <c r="F8" s="121"/>
      <c r="G8" s="121"/>
      <c r="H8" s="751"/>
      <c r="I8" s="751"/>
      <c r="J8" s="751"/>
      <c r="K8" s="751"/>
      <c r="L8" s="751"/>
      <c r="M8" s="751"/>
      <c r="N8" s="751"/>
      <c r="O8" s="751"/>
      <c r="P8" s="751"/>
      <c r="Q8" s="751"/>
    </row>
    <row r="9" spans="1:29" ht="36">
      <c r="A9" s="2248"/>
      <c r="B9" s="315" t="s">
        <v>2265</v>
      </c>
      <c r="C9" s="3158" t="s">
        <v>3543</v>
      </c>
      <c r="D9" s="2266"/>
      <c r="E9" s="2245"/>
      <c r="F9" s="121"/>
      <c r="G9" s="121"/>
      <c r="H9" s="751"/>
      <c r="I9" s="751"/>
      <c r="J9" s="751"/>
      <c r="K9" s="751"/>
      <c r="L9" s="751"/>
      <c r="M9" s="751"/>
      <c r="N9" s="751"/>
      <c r="O9" s="751"/>
      <c r="P9" s="751"/>
      <c r="Q9" s="751"/>
    </row>
    <row r="10" spans="1:29" ht="15" thickBot="1">
      <c r="A10" s="2249"/>
      <c r="B10" s="2274" t="s">
        <v>2266</v>
      </c>
      <c r="C10" s="3160"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45573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22431</v>
      </c>
      <c r="C5" s="2298">
        <f ca="1">IF(B5=D14,结果表!H102,ROUND(B5*10000/$B$1,0))</f>
        <v>24824</v>
      </c>
      <c r="D5" s="2298" t="e">
        <f ca="1">ROUND(B5*10000/$B$2,0)</f>
        <v>#DIV/0!</v>
      </c>
      <c r="E5" s="2459"/>
      <c r="F5" s="2460"/>
      <c r="G5" s="2460"/>
      <c r="H5" s="2460"/>
      <c r="I5" s="2460"/>
      <c r="J5" s="2460"/>
      <c r="K5" s="2460"/>
    </row>
    <row r="6" spans="1:11" ht="16.5">
      <c r="A6" s="2298" t="s">
        <v>656</v>
      </c>
      <c r="B6" s="2298">
        <f ca="1">SUM(G14:G23)</f>
        <v>22431</v>
      </c>
      <c r="C6" s="2298">
        <f ca="1">IF(B6=G14,结果表!H108,ROUND(B6*10000/$B$1,0))</f>
        <v>24824</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22431</v>
      </c>
      <c r="E14" s="2304">
        <f ca="1">ROUND(D14*10000/B14,0)</f>
        <v>24824</v>
      </c>
      <c r="F14" s="2304" t="e">
        <f ca="1">ROUND(D14*10000/C14,0)</f>
        <v>#DIV/0!</v>
      </c>
      <c r="G14" s="2304">
        <f ca="1">D14</f>
        <v>22431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B106" zoomScaleNormal="100" zoomScaleSheetLayoutView="100" zoomScalePageLayoutView="80" workbookViewId="0">
      <selection activeCell="I118" sqref="I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3562</v>
      </c>
      <c r="H1" s="1621" t="str">
        <f>IF(G1="现房","——","估价对象范围")</f>
        <v>——</v>
      </c>
      <c r="I1" s="1622" t="s">
        <v>3563</v>
      </c>
    </row>
    <row r="2" spans="1:12" ht="21.75" customHeight="1" thickBot="1">
      <c r="A2" s="3290" t="str">
        <f>项目基本情况!S2</f>
        <v>北京市靛厂路11号房地产</v>
      </c>
      <c r="B2" s="3291"/>
      <c r="C2" s="3291"/>
      <c r="D2" s="3291"/>
      <c r="E2" s="3291"/>
      <c r="F2" s="3291"/>
      <c r="G2" s="3291"/>
      <c r="H2" s="3291"/>
      <c r="I2" s="3292"/>
    </row>
    <row r="3" spans="1:12" ht="12.75">
      <c r="A3" s="3294" t="s">
        <v>1264</v>
      </c>
      <c r="B3" s="3295"/>
      <c r="C3" s="3295"/>
      <c r="D3" s="3295"/>
      <c r="E3" s="3295"/>
      <c r="F3" s="3295"/>
      <c r="G3" s="3295"/>
      <c r="H3" s="3295"/>
      <c r="I3" s="3295"/>
    </row>
    <row r="4" spans="1:12" ht="14.25">
      <c r="A4" s="1624" t="s">
        <v>1265</v>
      </c>
      <c r="B4" s="1625" t="s">
        <v>1266</v>
      </c>
      <c r="C4" s="1626" t="s">
        <v>3564</v>
      </c>
      <c r="D4" s="1626" t="s">
        <v>3565</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257">
        <v>25</v>
      </c>
      <c r="C5" s="3273"/>
      <c r="D5" s="3293"/>
      <c r="E5" s="123" t="s">
        <v>1269</v>
      </c>
      <c r="F5" s="1627"/>
      <c r="G5" s="1627"/>
      <c r="H5" s="1627"/>
      <c r="I5" s="1281"/>
    </row>
    <row r="6" spans="1:12" ht="12.75">
      <c r="A6" s="3270"/>
      <c r="B6" s="3257"/>
      <c r="C6" s="3274"/>
      <c r="D6" s="3293"/>
      <c r="E6" s="123" t="s">
        <v>1270</v>
      </c>
      <c r="F6" s="1627"/>
      <c r="G6" s="1627"/>
      <c r="H6" s="1627"/>
      <c r="I6" s="1281"/>
    </row>
    <row r="7" spans="1:12" ht="12.75">
      <c r="A7" s="3270"/>
      <c r="B7" s="3257"/>
      <c r="C7" s="3275"/>
      <c r="D7" s="3293"/>
      <c r="E7" s="123" t="s">
        <v>1271</v>
      </c>
      <c r="F7" s="1627"/>
      <c r="G7" s="1627"/>
      <c r="H7" s="1627"/>
      <c r="I7" s="1281"/>
    </row>
    <row r="8" spans="1:12" ht="12.75">
      <c r="A8" s="3270" t="s">
        <v>1272</v>
      </c>
      <c r="B8" s="3257">
        <v>15</v>
      </c>
      <c r="C8" s="3273"/>
      <c r="D8" s="3293"/>
      <c r="E8" s="123" t="s">
        <v>1273</v>
      </c>
      <c r="F8" s="1627"/>
      <c r="G8" s="1627"/>
      <c r="H8" s="1627"/>
      <c r="I8" s="1281"/>
    </row>
    <row r="9" spans="1:12" ht="12.75">
      <c r="A9" s="3270"/>
      <c r="B9" s="3257"/>
      <c r="C9" s="3275"/>
      <c r="D9" s="3293"/>
      <c r="E9" s="123" t="s">
        <v>1274</v>
      </c>
      <c r="F9" s="1627"/>
      <c r="G9" s="1627"/>
      <c r="H9" s="1627"/>
      <c r="I9" s="1281"/>
    </row>
    <row r="10" spans="1:12" ht="12.75">
      <c r="A10" s="3270" t="s">
        <v>1275</v>
      </c>
      <c r="B10" s="3257">
        <v>15</v>
      </c>
      <c r="C10" s="3273"/>
      <c r="D10" s="3293"/>
      <c r="E10" s="123" t="s">
        <v>1276</v>
      </c>
      <c r="F10" s="1627"/>
      <c r="G10" s="1627"/>
      <c r="H10" s="1627"/>
      <c r="I10" s="1281"/>
    </row>
    <row r="11" spans="1:12" ht="12.75">
      <c r="A11" s="3270"/>
      <c r="B11" s="3257"/>
      <c r="C11" s="3275"/>
      <c r="D11" s="3293"/>
      <c r="E11" s="123" t="s">
        <v>1277</v>
      </c>
      <c r="F11" s="1627"/>
      <c r="G11" s="1627"/>
      <c r="H11" s="1627"/>
      <c r="I11" s="1281"/>
    </row>
    <row r="12" spans="1:12" ht="12.75">
      <c r="A12" s="3270" t="s">
        <v>1278</v>
      </c>
      <c r="B12" s="3257">
        <v>15</v>
      </c>
      <c r="C12" s="3273"/>
      <c r="D12" s="3293"/>
      <c r="E12" s="123" t="s">
        <v>1279</v>
      </c>
      <c r="F12" s="1627"/>
      <c r="G12" s="1627"/>
      <c r="H12" s="1627"/>
      <c r="I12" s="1281"/>
    </row>
    <row r="13" spans="1:12" ht="12.75">
      <c r="A13" s="3270"/>
      <c r="B13" s="3257"/>
      <c r="C13" s="3275"/>
      <c r="D13" s="3293"/>
      <c r="E13" s="123" t="s">
        <v>1280</v>
      </c>
      <c r="F13" s="1627"/>
      <c r="G13" s="1627"/>
      <c r="H13" s="1627"/>
      <c r="I13" s="1281"/>
    </row>
    <row r="14" spans="1:12" ht="12.75">
      <c r="A14" s="3270" t="s">
        <v>1281</v>
      </c>
      <c r="B14" s="3257">
        <v>30</v>
      </c>
      <c r="C14" s="3273">
        <v>7</v>
      </c>
      <c r="D14" s="3293">
        <v>3</v>
      </c>
      <c r="E14" s="123" t="s">
        <v>1282</v>
      </c>
      <c r="F14" s="1627"/>
      <c r="G14" s="1627"/>
      <c r="H14" s="1627"/>
      <c r="I14" s="1281"/>
    </row>
    <row r="15" spans="1:12" ht="12.75">
      <c r="A15" s="3270"/>
      <c r="B15" s="3257"/>
      <c r="C15" s="3274"/>
      <c r="D15" s="3293"/>
      <c r="E15" s="123" t="s">
        <v>1283</v>
      </c>
      <c r="F15" s="1627"/>
      <c r="G15" s="1627"/>
      <c r="H15" s="1627"/>
      <c r="I15" s="1281"/>
    </row>
    <row r="16" spans="1:12" ht="12.75">
      <c r="A16" s="3270"/>
      <c r="B16" s="3257"/>
      <c r="C16" s="3275"/>
      <c r="D16" s="329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0" t="s">
        <v>2131</v>
      </c>
      <c r="F18" s="3281"/>
      <c r="G18" s="3281"/>
      <c r="H18" s="3281"/>
      <c r="I18" s="3281"/>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26734</v>
      </c>
      <c r="D19" s="127">
        <f ca="1">SUMIF(INDIRECT("'"&amp;D4&amp;"'"&amp;"!A:A"),结果表!B19,INDIRECT("'"&amp;D4&amp;"'"&amp;"!B:B"))</f>
        <v>12390</v>
      </c>
      <c r="E19" s="1630" t="s">
        <v>1292</v>
      </c>
      <c r="F19" s="1631" t="s">
        <v>1291</v>
      </c>
      <c r="G19" s="128">
        <f ca="1">ROUND(C19*$C$18+D19*$D$18,0)</f>
        <v>22431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29586</v>
      </c>
      <c r="D20" s="130">
        <f ca="1">SUMIF(INDIRECT("'"&amp;D4&amp;"'"&amp;"!A:A"),结果表!B20,INDIRECT("'"&amp;D4&amp;"'"&amp;"!B:B"))</f>
        <v>13712</v>
      </c>
      <c r="E20" s="1633"/>
      <c r="F20" s="43" t="s">
        <v>1295</v>
      </c>
      <c r="G20" s="131">
        <f ca="1">ROUND(C20*$C$18+D20*$D$18,0)</f>
        <v>24824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1.1577078288942695</v>
      </c>
      <c r="E22" s="121"/>
      <c r="F22" s="121"/>
      <c r="G22" s="121"/>
      <c r="H22" s="121"/>
      <c r="I22" s="121"/>
    </row>
    <row r="23" spans="1:36" ht="13.5" thickBot="1">
      <c r="A23" s="646"/>
      <c r="B23" s="646"/>
      <c r="C23" s="646"/>
      <c r="D23" s="646"/>
      <c r="E23" s="121"/>
      <c r="F23" s="121"/>
      <c r="G23" s="121"/>
      <c r="H23" s="121"/>
      <c r="I23" s="121"/>
    </row>
    <row r="24" spans="1:36" ht="14.25">
      <c r="A24" s="3264" t="s">
        <v>1299</v>
      </c>
      <c r="B24" s="1631" t="s">
        <v>1291</v>
      </c>
      <c r="C24" s="128">
        <f>IF(B30=0,0,D30)</f>
        <v>0</v>
      </c>
      <c r="D24" s="1637"/>
      <c r="E24" s="121"/>
      <c r="F24" s="121"/>
      <c r="G24" s="121"/>
      <c r="H24" s="121"/>
      <c r="I24" s="121"/>
    </row>
    <row r="25" spans="1:36" ht="14.25">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22431</v>
      </c>
      <c r="D32" s="1641" t="s">
        <v>3569</v>
      </c>
      <c r="E32" s="121"/>
      <c r="F32" s="121"/>
      <c r="G32" s="121"/>
      <c r="H32" s="121"/>
      <c r="I32" s="121"/>
    </row>
    <row r="33" spans="1:15" ht="15">
      <c r="A33" s="740" t="s">
        <v>1306</v>
      </c>
      <c r="B33" s="123"/>
      <c r="C33" s="1642" t="s">
        <v>3568</v>
      </c>
      <c r="D33" s="1643" t="s">
        <v>3564</v>
      </c>
      <c r="E33" s="1644" t="s">
        <v>1307</v>
      </c>
      <c r="F33" s="1645" t="str">
        <f>IF(D32="楼面单价","取值（单价）","取值（总价）")</f>
        <v>取值（总价）</v>
      </c>
      <c r="G33" s="121"/>
      <c r="H33" s="121"/>
      <c r="I33" s="121"/>
    </row>
    <row r="34" spans="1:15" ht="15">
      <c r="A34" s="1646"/>
      <c r="B34" s="1647" t="s">
        <v>1308</v>
      </c>
      <c r="C34" s="140">
        <f ca="1">IF(C33="自定义",F34,C32-C35)</f>
        <v>17205</v>
      </c>
      <c r="D34" s="808">
        <f ca="1">IF(C33="自定义",ROUND(C34/C32,3),IF(C33="收益比率",SUMIF(INDIRECT("'"&amp;D33&amp;"'"&amp;"!b:b"),"土地收益比率",INDIRECT("'"&amp;D33&amp;"'"&amp;"!c:c")),SUMIF(INDIRECT("'"&amp;D33&amp;"'"&amp;"!b:b"),"土地成本比率",INDIRECT("'"&amp;D33&amp;"'"&amp;"!c:c"))))</f>
        <v>0.76700000000000002</v>
      </c>
      <c r="E34" s="1648" t="s">
        <v>1309</v>
      </c>
      <c r="F34" s="1243"/>
      <c r="G34" s="121"/>
      <c r="H34" s="121"/>
      <c r="I34" s="121"/>
    </row>
    <row r="35" spans="1:15" ht="15.75" thickBot="1">
      <c r="A35" s="1649"/>
      <c r="B35" s="1650" t="s">
        <v>1310</v>
      </c>
      <c r="C35" s="1090">
        <f ca="1">IF(C33="自定义",F35,ROUND(C32*D35,0))</f>
        <v>5226</v>
      </c>
      <c r="D35" s="1091">
        <f ca="1">IF(C33="自定义",ROUND(C35/C32,3),IF(C33="收益比率",SUMIF(INDIRECT("'"&amp;D33&amp;"'"&amp;"!b:b"),"建筑物收益比率",INDIRECT("'"&amp;D33&amp;"'"&amp;"!c:c")),SUMIF(INDIRECT("'"&amp;D33&amp;"'"&amp;"!b:b"),"建筑物成本比率",INDIRECT("'"&amp;D33&amp;"'"&amp;"!c:c"))))</f>
        <v>0.23300000000000001</v>
      </c>
      <c r="E35" s="1651" t="s">
        <v>1311</v>
      </c>
      <c r="F35" s="146"/>
      <c r="G35" s="121"/>
      <c r="H35" s="121"/>
      <c r="I35" s="121"/>
    </row>
    <row r="36" spans="1:15" ht="15.75" thickBot="1">
      <c r="A36" s="3284" t="s">
        <v>1312</v>
      </c>
      <c r="B36" s="1652" t="s">
        <v>1313</v>
      </c>
      <c r="C36" s="137"/>
      <c r="D36" s="1653"/>
      <c r="E36" s="1567"/>
      <c r="F36" s="1654"/>
      <c r="G36" s="121"/>
      <c r="H36" s="121"/>
      <c r="I36" s="121"/>
    </row>
    <row r="37" spans="1:15" ht="15.75" thickBot="1">
      <c r="A37" s="3285"/>
      <c r="B37" s="1555" t="s">
        <v>1314</v>
      </c>
      <c r="C37" s="139"/>
      <c r="D37" s="1071"/>
      <c r="E37" s="1071"/>
      <c r="F37" s="1654"/>
      <c r="G37" s="121"/>
      <c r="H37" s="121"/>
      <c r="I37" s="121"/>
    </row>
    <row r="38" spans="1:15" ht="15.75" thickBot="1">
      <c r="A38" s="328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22431</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8">
        <v>1</v>
      </c>
      <c r="K46" s="3320" t="s">
        <v>1331</v>
      </c>
      <c r="L46" s="3320"/>
      <c r="M46" s="3340"/>
      <c r="N46" s="3340"/>
      <c r="O46" s="3340"/>
    </row>
    <row r="47" spans="1:15" ht="12" customHeight="1">
      <c r="A47" s="152" t="s">
        <v>1332</v>
      </c>
      <c r="B47" s="153"/>
      <c r="C47" s="154"/>
      <c r="D47" s="1024" t="s">
        <v>1333</v>
      </c>
      <c r="E47" s="294" t="s">
        <v>1334</v>
      </c>
      <c r="F47" s="155" t="s">
        <v>1335</v>
      </c>
      <c r="G47" s="2331" t="s">
        <v>1336</v>
      </c>
      <c r="H47" s="2332"/>
      <c r="I47" s="151"/>
      <c r="J47" s="2308">
        <v>2</v>
      </c>
      <c r="K47" s="3320" t="s">
        <v>1337</v>
      </c>
      <c r="L47" s="3320"/>
      <c r="M47" s="3341">
        <f>'数据-取费表'!B2</f>
        <v>45573</v>
      </c>
      <c r="N47" s="3341"/>
      <c r="O47" s="3341"/>
    </row>
    <row r="48" spans="1:15" ht="25.5">
      <c r="A48" s="3289" t="s">
        <v>1338</v>
      </c>
      <c r="B48" s="3272"/>
      <c r="C48" s="327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0" t="s">
        <v>1340</v>
      </c>
      <c r="L48" s="3320"/>
      <c r="M48" s="3342">
        <f ca="1">H101</f>
        <v>22431</v>
      </c>
      <c r="N48" s="3342"/>
      <c r="O48" s="3342"/>
    </row>
    <row r="49" spans="1:35" ht="25.5" customHeight="1">
      <c r="A49" s="2152" t="s">
        <v>1341</v>
      </c>
      <c r="B49" s="3256" t="s">
        <v>1342</v>
      </c>
      <c r="C49" s="3256"/>
      <c r="D49" s="1478">
        <v>0</v>
      </c>
      <c r="E49" s="316" t="s">
        <v>1343</v>
      </c>
      <c r="F49" s="2233" t="s">
        <v>28</v>
      </c>
      <c r="G49" s="3326"/>
      <c r="H49" s="2134" t="s">
        <v>2134</v>
      </c>
      <c r="I49" s="2135"/>
      <c r="J49" s="2308">
        <v>4</v>
      </c>
      <c r="K49" s="3320" t="str">
        <f>IF(项目基本情况!E8="房地产抵押价值","房地产抵押价值","抵押担保权已注销时的房地产抵押价值")</f>
        <v>房地产抵押价值</v>
      </c>
      <c r="L49" s="3320"/>
      <c r="M49" s="3342">
        <f ca="1">IF(项目基本情况!E8="房地产抵押价值",H107,H109)</f>
        <v>22431</v>
      </c>
      <c r="N49" s="3342"/>
      <c r="O49" s="3342"/>
    </row>
    <row r="50" spans="1:35" ht="25.5" customHeight="1">
      <c r="A50" s="2336"/>
      <c r="B50" s="3256" t="s">
        <v>1344</v>
      </c>
      <c r="C50" s="3256"/>
      <c r="D50" s="2189"/>
      <c r="E50" s="323"/>
      <c r="F50" s="2233"/>
      <c r="G50" s="3327"/>
      <c r="H50" s="2136" t="s">
        <v>2135</v>
      </c>
      <c r="I50" s="2135"/>
      <c r="J50" s="3339" t="s">
        <v>1345</v>
      </c>
      <c r="K50" s="3339"/>
      <c r="L50" s="3339"/>
      <c r="M50" s="3339"/>
      <c r="N50" s="3339"/>
      <c r="O50" s="3339"/>
    </row>
    <row r="51" spans="1:35" ht="20.45" customHeight="1">
      <c r="A51" s="2337"/>
      <c r="B51" s="3256" t="s">
        <v>1346</v>
      </c>
      <c r="C51" s="3256"/>
      <c r="D51" s="1024"/>
      <c r="E51" s="319"/>
      <c r="F51" s="2233"/>
      <c r="G51" s="3328"/>
      <c r="H51" s="2136" t="s">
        <v>2136</v>
      </c>
      <c r="I51" s="2135"/>
      <c r="J51" s="2309" t="s">
        <v>1347</v>
      </c>
      <c r="K51" s="3320" t="s">
        <v>1348</v>
      </c>
      <c r="L51" s="3320"/>
      <c r="M51" s="2309" t="s">
        <v>1349</v>
      </c>
      <c r="N51" s="2309" t="s">
        <v>1350</v>
      </c>
      <c r="O51" s="2309" t="s">
        <v>1351</v>
      </c>
    </row>
    <row r="52" spans="1:35" ht="24" customHeight="1">
      <c r="A52" s="2153" t="s">
        <v>1352</v>
      </c>
      <c r="B52" s="3256" t="s">
        <v>1353</v>
      </c>
      <c r="C52" s="3256"/>
      <c r="D52" s="1024">
        <f ca="1">ROUND(D45*'数据-取费表'!B41/(1+'数据-取费表'!C42),0)</f>
        <v>1196</v>
      </c>
      <c r="E52" s="1256" t="s">
        <v>1354</v>
      </c>
      <c r="F52" s="2338">
        <f>'数据-取费表'!B41</f>
        <v>5.6000000000000001E-2</v>
      </c>
      <c r="G52" s="2339"/>
      <c r="H52" s="2329"/>
      <c r="I52" s="1669"/>
      <c r="J52" s="2308">
        <v>1</v>
      </c>
      <c r="K52" s="3321" t="s">
        <v>1355</v>
      </c>
      <c r="L52" s="3321"/>
      <c r="M52" s="2310" t="b">
        <f>D48</f>
        <v>0</v>
      </c>
      <c r="N52" s="2308" t="str">
        <f>E48</f>
        <v>销售额×税（费）率</v>
      </c>
      <c r="O52" s="2311">
        <f>F48</f>
        <v>5.6000000000000001E-2</v>
      </c>
    </row>
    <row r="53" spans="1:35" ht="12" customHeight="1">
      <c r="A53" s="2153" t="s">
        <v>1356</v>
      </c>
      <c r="B53" s="3282" t="s">
        <v>2287</v>
      </c>
      <c r="C53" s="3283"/>
      <c r="D53" s="1024">
        <f ca="1">ROUND(D45*'数据-取费表'!B41/(1+'数据-取费表'!C42),0)</f>
        <v>1196</v>
      </c>
      <c r="E53" s="1256" t="s">
        <v>1354</v>
      </c>
      <c r="F53" s="2338">
        <f>'数据-取费表'!B41</f>
        <v>5.6000000000000001E-2</v>
      </c>
      <c r="G53" s="2339"/>
      <c r="H53" s="2329"/>
      <c r="I53" s="1669"/>
      <c r="J53" s="2308">
        <v>2</v>
      </c>
      <c r="K53" s="3321" t="s">
        <v>1357</v>
      </c>
      <c r="L53" s="3321"/>
      <c r="M53" s="2310">
        <f t="shared" ref="M53:O54" ca="1" si="0">D55</f>
        <v>11</v>
      </c>
      <c r="N53" s="2308" t="str">
        <f t="shared" si="0"/>
        <v>销售额×税（费）率</v>
      </c>
      <c r="O53" s="2311" t="str">
        <f t="shared" si="0"/>
        <v>免征</v>
      </c>
    </row>
    <row r="54" spans="1:35" ht="12" customHeight="1">
      <c r="A54" s="2153" t="s">
        <v>1358</v>
      </c>
      <c r="B54" s="3282" t="s">
        <v>2288</v>
      </c>
      <c r="C54" s="3283"/>
      <c r="D54" s="1024">
        <f ca="1">C68</f>
        <v>1196</v>
      </c>
      <c r="E54" s="319" t="s">
        <v>1359</v>
      </c>
      <c r="F54" s="2338">
        <f>'数据-取费表'!B41</f>
        <v>5.6000000000000001E-2</v>
      </c>
      <c r="G54" s="2339"/>
      <c r="H54" s="2340"/>
      <c r="I54" s="1669"/>
      <c r="J54" s="2308">
        <v>3</v>
      </c>
      <c r="K54" s="3321" t="s">
        <v>1360</v>
      </c>
      <c r="L54" s="3321"/>
      <c r="M54" s="2310">
        <f t="shared" ca="1" si="0"/>
        <v>12696</v>
      </c>
      <c r="N54" s="2308" t="str">
        <f t="shared" si="0"/>
        <v>增值额×税（费）率</v>
      </c>
      <c r="O54" s="2312" t="str">
        <f t="shared" si="0"/>
        <v>免征</v>
      </c>
    </row>
    <row r="55" spans="1:35" ht="24" customHeight="1">
      <c r="A55" s="3271" t="s">
        <v>1361</v>
      </c>
      <c r="B55" s="3272"/>
      <c r="C55" s="3272"/>
      <c r="D55" s="12">
        <f ca="1">IF(H55="个人住宅",0,ROUND(D45*I55,0))</f>
        <v>11</v>
      </c>
      <c r="E55" s="1256" t="s">
        <v>1362</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214</v>
      </c>
      <c r="N55" s="1883" t="str">
        <f>E59</f>
        <v>差额计税</v>
      </c>
      <c r="O55" s="2314">
        <f>F59</f>
        <v>0.01</v>
      </c>
    </row>
    <row r="56" spans="1:35" ht="24.75">
      <c r="A56" s="3271" t="s">
        <v>1363</v>
      </c>
      <c r="B56" s="3272"/>
      <c r="C56" s="3272"/>
      <c r="D56" s="12">
        <f ca="1">IF(H56="个人住宅",D57,D58)</f>
        <v>12696</v>
      </c>
      <c r="E56" s="1256" t="s">
        <v>1364</v>
      </c>
      <c r="F56" s="2338" t="str">
        <f>IF(H56="正常",F58,"免征")</f>
        <v>免征</v>
      </c>
      <c r="G56" s="2341" t="s">
        <v>1365</v>
      </c>
      <c r="H56" s="2342"/>
      <c r="I56" s="1670"/>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2.75">
      <c r="A57" s="2153" t="s">
        <v>1341</v>
      </c>
      <c r="B57" s="3282" t="s">
        <v>1366</v>
      </c>
      <c r="C57" s="3283"/>
      <c r="D57" s="1478">
        <v>0</v>
      </c>
      <c r="E57" s="316" t="s">
        <v>1343</v>
      </c>
      <c r="F57" s="294"/>
      <c r="G57" s="2339"/>
      <c r="H57" s="2343"/>
      <c r="I57" s="1670"/>
      <c r="J57" s="3321">
        <f>IF(AND(J55="",J56=""),4,IF(项目基本情况!K6="上海银行",结果表!J56+1,结果表!J55+1))</f>
        <v>5</v>
      </c>
      <c r="K57" s="3321" t="s">
        <v>1367</v>
      </c>
      <c r="L57" s="2315" t="s">
        <v>1368</v>
      </c>
      <c r="M57" s="2316"/>
      <c r="N57" s="2317">
        <f ca="1">SUMIF(M52:M56,"&lt;9e307")</f>
        <v>12921</v>
      </c>
      <c r="O57" s="2318"/>
      <c r="P57" s="2462">
        <f ca="1">N57/M49</f>
        <v>0.57603316838304131</v>
      </c>
    </row>
    <row r="58" spans="1:35" ht="24.75">
      <c r="A58" s="2153" t="s">
        <v>1352</v>
      </c>
      <c r="B58" s="3282" t="s">
        <v>1369</v>
      </c>
      <c r="C58" s="3256"/>
      <c r="D58" s="12">
        <f ca="1">IF(H58="转让取得",C81,C97)</f>
        <v>12696</v>
      </c>
      <c r="E58" s="1256" t="s">
        <v>1364</v>
      </c>
      <c r="F58" s="294" t="s">
        <v>28</v>
      </c>
      <c r="G58" s="2339"/>
      <c r="H58" s="2342"/>
      <c r="I58" s="1670"/>
      <c r="J58" s="3321"/>
      <c r="K58" s="3321"/>
      <c r="L58" s="2315" t="s">
        <v>1370</v>
      </c>
      <c r="M58" s="2319"/>
      <c r="N58" s="2320" t="str">
        <f ca="1">NUMBERSTRING(INT(N57*10000),2)&amp;"元整"</f>
        <v>壹亿贰仟玖佰贰拾壹万元整</v>
      </c>
      <c r="O58" s="2321"/>
    </row>
    <row r="59" spans="1:35" ht="24.75" thickBot="1">
      <c r="A59" s="3324" t="s">
        <v>1371</v>
      </c>
      <c r="B59" s="3325"/>
      <c r="C59" s="3325"/>
      <c r="D59" s="2344">
        <f ca="1">IF(H59="非个人房产","——",IF(H59="个人住宅（满五唯一有凭证）",0,IF(H59="个人其他（无凭证）",ROUND(D45*F59,0),ROUND(C67*F59,0))))</f>
        <v>214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22">
        <f>J57+1</f>
        <v>6</v>
      </c>
      <c r="K59" s="3321" t="s">
        <v>1372</v>
      </c>
      <c r="L59" s="2308" t="s">
        <v>1368</v>
      </c>
      <c r="M59" s="2322"/>
      <c r="N59" s="2323">
        <f ca="1">M49-N57</f>
        <v>9510</v>
      </c>
      <c r="O59" s="2324"/>
    </row>
    <row r="60" spans="1:35" ht="12" customHeight="1">
      <c r="A60" s="1671"/>
      <c r="B60" s="646"/>
      <c r="C60" s="646"/>
      <c r="D60" s="646"/>
      <c r="E60" s="1466"/>
      <c r="F60" s="1670"/>
      <c r="G60" s="1670"/>
      <c r="H60" s="151"/>
      <c r="I60" s="121"/>
      <c r="J60" s="3323"/>
      <c r="K60" s="3321"/>
      <c r="L60" s="2315" t="s">
        <v>1370</v>
      </c>
      <c r="M60" s="2319"/>
      <c r="N60" s="2320" t="str">
        <f ca="1">NUMBERSTRING(INT(N59*10000),2)&amp;"元整"</f>
        <v>玖仟伍佰壹拾万元整</v>
      </c>
      <c r="O60" s="2321"/>
    </row>
    <row r="61" spans="1:35" ht="13.5" thickBot="1">
      <c r="A61" s="3269" t="s">
        <v>1373</v>
      </c>
      <c r="B61" s="3269"/>
      <c r="C61" s="3269"/>
      <c r="D61" s="3269"/>
      <c r="E61" s="3269"/>
      <c r="F61" s="1670"/>
      <c r="G61" s="1670"/>
      <c r="H61" s="151"/>
      <c r="I61" s="121"/>
      <c r="J61" s="2308">
        <f>J59+1</f>
        <v>7</v>
      </c>
      <c r="K61" s="3321" t="s">
        <v>1374</v>
      </c>
      <c r="L61" s="3321"/>
      <c r="M61" s="2325"/>
      <c r="N61" s="2326">
        <f ca="1">ROUND(N59*10000/'数据-汇总表'!E3,0)</f>
        <v>10525</v>
      </c>
      <c r="O61" s="2327"/>
    </row>
    <row r="62" spans="1:35" ht="12.75">
      <c r="A62" s="3287" t="s">
        <v>1375</v>
      </c>
      <c r="B62" s="3288"/>
      <c r="C62" s="1865"/>
      <c r="D62" s="1865" t="s">
        <v>1376</v>
      </c>
      <c r="E62" s="158" t="s">
        <v>1377</v>
      </c>
      <c r="F62" s="1670"/>
      <c r="G62" s="1670"/>
      <c r="H62" s="151"/>
      <c r="I62" s="121"/>
    </row>
    <row r="63" spans="1:35" ht="12.75">
      <c r="A63" s="165" t="s">
        <v>330</v>
      </c>
      <c r="B63" s="159" t="s">
        <v>1378</v>
      </c>
      <c r="C63" s="2348">
        <f ca="1">ROUND((C64+C65)/(1+'数据-取费表'!C42),0)</f>
        <v>21363</v>
      </c>
      <c r="D63" s="159"/>
      <c r="E63" s="160"/>
      <c r="F63" s="1670"/>
      <c r="G63" s="1670"/>
      <c r="H63" s="151"/>
      <c r="I63" s="121"/>
      <c r="J63" s="3346" t="s">
        <v>1379</v>
      </c>
      <c r="K63" s="1245" t="s">
        <v>1380</v>
      </c>
      <c r="L63" s="1245">
        <f ca="1">IF(M49&gt;10000,M49*0.5%,IF(AND(M49&gt;1000,M49&lt;=10000),M49*1%,IF(AND(M49&gt;100,M49&lt;=1000),M49*3%,IF(AND(M49&gt;10,M49&lt;=100),M49*5%,M49*8%))))</f>
        <v>112.155</v>
      </c>
      <c r="M63" s="294">
        <f ca="1">ROUND(L63,1)</f>
        <v>112.2</v>
      </c>
      <c r="N63" s="2328"/>
      <c r="Z63" s="1623"/>
      <c r="AI63" s="1561"/>
    </row>
    <row r="64" spans="1:35" ht="14.25" customHeight="1">
      <c r="A64" s="161" t="s">
        <v>325</v>
      </c>
      <c r="B64" s="162" t="s">
        <v>1381</v>
      </c>
      <c r="C64" s="2349">
        <f ca="1">D45</f>
        <v>22431</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112.155</v>
      </c>
      <c r="M64" s="294">
        <f t="shared" ref="M64:M65" ca="1" si="1">ROUND(L64,1)</f>
        <v>112.2</v>
      </c>
      <c r="N64" s="2329" t="s">
        <v>1383</v>
      </c>
      <c r="Z64" s="1623"/>
      <c r="AI64" s="1561"/>
    </row>
    <row r="65" spans="1:35" ht="14.25" customHeight="1">
      <c r="A65" s="161" t="s">
        <v>326</v>
      </c>
      <c r="B65" s="162" t="s">
        <v>1384</v>
      </c>
      <c r="C65" s="2350"/>
      <c r="D65" s="162"/>
      <c r="E65" s="164"/>
      <c r="F65" s="1670"/>
      <c r="G65" s="1670"/>
      <c r="H65" s="151"/>
      <c r="I65" s="121"/>
      <c r="J65" s="3346"/>
      <c r="K65" s="1245" t="s">
        <v>1385</v>
      </c>
      <c r="L65" s="1245">
        <f ca="1">IF(M49&gt;1000,M49*0.1%,IF(AND(M49&gt;500,M49&lt;=1000),M49*0.5%,IF(AND(M49&gt;50,M49&lt;=500),M49*1%,IF(AND(M49&gt;1,M49&lt;=50),M49*1.5%))))</f>
        <v>22.431000000000001</v>
      </c>
      <c r="M65" s="294">
        <f t="shared" ca="1" si="1"/>
        <v>22.4</v>
      </c>
      <c r="N65" s="2329" t="s">
        <v>1383</v>
      </c>
      <c r="Z65" s="1623"/>
      <c r="AI65" s="1561"/>
    </row>
    <row r="66" spans="1:35" ht="14.25" customHeight="1">
      <c r="A66" s="165" t="s">
        <v>327</v>
      </c>
      <c r="B66" s="166" t="s">
        <v>1386</v>
      </c>
      <c r="C66" s="2351"/>
      <c r="D66" s="166" t="s">
        <v>26</v>
      </c>
      <c r="E66" s="1251" t="s">
        <v>671</v>
      </c>
      <c r="F66" s="1670"/>
      <c r="G66" s="1670"/>
      <c r="H66" s="151"/>
      <c r="I66" s="121"/>
      <c r="J66" s="3346"/>
      <c r="K66" s="1245" t="s">
        <v>1387</v>
      </c>
      <c r="L66" s="1245">
        <f ca="1">M49*0.5%</f>
        <v>112.155</v>
      </c>
      <c r="M66" s="294">
        <f ca="1">IF(L66&gt;0.5,0.5,ROUND(L66,0))</f>
        <v>0.5</v>
      </c>
      <c r="N66" s="2329" t="s">
        <v>1388</v>
      </c>
      <c r="Z66" s="1623"/>
      <c r="AI66" s="1561"/>
    </row>
    <row r="67" spans="1:35" ht="14.25" customHeight="1">
      <c r="A67" s="165" t="s">
        <v>328</v>
      </c>
      <c r="B67" s="166" t="s">
        <v>1389</v>
      </c>
      <c r="C67" s="2352">
        <f ca="1">C63-C66</f>
        <v>21363</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9.4931000000000001</v>
      </c>
      <c r="M67" s="294">
        <f ca="1">ROUND(L67*0.9,1)</f>
        <v>8.5</v>
      </c>
      <c r="N67" s="2328"/>
      <c r="Z67" s="1623"/>
      <c r="AI67" s="1561"/>
    </row>
    <row r="68" spans="1:35" ht="14.25" customHeight="1" thickBot="1">
      <c r="A68" s="168" t="s">
        <v>329</v>
      </c>
      <c r="B68" s="169" t="s">
        <v>1391</v>
      </c>
      <c r="C68" s="2353">
        <f ca="1">IF(C67&lt;=0,0,ROUND(C67*D68,0))</f>
        <v>1196</v>
      </c>
      <c r="D68" s="2354">
        <f>'数据-取费表'!B41</f>
        <v>5.6000000000000001E-2</v>
      </c>
      <c r="E68" s="170"/>
      <c r="F68" s="1670"/>
      <c r="G68" s="1670"/>
      <c r="H68" s="151"/>
      <c r="I68" s="121"/>
      <c r="J68" s="3346"/>
      <c r="K68" s="1245" t="s">
        <v>1392</v>
      </c>
      <c r="L68" s="1245">
        <f ca="1">IF(M49&gt;10000,M49*0.5%,IF(AND(M49&gt;5000,M49&lt;=10000),M49*1%,IF(AND(M49&gt;1000,M49&lt;=5000),M49*2%,IF(AND(M49&gt;200,M49&lt;=1000),M49*3%,M49*5%))))</f>
        <v>112.155</v>
      </c>
      <c r="M68" s="294">
        <f ca="1">ROUND(L68,1)</f>
        <v>112.2</v>
      </c>
      <c r="N68" s="2328"/>
      <c r="Z68" s="1623"/>
      <c r="AI68" s="1561"/>
    </row>
    <row r="69" spans="1:35" ht="16.5" customHeight="1">
      <c r="A69" s="1672"/>
      <c r="B69" s="1673"/>
      <c r="C69" s="1674"/>
      <c r="D69" s="1675"/>
      <c r="E69" s="1676"/>
      <c r="F69" s="1466"/>
      <c r="G69" s="1466"/>
      <c r="H69" s="1467"/>
      <c r="I69" s="646"/>
      <c r="J69" s="3346"/>
      <c r="K69" s="1245" t="s">
        <v>1393</v>
      </c>
      <c r="L69" s="1245"/>
      <c r="M69" s="294">
        <f ca="1">ROUND(SUM(M63:M68),0)</f>
        <v>368</v>
      </c>
      <c r="N69" s="2330">
        <f ca="1">M69/M49</f>
        <v>1.6405866880656234E-2</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21363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128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128</v>
      </c>
      <c r="D78" s="2361">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21235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165.8984375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12696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21363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128</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48" t="s">
        <v>2129</v>
      </c>
      <c r="H90" s="334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6" t="s">
        <v>1422</v>
      </c>
      <c r="F92" s="3267"/>
      <c r="G92" s="3267"/>
      <c r="H92" s="3276"/>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128</v>
      </c>
      <c r="D93" s="2361">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21235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165.8984375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12696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69" t="str">
        <f>C4</f>
        <v>成本法</v>
      </c>
      <c r="D101" s="2370" t="str">
        <f>D4</f>
        <v>收益法（汇总）</v>
      </c>
      <c r="E101" s="3343" t="s">
        <v>1431</v>
      </c>
      <c r="F101" s="3300"/>
      <c r="G101" s="1687" t="s">
        <v>1432</v>
      </c>
      <c r="H101" s="2379">
        <f ca="1">H118</f>
        <v>22431</v>
      </c>
      <c r="I101" s="121"/>
    </row>
    <row r="102" spans="1:35" ht="18.75" customHeight="1">
      <c r="A102" s="3302" t="s">
        <v>1433</v>
      </c>
      <c r="B102" s="2368" t="s">
        <v>1432</v>
      </c>
      <c r="C102" s="2369">
        <f ca="1">IF(D32="楼面单价",ROUND(C19,0),C19)</f>
        <v>26734</v>
      </c>
      <c r="D102" s="2370">
        <f ca="1">IF(D32="楼面单价",ROUND(D19,0),D19)</f>
        <v>12390</v>
      </c>
      <c r="E102" s="3343"/>
      <c r="F102" s="3300"/>
      <c r="G102" s="1687" t="s">
        <v>1434</v>
      </c>
      <c r="H102" s="2339">
        <f ca="1">I118</f>
        <v>24824</v>
      </c>
      <c r="I102" s="121"/>
    </row>
    <row r="103" spans="1:35" ht="42.75" customHeight="1">
      <c r="A103" s="3302"/>
      <c r="B103" s="2368" t="s">
        <v>1434</v>
      </c>
      <c r="C103" s="2371">
        <f ca="1">C20</f>
        <v>29586</v>
      </c>
      <c r="D103" s="2372">
        <f ca="1">D20</f>
        <v>13712</v>
      </c>
      <c r="E103" s="3337" t="s">
        <v>1435</v>
      </c>
      <c r="F103" s="3338"/>
      <c r="G103" s="1688" t="s">
        <v>1436</v>
      </c>
      <c r="H103" s="2379">
        <f>IF(D36="正常操作",H104+H105+H106,H105+H106)</f>
        <v>0</v>
      </c>
      <c r="I103" s="121"/>
    </row>
    <row r="104" spans="1:35" ht="18.75" customHeight="1">
      <c r="A104" s="3302" t="s">
        <v>1437</v>
      </c>
      <c r="B104" s="2373" t="s">
        <v>1432</v>
      </c>
      <c r="C104" s="2374">
        <f ca="1">H118</f>
        <v>22431</v>
      </c>
      <c r="D104" s="2375"/>
      <c r="E104" s="1555" t="s">
        <v>1438</v>
      </c>
      <c r="F104" s="1548"/>
      <c r="G104" s="1688" t="s">
        <v>1436</v>
      </c>
      <c r="H104" s="2380">
        <f>IF(D36="同一抵押权人同一抵押物续贷",C36&amp;"（续贷，未扣减，详见特别提示）",C36)</f>
        <v>0</v>
      </c>
      <c r="I104" s="121"/>
    </row>
    <row r="105" spans="1:35" ht="18.75" customHeight="1" thickBot="1">
      <c r="A105" s="3303"/>
      <c r="B105" s="2376" t="s">
        <v>1434</v>
      </c>
      <c r="C105" s="2377">
        <f ca="1">I118</f>
        <v>24824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9" t="str">
        <f>IF(项目基本情况!E8="已注销","——","3.房地产抵押价值")</f>
        <v>3.房地产抵押价值</v>
      </c>
      <c r="F107" s="3300"/>
      <c r="G107" s="1687" t="s">
        <v>1432</v>
      </c>
      <c r="H107" s="2379">
        <f ca="1">IF(E107="——","——",H101-H103)</f>
        <v>22431</v>
      </c>
      <c r="I107" s="121"/>
    </row>
    <row r="108" spans="1:35" ht="18.75" customHeight="1">
      <c r="A108" s="121"/>
      <c r="B108" s="121"/>
      <c r="C108" s="121"/>
      <c r="D108" s="121"/>
      <c r="E108" s="3299"/>
      <c r="F108" s="3300"/>
      <c r="G108" s="1687" t="s">
        <v>1434</v>
      </c>
      <c r="H108" s="2339">
        <f ca="1">IF(H107=H101,H102,ROUND(H107*10000/'数据-汇总表'!E3,0))</f>
        <v>24824</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2" t="str">
        <f>IF(E109="——","——",H101-H105-H106)</f>
        <v>——</v>
      </c>
      <c r="I109" s="121"/>
    </row>
    <row r="110" spans="1:35" ht="18.75" customHeight="1">
      <c r="A110" s="121"/>
      <c r="B110" s="121"/>
      <c r="C110" s="121"/>
      <c r="D110" s="121"/>
      <c r="E110" s="3299"/>
      <c r="F110" s="3300"/>
      <c r="G110" s="1687"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32"/>
      <c r="F112" s="3333"/>
      <c r="G112" s="1690"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17205</v>
      </c>
      <c r="E118" s="2150">
        <f ca="1">ROUND(IF(C33="自定义",IF(D32="楼面单价",C34,D118*10000/B118),I118-G118),0)</f>
        <v>19040</v>
      </c>
      <c r="F118" s="2150">
        <f ca="1">ROUND(IF(D32="总价",C35,G118*B118/10000),0)</f>
        <v>5226</v>
      </c>
      <c r="G118" s="2150">
        <f ca="1">ROUND(IF(D32="楼面单价",C35,F118*10000/B118),0)</f>
        <v>5784</v>
      </c>
      <c r="H118" s="2150">
        <f ca="1">ROUND(IF(D32="总价",C32,I118*B118/10000),0)</f>
        <v>22431</v>
      </c>
      <c r="I118" s="2150">
        <f ca="1">ROUND(IF(D32="楼面单价",C32,H118*10000/B118),0)</f>
        <v>24824</v>
      </c>
    </row>
    <row r="119" spans="1:27" ht="18.75" customHeight="1">
      <c r="A119" s="3270" t="s">
        <v>1452</v>
      </c>
      <c r="B119" s="3270"/>
      <c r="C119" s="3270"/>
      <c r="D119" s="3310" t="str">
        <f ca="1">NUMBERSTRING(INT(D118*10000),2)&amp;"元整"</f>
        <v>壹亿柒仟贰佰零伍万元整</v>
      </c>
      <c r="E119" s="3312"/>
      <c r="F119" s="3310" t="str">
        <f ca="1">NUMBERSTRING(INT(F118*10000),2)&amp;"元整"</f>
        <v>伍仟贰佰贰拾陆万元整</v>
      </c>
      <c r="G119" s="3312"/>
      <c r="H119" s="3310" t="str">
        <f ca="1">NUMBERSTRING(INT(H118*10000),2)&amp;"元整"</f>
        <v>贰亿贰仟肆佰叁拾壹万元整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22431</v>
      </c>
      <c r="E122" s="3335"/>
      <c r="F122" s="3335"/>
      <c r="G122" s="3335"/>
      <c r="H122" s="3335"/>
      <c r="I122" s="3336"/>
      <c r="AA122" s="684"/>
    </row>
    <row r="123" spans="1:27" ht="18.75" customHeight="1">
      <c r="A123" s="3270" t="s">
        <v>1452</v>
      </c>
      <c r="B123" s="3270"/>
      <c r="C123" s="3270"/>
      <c r="D123" s="3310" t="str">
        <f ca="1">NUMBERSTRING(INT(D122*10000),2)&amp;"元整"</f>
        <v>贰亿贰仟肆佰叁拾壹万元整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北京市靛厂路11号房地产抵押价值预评估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7" zoomScale="85" zoomScaleNormal="60" zoomScaleSheetLayoutView="85" workbookViewId="0">
      <selection activeCell="E60" sqref="E60"/>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8.125" style="347" customWidth="1"/>
    <col min="6" max="6" width="12.25" style="347" customWidth="1"/>
    <col min="7" max="7" width="17.75" style="347" customWidth="1"/>
    <col min="8" max="8" width="12.25" style="347" customWidth="1"/>
    <col min="9" max="9" width="17.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15867</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17560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60.75" customHeight="1">
      <c r="A5" s="348"/>
      <c r="B5" s="349"/>
      <c r="C5" s="3383" t="s">
        <v>1673</v>
      </c>
      <c r="D5" s="3384"/>
      <c r="E5" s="3390" t="str">
        <f>土地案例!A2</f>
        <v>北京丽泽金融商务区北区A地块建设及综合治理项目FT00-0609-0037(2)地块B4综合性商业金融服务业用地</v>
      </c>
      <c r="F5" s="3391"/>
      <c r="G5" s="3383" t="str">
        <f>土地案例!A3</f>
        <v>北京市丰台区丽泽金融商务区FT00-0612-0016等地块F3其他类多功能用地、S32公交场站设施用地</v>
      </c>
      <c r="H5" s="3384"/>
      <c r="I5" s="3383" t="str">
        <f>土地案例!A4</f>
        <v>北京市丰台区丽泽金融商务区D-01地块B4综合性商业金融服务业用地</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385" t="s">
        <v>1680</v>
      </c>
      <c r="Q7" s="3387"/>
      <c r="R7" s="664" t="s">
        <v>14</v>
      </c>
      <c r="S7" s="665">
        <f t="shared" ref="S7:S15" si="0">F7</f>
        <v>99.199999999999989</v>
      </c>
      <c r="T7" s="664" t="s">
        <v>14</v>
      </c>
      <c r="U7" s="665">
        <f t="shared" ref="U7:U15" si="1">H7</f>
        <v>98.799999999999983</v>
      </c>
      <c r="V7" s="664" t="s">
        <v>14</v>
      </c>
      <c r="W7" s="665">
        <f t="shared" ref="W7:W15" si="2">J7</f>
        <v>98.199999999999974</v>
      </c>
      <c r="X7" s="666"/>
      <c r="Y7" s="3385" t="s">
        <v>1680</v>
      </c>
      <c r="Z7" s="3386"/>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45" si="3">D8/F8</f>
        <v>1</v>
      </c>
      <c r="AB8" s="50">
        <f t="shared" ref="AB8:AB45" si="4">D8/H8</f>
        <v>1</v>
      </c>
      <c r="AC8" s="50">
        <f t="shared" ref="AC8:AC45" si="5">D8/J8</f>
        <v>1</v>
      </c>
    </row>
    <row r="9" spans="1:29" s="102" customFormat="1">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57"/>
      <c r="Q10" s="530" t="str">
        <f t="shared" si="6"/>
        <v>土地使用年限（年）</v>
      </c>
      <c r="R10" s="664" t="s">
        <v>14</v>
      </c>
      <c r="S10" s="665">
        <f t="shared" si="0"/>
        <v>118</v>
      </c>
      <c r="T10" s="664" t="s">
        <v>14</v>
      </c>
      <c r="U10" s="665">
        <f t="shared" si="1"/>
        <v>118</v>
      </c>
      <c r="V10" s="664" t="s">
        <v>14</v>
      </c>
      <c r="W10" s="665">
        <f t="shared" si="2"/>
        <v>118</v>
      </c>
      <c r="X10" s="666"/>
      <c r="Y10" s="3257"/>
      <c r="Z10" s="50" t="str">
        <f t="shared" si="7"/>
        <v>土地使用年限（年）</v>
      </c>
      <c r="AA10" s="50">
        <f t="shared" si="3"/>
        <v>0.84745762711864403</v>
      </c>
      <c r="AB10" s="50">
        <f t="shared" si="4"/>
        <v>0.84745762711864403</v>
      </c>
      <c r="AC10" s="50">
        <f t="shared" si="5"/>
        <v>0.84745762711864403</v>
      </c>
    </row>
    <row r="11" spans="1:29" ht="15">
      <c r="A11" s="367"/>
      <c r="B11" s="364" t="s">
        <v>1689</v>
      </c>
      <c r="C11" s="368">
        <v>3.65</v>
      </c>
      <c r="D11" s="119">
        <v>100</v>
      </c>
      <c r="E11" s="368">
        <v>7</v>
      </c>
      <c r="F11" s="119">
        <f>LOOKUP(E11,79:79,80:80)-LOOKUP(C11,79:79,80:80)+100</f>
        <v>92</v>
      </c>
      <c r="G11" s="369">
        <f>[2]土地案例!S3</f>
        <v>4.4000000000000004</v>
      </c>
      <c r="H11" s="119">
        <f>LOOKUP(G11,79:79,80:80)-LOOKUP(C11,79:79,80:80)+100</f>
        <v>98</v>
      </c>
      <c r="I11" s="368">
        <v>6.33</v>
      </c>
      <c r="J11" s="119">
        <f>LOOKUP(I11,79:79,80:80)-LOOKUP(C11,79:79,80:80)+100</f>
        <v>94</v>
      </c>
      <c r="K11" s="593">
        <v>2</v>
      </c>
      <c r="L11" s="2489"/>
      <c r="M11" s="2485"/>
      <c r="N11" s="2485"/>
      <c r="O11" s="2540"/>
      <c r="P11" s="3357"/>
      <c r="Q11" s="530" t="str">
        <f t="shared" si="6"/>
        <v>容积率</v>
      </c>
      <c r="R11" s="664" t="s">
        <v>14</v>
      </c>
      <c r="S11" s="665">
        <f t="shared" si="0"/>
        <v>92</v>
      </c>
      <c r="T11" s="664" t="s">
        <v>14</v>
      </c>
      <c r="U11" s="665">
        <f t="shared" si="1"/>
        <v>98</v>
      </c>
      <c r="V11" s="664" t="s">
        <v>14</v>
      </c>
      <c r="W11" s="665">
        <f t="shared" si="2"/>
        <v>94</v>
      </c>
      <c r="X11" s="666"/>
      <c r="Y11" s="3257"/>
      <c r="Z11" s="50" t="str">
        <f t="shared" si="7"/>
        <v>容积率</v>
      </c>
      <c r="AA11" s="50">
        <f t="shared" si="3"/>
        <v>1.0869565217391304</v>
      </c>
      <c r="AB11" s="50">
        <f t="shared" si="4"/>
        <v>1.0204081632653061</v>
      </c>
      <c r="AC11" s="50">
        <f t="shared" si="5"/>
        <v>1.0638297872340425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7"/>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8" t="s">
        <v>1691</v>
      </c>
      <c r="Q15" s="1263" t="str">
        <f t="shared" si="6"/>
        <v>居住社区成熟度</v>
      </c>
      <c r="R15" s="667" t="s">
        <v>14</v>
      </c>
      <c r="S15" s="668">
        <f t="shared" si="0"/>
        <v>100</v>
      </c>
      <c r="T15" s="667" t="s">
        <v>14</v>
      </c>
      <c r="U15" s="668">
        <f t="shared" si="1"/>
        <v>100</v>
      </c>
      <c r="V15" s="667" t="s">
        <v>14</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59"/>
      <c r="Q17" s="1263" t="str">
        <f>B17</f>
        <v>商业繁华度</v>
      </c>
      <c r="R17" s="667" t="s">
        <v>14</v>
      </c>
      <c r="S17" s="668">
        <f>F17</f>
        <v>100</v>
      </c>
      <c r="T17" s="667" t="s">
        <v>14</v>
      </c>
      <c r="U17" s="668">
        <f>H17</f>
        <v>100</v>
      </c>
      <c r="V17" s="667" t="s">
        <v>14</v>
      </c>
      <c r="W17" s="668">
        <f>J17</f>
        <v>100</v>
      </c>
      <c r="X17" s="1265"/>
      <c r="Y17" s="3359"/>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102</v>
      </c>
      <c r="G19" s="396"/>
      <c r="H19" s="389">
        <f>SUMIF(91:91,G20,92:92)-SUMIF(91:91,C20,92:92)+100</f>
        <v>102</v>
      </c>
      <c r="I19" s="398"/>
      <c r="J19" s="389">
        <f>SUMIF(91:91,I20,92:92)-SUMIF(91:91,C20,92:92)+100</f>
        <v>102</v>
      </c>
      <c r="K19" s="593">
        <v>2</v>
      </c>
      <c r="L19" s="2490"/>
      <c r="M19" s="2485"/>
      <c r="N19" s="2485"/>
      <c r="O19" s="2540"/>
      <c r="P19" s="3359"/>
      <c r="Q19" s="1263" t="str">
        <f>B19</f>
        <v>办公集聚程度</v>
      </c>
      <c r="R19" s="667" t="s">
        <v>14</v>
      </c>
      <c r="S19" s="668">
        <f>F19</f>
        <v>102</v>
      </c>
      <c r="T19" s="667" t="s">
        <v>14</v>
      </c>
      <c r="U19" s="668">
        <f>H19</f>
        <v>102</v>
      </c>
      <c r="V19" s="667" t="s">
        <v>14</v>
      </c>
      <c r="W19" s="668">
        <f>J19</f>
        <v>102</v>
      </c>
      <c r="X19" s="1265"/>
      <c r="Y19" s="3359"/>
      <c r="Z19" s="1264" t="str">
        <f>Q19</f>
        <v>办公集聚程度</v>
      </c>
      <c r="AA19" s="1264">
        <f t="shared" si="3"/>
        <v>0.98039215686274506</v>
      </c>
      <c r="AB19" s="1264">
        <f t="shared" si="4"/>
        <v>0.98039215686274506</v>
      </c>
      <c r="AC19" s="1264">
        <f t="shared" si="5"/>
        <v>0.98039215686274506</v>
      </c>
    </row>
    <row r="20" spans="1:29" ht="15">
      <c r="A20" s="367"/>
      <c r="B20" s="395"/>
      <c r="C20" s="386" t="s">
        <v>3533</v>
      </c>
      <c r="D20" s="387"/>
      <c r="E20" s="386" t="s">
        <v>3532</v>
      </c>
      <c r="F20" s="387"/>
      <c r="G20" s="386" t="s">
        <v>3532</v>
      </c>
      <c r="H20" s="387"/>
      <c r="I20" s="386" t="s">
        <v>3532</v>
      </c>
      <c r="J20" s="387"/>
      <c r="K20" s="592"/>
      <c r="L20" s="2490"/>
      <c r="M20" s="2485"/>
      <c r="N20" s="2485"/>
      <c r="O20" s="2540"/>
      <c r="P20" s="3359"/>
      <c r="Q20" s="1263"/>
      <c r="R20" s="667"/>
      <c r="S20" s="668"/>
      <c r="T20" s="667"/>
      <c r="U20" s="668"/>
      <c r="V20" s="667"/>
      <c r="W20" s="668"/>
      <c r="X20" s="1265"/>
      <c r="Y20" s="3359"/>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59"/>
      <c r="Q21" s="1263" t="str">
        <f>B21</f>
        <v>交通便捷度</v>
      </c>
      <c r="R21" s="667" t="s">
        <v>14</v>
      </c>
      <c r="S21" s="668">
        <f>F21</f>
        <v>102</v>
      </c>
      <c r="T21" s="667" t="s">
        <v>14</v>
      </c>
      <c r="U21" s="668">
        <f>H21</f>
        <v>100</v>
      </c>
      <c r="V21" s="667" t="s">
        <v>14</v>
      </c>
      <c r="W21" s="668">
        <f>J21</f>
        <v>102</v>
      </c>
      <c r="X21" s="1265"/>
      <c r="Y21" s="3359"/>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9"/>
      <c r="Q23" s="1263" t="str">
        <f t="shared" ref="Q23:Q37" si="8">B23</f>
        <v>区域土地利用方向</v>
      </c>
      <c r="R23" s="667" t="s">
        <v>14</v>
      </c>
      <c r="S23" s="668">
        <f>F23</f>
        <v>100</v>
      </c>
      <c r="T23" s="667" t="s">
        <v>14</v>
      </c>
      <c r="U23" s="668">
        <f>H23</f>
        <v>100</v>
      </c>
      <c r="V23" s="667" t="s">
        <v>14</v>
      </c>
      <c r="W23" s="668">
        <f>J23</f>
        <v>100</v>
      </c>
      <c r="X23" s="1265"/>
      <c r="Y23" s="3359"/>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359"/>
      <c r="Q24" s="1263"/>
      <c r="R24" s="667"/>
      <c r="S24" s="668"/>
      <c r="T24" s="667"/>
      <c r="U24" s="668"/>
      <c r="V24" s="667"/>
      <c r="W24" s="668"/>
      <c r="X24" s="1265"/>
      <c r="Y24" s="3359"/>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59"/>
      <c r="Q25" s="1263" t="str">
        <f t="shared" si="8"/>
        <v>自然及人文环境状况</v>
      </c>
      <c r="R25" s="667" t="s">
        <v>14</v>
      </c>
      <c r="S25" s="668">
        <f>F25</f>
        <v>100</v>
      </c>
      <c r="T25" s="667" t="s">
        <v>14</v>
      </c>
      <c r="U25" s="668">
        <f>H25</f>
        <v>100</v>
      </c>
      <c r="V25" s="667" t="s">
        <v>14</v>
      </c>
      <c r="W25" s="668">
        <f>J25</f>
        <v>100</v>
      </c>
      <c r="X25" s="1265"/>
      <c r="Y25" s="3359"/>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359"/>
      <c r="Q26" s="1263"/>
      <c r="R26" s="667"/>
      <c r="S26" s="668"/>
      <c r="T26" s="667"/>
      <c r="U26" s="668"/>
      <c r="V26" s="667"/>
      <c r="W26" s="668"/>
      <c r="X26" s="1265"/>
      <c r="Y26" s="3359"/>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59"/>
      <c r="Q27" s="530" t="str">
        <f t="shared" si="8"/>
        <v>公共配套设施</v>
      </c>
      <c r="R27" s="664" t="s">
        <v>14</v>
      </c>
      <c r="S27" s="665">
        <f>F27</f>
        <v>97</v>
      </c>
      <c r="T27" s="664" t="s">
        <v>14</v>
      </c>
      <c r="U27" s="665">
        <f>H27</f>
        <v>97</v>
      </c>
      <c r="V27" s="664" t="s">
        <v>14</v>
      </c>
      <c r="W27" s="665">
        <f>J27</f>
        <v>97</v>
      </c>
      <c r="X27" s="666"/>
      <c r="Y27" s="3359"/>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359"/>
      <c r="Q28" s="530"/>
      <c r="R28" s="664"/>
      <c r="S28" s="665"/>
      <c r="T28" s="664"/>
      <c r="U28" s="665"/>
      <c r="V28" s="664"/>
      <c r="W28" s="665"/>
      <c r="X28" s="666"/>
      <c r="Y28" s="3359"/>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59"/>
      <c r="Q29" s="530" t="str">
        <f t="shared" ref="Q29" si="9">B29</f>
        <v>基础设施水平</v>
      </c>
      <c r="R29" s="664" t="s">
        <v>14</v>
      </c>
      <c r="S29" s="665">
        <f>F29</f>
        <v>100</v>
      </c>
      <c r="T29" s="664" t="s">
        <v>14</v>
      </c>
      <c r="U29" s="665">
        <f>H29</f>
        <v>100</v>
      </c>
      <c r="V29" s="664" t="s">
        <v>14</v>
      </c>
      <c r="W29" s="665">
        <f>J29</f>
        <v>100</v>
      </c>
      <c r="X29" s="666"/>
      <c r="Y29" s="3359"/>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359"/>
      <c r="Q30" s="530"/>
      <c r="R30" s="664"/>
      <c r="S30" s="665"/>
      <c r="T30" s="664"/>
      <c r="U30" s="665"/>
      <c r="V30" s="664"/>
      <c r="W30" s="665"/>
      <c r="X30" s="666"/>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59"/>
      <c r="Q32" s="1263" t="str">
        <f t="shared" si="8"/>
        <v>毗邻道路的类型与等级</v>
      </c>
      <c r="R32" s="667" t="s">
        <v>14</v>
      </c>
      <c r="S32" s="668">
        <f t="shared" si="10"/>
        <v>101</v>
      </c>
      <c r="T32" s="667" t="s">
        <v>14</v>
      </c>
      <c r="U32" s="668">
        <f t="shared" si="11"/>
        <v>99</v>
      </c>
      <c r="V32" s="667" t="s">
        <v>14</v>
      </c>
      <c r="W32" s="668">
        <f t="shared" si="12"/>
        <v>101</v>
      </c>
      <c r="X32" s="1265"/>
      <c r="Y32" s="3359"/>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359"/>
      <c r="Q33" s="1263"/>
      <c r="R33" s="667"/>
      <c r="S33" s="668"/>
      <c r="T33" s="667"/>
      <c r="U33" s="668"/>
      <c r="V33" s="667"/>
      <c r="W33" s="668"/>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9"/>
      <c r="Q34" s="1263" t="str">
        <f t="shared" si="8"/>
        <v>土地级别</v>
      </c>
      <c r="R34" s="667" t="s">
        <v>14</v>
      </c>
      <c r="S34" s="668">
        <f t="shared" si="10"/>
        <v>100</v>
      </c>
      <c r="T34" s="667" t="s">
        <v>14</v>
      </c>
      <c r="U34" s="668">
        <f t="shared" si="11"/>
        <v>100</v>
      </c>
      <c r="V34" s="667" t="s">
        <v>14</v>
      </c>
      <c r="W34" s="668">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9"/>
      <c r="Q35" s="1263">
        <f t="shared" si="8"/>
        <v>111</v>
      </c>
      <c r="R35" s="667" t="s">
        <v>14</v>
      </c>
      <c r="S35" s="668">
        <f t="shared" si="10"/>
        <v>100</v>
      </c>
      <c r="T35" s="667" t="s">
        <v>14</v>
      </c>
      <c r="U35" s="668">
        <f t="shared" si="11"/>
        <v>100</v>
      </c>
      <c r="V35" s="667" t="s">
        <v>14</v>
      </c>
      <c r="W35" s="668">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60" t="s">
        <v>1696</v>
      </c>
      <c r="Q36" s="1263">
        <f t="shared" si="8"/>
        <v>111</v>
      </c>
      <c r="R36" s="667" t="s">
        <v>14</v>
      </c>
      <c r="S36" s="668">
        <f t="shared" si="10"/>
        <v>100</v>
      </c>
      <c r="T36" s="667" t="s">
        <v>14</v>
      </c>
      <c r="U36" s="668">
        <f t="shared" si="11"/>
        <v>100</v>
      </c>
      <c r="V36" s="667" t="s">
        <v>14</v>
      </c>
      <c r="W36" s="668">
        <f t="shared" si="12"/>
        <v>100</v>
      </c>
      <c r="X36" s="1265"/>
      <c r="Y36" s="336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1"/>
      <c r="Q37" s="1263">
        <f t="shared" si="8"/>
        <v>111</v>
      </c>
      <c r="R37" s="669" t="s">
        <v>14</v>
      </c>
      <c r="S37" s="670">
        <f t="shared" si="10"/>
        <v>100</v>
      </c>
      <c r="T37" s="669" t="s">
        <v>14</v>
      </c>
      <c r="U37" s="670">
        <f t="shared" si="11"/>
        <v>100</v>
      </c>
      <c r="V37" s="669" t="s">
        <v>14</v>
      </c>
      <c r="W37" s="670">
        <f t="shared" si="12"/>
        <v>100</v>
      </c>
      <c r="X37" s="671"/>
      <c r="Y37" s="3361"/>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361"/>
      <c r="Q38" s="1263" t="str">
        <f>B38</f>
        <v>宗地面积</v>
      </c>
      <c r="R38" s="667" t="s">
        <v>14</v>
      </c>
      <c r="S38" s="668">
        <f t="shared" si="10"/>
        <v>98</v>
      </c>
      <c r="T38" s="667" t="s">
        <v>14</v>
      </c>
      <c r="U38" s="668">
        <f t="shared" si="11"/>
        <v>99</v>
      </c>
      <c r="V38" s="667" t="s">
        <v>14</v>
      </c>
      <c r="W38" s="668">
        <f t="shared" si="12"/>
        <v>99</v>
      </c>
      <c r="X38" s="1265"/>
      <c r="Y38" s="3361"/>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61"/>
      <c r="Q39" s="1263" t="str">
        <f t="shared" ref="Q39:Q45" si="14">B39</f>
        <v>宗地形状</v>
      </c>
      <c r="R39" s="667" t="s">
        <v>14</v>
      </c>
      <c r="S39" s="668">
        <f t="shared" si="10"/>
        <v>100</v>
      </c>
      <c r="T39" s="667" t="s">
        <v>14</v>
      </c>
      <c r="U39" s="668">
        <f t="shared" si="11"/>
        <v>100</v>
      </c>
      <c r="V39" s="667" t="s">
        <v>14</v>
      </c>
      <c r="W39" s="668">
        <f t="shared" si="12"/>
        <v>100</v>
      </c>
      <c r="X39" s="1265"/>
      <c r="Y39" s="3361"/>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361"/>
      <c r="Q40" s="1263" t="str">
        <f t="shared" si="14"/>
        <v>临街宽度及深度</v>
      </c>
      <c r="R40" s="667" t="s">
        <v>14</v>
      </c>
      <c r="S40" s="668">
        <f t="shared" si="10"/>
        <v>100</v>
      </c>
      <c r="T40" s="667" t="s">
        <v>14</v>
      </c>
      <c r="U40" s="668">
        <f t="shared" si="11"/>
        <v>100</v>
      </c>
      <c r="V40" s="667" t="s">
        <v>14</v>
      </c>
      <c r="W40" s="668">
        <f t="shared" si="12"/>
        <v>100</v>
      </c>
      <c r="X40" s="1265"/>
      <c r="Y40" s="3361"/>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361"/>
      <c r="Q41" s="1263" t="str">
        <f t="shared" si="14"/>
        <v>宗地开发程度</v>
      </c>
      <c r="R41" s="664" t="s">
        <v>14</v>
      </c>
      <c r="S41" s="665">
        <f t="shared" si="10"/>
        <v>97</v>
      </c>
      <c r="T41" s="664" t="s">
        <v>14</v>
      </c>
      <c r="U41" s="665">
        <f t="shared" si="11"/>
        <v>97</v>
      </c>
      <c r="V41" s="664" t="s">
        <v>14</v>
      </c>
      <c r="W41" s="665">
        <f t="shared" si="12"/>
        <v>97</v>
      </c>
      <c r="X41" s="666"/>
      <c r="Y41" s="3361"/>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361" t="s">
        <v>1696</v>
      </c>
      <c r="Q42" s="1263" t="str">
        <f t="shared" si="14"/>
        <v>工程地质条件</v>
      </c>
      <c r="R42" s="667" t="s">
        <v>14</v>
      </c>
      <c r="S42" s="668">
        <f t="shared" si="10"/>
        <v>100</v>
      </c>
      <c r="T42" s="667" t="s">
        <v>14</v>
      </c>
      <c r="U42" s="668">
        <f t="shared" si="11"/>
        <v>100</v>
      </c>
      <c r="V42" s="667" t="s">
        <v>14</v>
      </c>
      <c r="W42" s="668">
        <f t="shared" si="12"/>
        <v>100</v>
      </c>
      <c r="X42" s="1265"/>
      <c r="Y42" s="336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1"/>
      <c r="Q43" s="1263">
        <f t="shared" si="14"/>
        <v>111</v>
      </c>
      <c r="R43" s="667" t="s">
        <v>14</v>
      </c>
      <c r="S43" s="668">
        <f t="shared" si="10"/>
        <v>100</v>
      </c>
      <c r="T43" s="667" t="s">
        <v>14</v>
      </c>
      <c r="U43" s="668">
        <f t="shared" si="11"/>
        <v>100</v>
      </c>
      <c r="V43" s="667" t="s">
        <v>14</v>
      </c>
      <c r="W43" s="668">
        <f t="shared" si="12"/>
        <v>100</v>
      </c>
      <c r="X43" s="1265"/>
      <c r="Y43" s="336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1"/>
      <c r="Q44" s="1263">
        <f t="shared" si="14"/>
        <v>111</v>
      </c>
      <c r="R44" s="667" t="s">
        <v>14</v>
      </c>
      <c r="S44" s="668">
        <f t="shared" si="10"/>
        <v>100</v>
      </c>
      <c r="T44" s="667" t="s">
        <v>14</v>
      </c>
      <c r="U44" s="668">
        <f t="shared" si="11"/>
        <v>100</v>
      </c>
      <c r="V44" s="667" t="s">
        <v>14</v>
      </c>
      <c r="W44" s="668">
        <f t="shared" si="12"/>
        <v>100</v>
      </c>
      <c r="X44" s="1265"/>
      <c r="Y44" s="336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1"/>
      <c r="Q45" s="1263">
        <f t="shared" si="14"/>
        <v>111</v>
      </c>
      <c r="R45" s="669" t="s">
        <v>14</v>
      </c>
      <c r="S45" s="670">
        <f t="shared" si="10"/>
        <v>100</v>
      </c>
      <c r="T45" s="669" t="s">
        <v>14</v>
      </c>
      <c r="U45" s="670">
        <f t="shared" si="11"/>
        <v>100</v>
      </c>
      <c r="V45" s="669" t="s">
        <v>14</v>
      </c>
      <c r="W45" s="670">
        <f t="shared" si="12"/>
        <v>100</v>
      </c>
      <c r="X45" s="671"/>
      <c r="Y45" s="3361"/>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357" t="str">
        <f>A46</f>
        <v>成交单价</v>
      </c>
      <c r="Q46" s="3357"/>
      <c r="R46" s="3362">
        <f>E46</f>
        <v>22692</v>
      </c>
      <c r="S46" s="3362"/>
      <c r="T46" s="3362">
        <f>G46</f>
        <v>22811</v>
      </c>
      <c r="U46" s="3362"/>
      <c r="V46" s="3362">
        <f>I46</f>
        <v>20750</v>
      </c>
      <c r="W46" s="3362"/>
      <c r="X46" s="385"/>
      <c r="Y46" s="673"/>
      <c r="Z46" s="385"/>
      <c r="AA46" s="385"/>
      <c r="AB46" s="385"/>
      <c r="AC46" s="385"/>
    </row>
    <row r="47" spans="1:29" ht="15.75" thickBot="1">
      <c r="A47" s="423" t="s">
        <v>1793</v>
      </c>
      <c r="B47" s="603"/>
      <c r="C47" s="426">
        <f>R48</f>
        <v>20812</v>
      </c>
      <c r="D47" s="2141" t="s">
        <v>2138</v>
      </c>
      <c r="E47" s="426">
        <f>R47</f>
        <v>21747</v>
      </c>
      <c r="F47" s="2142"/>
      <c r="G47" s="425">
        <f>T47</f>
        <v>21226</v>
      </c>
      <c r="H47" s="2142"/>
      <c r="I47" s="426">
        <f>V47</f>
        <v>19462</v>
      </c>
      <c r="J47" s="2142"/>
      <c r="K47" s="2144">
        <f>F47+H47+J47</f>
        <v>0</v>
      </c>
      <c r="L47" s="2492"/>
      <c r="M47" s="2485"/>
      <c r="N47" s="2485"/>
      <c r="O47" s="2485"/>
      <c r="P47" s="3357" t="str">
        <f>A47</f>
        <v>比较价值（元/平方米）</v>
      </c>
      <c r="Q47" s="3357"/>
      <c r="R47" s="3350">
        <f>ROUND(PRODUCT(R46,AA7:AA45),0)</f>
        <v>21747</v>
      </c>
      <c r="S47" s="3350"/>
      <c r="T47" s="3350">
        <f>ROUND(PRODUCT(T46,AB7:AB45),0)</f>
        <v>21226</v>
      </c>
      <c r="U47" s="3350"/>
      <c r="V47" s="3350">
        <f>ROUND(PRODUCT(V46,AC7:AC45),0)</f>
        <v>19462</v>
      </c>
      <c r="W47" s="3350"/>
      <c r="X47" s="385"/>
      <c r="Y47" s="385"/>
      <c r="Z47" s="385"/>
      <c r="AA47" s="385"/>
      <c r="AB47" s="385"/>
      <c r="AC47" s="385"/>
    </row>
    <row r="48" spans="1:29" ht="15.75" thickBot="1">
      <c r="A48" s="427" t="s">
        <v>1880</v>
      </c>
      <c r="B48" s="428"/>
      <c r="C48" s="429">
        <f>R48</f>
        <v>20812</v>
      </c>
      <c r="D48" s="429"/>
      <c r="E48" s="429"/>
      <c r="F48" s="429"/>
      <c r="G48" s="429"/>
      <c r="H48" s="429"/>
      <c r="I48" s="429"/>
      <c r="J48" s="429"/>
      <c r="K48" s="675"/>
      <c r="L48" s="2492"/>
      <c r="M48" s="2485"/>
      <c r="N48" s="2485"/>
      <c r="O48" s="2485"/>
      <c r="P48" s="3351" t="str">
        <f>A48</f>
        <v>估价对象XX用房的比较价值（楼面单价，元/平方米）</v>
      </c>
      <c r="Q48" s="3352"/>
      <c r="R48" s="3353">
        <f>ROUND(IF(D47="简单平均",AVERAGE(R47:W47),R47*F47+T47*H47+V47*J47),0)</f>
        <v>20812</v>
      </c>
      <c r="S48" s="3353"/>
      <c r="T48" s="3353"/>
      <c r="U48" s="3353"/>
      <c r="V48" s="3353"/>
      <c r="W48" s="335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4.3454269554421332E-2</v>
      </c>
      <c r="F51" s="435" t="str">
        <f>IF(OR(E51&gt;=0.3,E51&lt;=-0.3),"超过30%","")</f>
        <v/>
      </c>
      <c r="G51" s="434">
        <f>IF(G46&lt;G47,G47/G46-1,G46/G47-1)</f>
        <v>7.4672571374729158E-2</v>
      </c>
      <c r="H51" s="435" t="str">
        <f>IF(OR(G51&gt;=0.3,G51&lt;=-0.3),"超过30%","")</f>
        <v/>
      </c>
      <c r="I51" s="434">
        <f>IF(I46&lt;I47,I47/I46-1,I46/I47-1)</f>
        <v>6.6180248689754473E-2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2.4545368887213703E-2</v>
      </c>
      <c r="F52" s="435" t="str">
        <f>IF(OR(E52&gt;=0.2,E52&lt;=-0.2),"超过20%","")</f>
        <v/>
      </c>
      <c r="G52" s="434">
        <f>IF(G47&lt;I47,I47/G47-1,G47/I47-1)</f>
        <v>9.0638166683794097E-2</v>
      </c>
      <c r="H52" s="435" t="str">
        <f>IF(OR(G52&gt;=0.2,G52&lt;=-0.2),"超过20%","")</f>
        <v/>
      </c>
      <c r="I52" s="434">
        <f>IF(I47&lt;E47,E47/I47-1,I47/E47-1)</f>
        <v>0.11740828280752225</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54" t="s">
        <v>1887</v>
      </c>
      <c r="H55" s="335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20812</v>
      </c>
      <c r="C56" s="610">
        <v>1</v>
      </c>
      <c r="D56" s="890">
        <v>1</v>
      </c>
      <c r="E56" s="610">
        <f>'数据-汇总表'!E8+'数据-汇总表'!E9</f>
        <v>7529.9249999999993</v>
      </c>
      <c r="F56" s="833">
        <f t="shared" ref="F56:F64" si="15">ROUND(B56*E56/10000,0)</f>
        <v>15671</v>
      </c>
      <c r="G56" s="3356"/>
      <c r="H56" s="335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3122</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1561</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1301</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1301</v>
      </c>
      <c r="C60" s="163">
        <f t="shared" si="16"/>
        <v>0.25</v>
      </c>
      <c r="D60" s="891">
        <v>0.25</v>
      </c>
      <c r="E60" s="209">
        <f>'数据-汇总表'!E11</f>
        <v>1505.9850000000006</v>
      </c>
      <c r="F60" s="833">
        <f t="shared" si="15"/>
        <v>196</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1301</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780</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780</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15867</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7"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1" t="s">
        <v>3545</v>
      </c>
      <c r="D105" s="3161" t="s">
        <v>3546</v>
      </c>
      <c r="E105" s="3161" t="s">
        <v>3547</v>
      </c>
      <c r="F105" s="3161"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7626.0619999999999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8440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60359879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3252928</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1810796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1555586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1510278</v>
      </c>
      <c r="D42" s="230"/>
      <c r="E42" s="230"/>
      <c r="F42" s="231"/>
      <c r="G42" s="3392" t="s">
        <v>1591</v>
      </c>
    </row>
    <row r="43" spans="1:7" ht="13.5" customHeight="1">
      <c r="A43" s="734" t="s">
        <v>347</v>
      </c>
      <c r="B43" s="207" t="s">
        <v>1545</v>
      </c>
      <c r="C43" s="230">
        <f ca="1">ROUND(IF('数据-取费表'!B22&lt;=1,C39*F22*'数据-取费表'!B20/2,C39*(POWER((1+F22),'数据-取费表'!B20/2)-1)),0)</f>
        <v>45308</v>
      </c>
      <c r="D43" s="230"/>
      <c r="E43" s="230"/>
      <c r="F43" s="231"/>
      <c r="G43" s="3393"/>
    </row>
    <row r="44" spans="1:7" ht="13.5" customHeight="1">
      <c r="A44" s="734" t="s">
        <v>348</v>
      </c>
      <c r="B44" s="207" t="s">
        <v>1546</v>
      </c>
      <c r="C44" s="230">
        <f ca="1">ROUND(IF('数据-取费表'!B22&lt;=1,C40*F22*'数据-取费表'!B20/2,C40*(POWER((1+F22),'数据-取费表'!B20/2)-1)),4)</f>
        <v>8.0000000000000004E-4</v>
      </c>
      <c r="D44" s="230"/>
      <c r="E44" s="230"/>
      <c r="F44" s="231"/>
      <c r="G44" s="3394"/>
    </row>
    <row r="45" spans="1:7" s="206" customFormat="1" ht="13.5" customHeight="1">
      <c r="A45" s="247" t="s">
        <v>1547</v>
      </c>
      <c r="B45" s="236" t="s">
        <v>1513</v>
      </c>
      <c r="C45" s="237">
        <f ca="1">C46</f>
        <v>12434135</v>
      </c>
      <c r="D45" s="227">
        <f ca="1">C47</f>
        <v>6.0000000000000001E-3</v>
      </c>
      <c r="E45" s="228" t="s">
        <v>1539</v>
      </c>
      <c r="F45" s="238">
        <f ca="1">F27</f>
        <v>0.2</v>
      </c>
      <c r="G45" s="239" t="s">
        <v>1548</v>
      </c>
    </row>
    <row r="46" spans="1:7" s="206" customFormat="1" ht="13.5" customHeight="1">
      <c r="A46" s="734" t="s">
        <v>346</v>
      </c>
      <c r="B46" s="240" t="s">
        <v>1549</v>
      </c>
      <c r="C46" s="241">
        <f ca="1">ROUND((C33+C39)*F27,0)</f>
        <v>12434135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83701941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71146650</v>
      </c>
      <c r="D51" s="224"/>
      <c r="E51" s="224"/>
      <c r="F51" s="256"/>
      <c r="G51" s="226" t="s">
        <v>1560</v>
      </c>
    </row>
    <row r="52" spans="1:7" s="200" customFormat="1" ht="16.5" thickBot="1">
      <c r="A52" s="257" t="s">
        <v>1561</v>
      </c>
      <c r="B52" s="258"/>
      <c r="C52" s="259">
        <f ca="1">C31+C51</f>
        <v>76260620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5" t="s">
        <v>694</v>
      </c>
      <c r="C6" s="1011">
        <f ca="1">ROUND(F6*F8*F7*(1-F9),0)</f>
        <v>0</v>
      </c>
      <c r="D6" s="147" t="s">
        <v>2106</v>
      </c>
      <c r="E6" s="294" t="s">
        <v>696</v>
      </c>
      <c r="F6" s="295">
        <f ca="1">INDIRECT("'数据-取费表'!u"&amp;$G$1)</f>
        <v>0</v>
      </c>
      <c r="G6" s="1292"/>
      <c r="H6" s="1006" t="s">
        <v>398</v>
      </c>
      <c r="I6" s="3395" t="s">
        <v>694</v>
      </c>
      <c r="J6" s="293">
        <f ca="1">ROUND(M6*M8*M7*(1-M9),0)</f>
        <v>0</v>
      </c>
      <c r="K6" s="1284" t="s">
        <v>2107</v>
      </c>
      <c r="L6" s="294" t="s">
        <v>696</v>
      </c>
      <c r="M6" s="295">
        <f ca="1">INDIRECT("'数据-取费表'!z"&amp;$G$1)</f>
        <v>0</v>
      </c>
    </row>
    <row r="7" spans="1:37" ht="18" customHeight="1">
      <c r="A7" s="1010"/>
      <c r="B7" s="3396"/>
      <c r="C7" s="1012"/>
      <c r="D7" s="299"/>
      <c r="E7" s="1013" t="s">
        <v>697</v>
      </c>
      <c r="F7" s="295">
        <f ca="1">IF(INDIRECT("'数据-取费表'!ah"&amp;$G$1)="",INDIRECT("'数据-取费表'!k"&amp;$G$1),INDIRECT("'数据-取费表'!ah"&amp;$G$1))</f>
        <v>0</v>
      </c>
      <c r="G7" s="1292"/>
      <c r="H7" s="296"/>
      <c r="I7" s="3396"/>
      <c r="J7" s="298"/>
      <c r="K7" s="299"/>
      <c r="L7" s="294" t="s">
        <v>697</v>
      </c>
      <c r="M7" s="295">
        <f ca="1">F7</f>
        <v>0</v>
      </c>
    </row>
    <row r="8" spans="1:37" ht="18" customHeight="1">
      <c r="A8" s="296"/>
      <c r="B8" s="3396"/>
      <c r="C8" s="298"/>
      <c r="D8" s="299"/>
      <c r="E8" s="294" t="s">
        <v>698</v>
      </c>
      <c r="F8" s="295">
        <f ca="1">INDIRECT("'数据-取费表'!ai"&amp;$G$1)</f>
        <v>0</v>
      </c>
      <c r="G8" s="1292"/>
      <c r="H8" s="296"/>
      <c r="I8" s="3396"/>
      <c r="J8" s="298"/>
      <c r="K8" s="299"/>
      <c r="L8" s="294" t="s">
        <v>698</v>
      </c>
      <c r="M8" s="295">
        <f ca="1">INDIRECT("'数据-取费表'!ai"&amp;$G$1)</f>
        <v>0</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8" t="s">
        <v>837</v>
      </c>
      <c r="L53" s="339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406" t="s">
        <v>2315</v>
      </c>
      <c r="K2" s="3407"/>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08" t="s">
        <v>2325</v>
      </c>
      <c r="K3" s="3409"/>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08" t="s">
        <v>2327</v>
      </c>
      <c r="K4" s="3409"/>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14" t="s">
        <v>2331</v>
      </c>
      <c r="B6" s="3415"/>
      <c r="C6" s="3416"/>
      <c r="D6" s="2619"/>
      <c r="E6" s="2620"/>
      <c r="F6" s="2621"/>
      <c r="G6" s="2622"/>
      <c r="H6" s="2597"/>
      <c r="I6" s="2598"/>
      <c r="J6" s="3400">
        <v>1</v>
      </c>
      <c r="K6" s="3401"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00"/>
      <c r="K7" s="3402"/>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17" t="s">
        <v>2345</v>
      </c>
      <c r="C8" s="3418"/>
      <c r="D8" s="2638" t="s">
        <v>2346</v>
      </c>
      <c r="E8" s="2639" t="s">
        <v>2347</v>
      </c>
      <c r="F8" s="2640" t="s">
        <v>2348</v>
      </c>
      <c r="G8" s="2641"/>
      <c r="H8" s="2597"/>
      <c r="I8" s="2598"/>
      <c r="J8" s="3400"/>
      <c r="K8" s="3402"/>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17" t="s">
        <v>2351</v>
      </c>
      <c r="C9" s="3418"/>
      <c r="D9" s="2638">
        <f>ROUND(D6*E9,0)</f>
        <v>0</v>
      </c>
      <c r="E9" s="2642"/>
      <c r="F9" s="2643" t="s">
        <v>2352</v>
      </c>
      <c r="G9" s="2622"/>
      <c r="H9" s="2597"/>
      <c r="I9" s="2598"/>
      <c r="J9" s="3400"/>
      <c r="K9" s="3402"/>
      <c r="L9" s="2632" t="s">
        <v>2353</v>
      </c>
      <c r="M9" s="2633"/>
      <c r="N9" s="2609"/>
      <c r="O9" s="2634"/>
      <c r="P9" s="2634"/>
      <c r="Q9" s="2635">
        <v>365</v>
      </c>
      <c r="R9" s="2636">
        <f t="shared" si="0"/>
        <v>0</v>
      </c>
      <c r="S9" s="2590"/>
      <c r="T9" s="2590"/>
      <c r="U9" s="2590"/>
      <c r="V9" s="2598"/>
    </row>
    <row r="10" spans="1:22" s="2602" customFormat="1" ht="13.15" customHeight="1">
      <c r="A10" s="2637">
        <v>2</v>
      </c>
      <c r="B10" s="3417" t="s">
        <v>2354</v>
      </c>
      <c r="C10" s="3418"/>
      <c r="D10" s="2638">
        <f>ROUND(D6*E10,0)</f>
        <v>0</v>
      </c>
      <c r="E10" s="2642"/>
      <c r="F10" s="2643" t="s">
        <v>2355</v>
      </c>
      <c r="G10" s="2622"/>
      <c r="H10" s="2597"/>
      <c r="I10" s="2598"/>
      <c r="J10" s="3400"/>
      <c r="K10" s="3402"/>
      <c r="L10" s="2632" t="s">
        <v>2356</v>
      </c>
      <c r="M10" s="2633"/>
      <c r="N10" s="2609"/>
      <c r="O10" s="2634"/>
      <c r="P10" s="2634"/>
      <c r="Q10" s="2635">
        <v>365</v>
      </c>
      <c r="R10" s="2636">
        <f t="shared" si="0"/>
        <v>0</v>
      </c>
      <c r="S10" s="2590"/>
      <c r="T10" s="2590"/>
      <c r="U10" s="2590"/>
      <c r="V10" s="2598"/>
    </row>
    <row r="11" spans="1:22" s="2602" customFormat="1" ht="13.15" customHeight="1">
      <c r="A11" s="2637">
        <v>3</v>
      </c>
      <c r="B11" s="3417" t="s">
        <v>2357</v>
      </c>
      <c r="C11" s="3418"/>
      <c r="D11" s="2638">
        <f>D12+D14+D15+D16</f>
        <v>0</v>
      </c>
      <c r="E11" s="2644" t="e">
        <f>D11/D6</f>
        <v>#DIV/0!</v>
      </c>
      <c r="F11" s="2640"/>
      <c r="G11" s="2641"/>
      <c r="H11" s="2597"/>
      <c r="I11" s="2598"/>
      <c r="J11" s="3400"/>
      <c r="K11" s="3402"/>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10" t="s">
        <v>2360</v>
      </c>
      <c r="C12" s="3411"/>
      <c r="D12" s="2646">
        <f>ROUND(D13*1.2%*(1-30%),0)</f>
        <v>0</v>
      </c>
      <c r="E12" s="2647">
        <v>1.2E-2</v>
      </c>
      <c r="F12" s="2640" t="s">
        <v>2361</v>
      </c>
      <c r="G12" s="2641"/>
      <c r="H12" s="2597"/>
      <c r="I12" s="2598"/>
      <c r="J12" s="3400"/>
      <c r="K12" s="3402"/>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00"/>
      <c r="K13" s="3402"/>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10" t="s">
        <v>2366</v>
      </c>
      <c r="C14" s="3411"/>
      <c r="D14" s="2646">
        <f>ROUND(E14*B5/10000,0)</f>
        <v>0</v>
      </c>
      <c r="E14" s="2635"/>
      <c r="F14" s="2640" t="s">
        <v>2367</v>
      </c>
      <c r="G14" s="2641"/>
      <c r="H14" s="2597"/>
      <c r="I14" s="2598"/>
      <c r="J14" s="3400"/>
      <c r="K14" s="3403"/>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10" t="s">
        <v>2370</v>
      </c>
      <c r="C15" s="3411"/>
      <c r="D15" s="2646">
        <f>ROUND(D6*E15,0)</f>
        <v>0</v>
      </c>
      <c r="E15" s="2647">
        <v>5.5E-2</v>
      </c>
      <c r="F15" s="2640" t="s">
        <v>2371</v>
      </c>
      <c r="G15" s="2622"/>
      <c r="H15" s="2597"/>
      <c r="I15" s="2598"/>
      <c r="J15" s="3400">
        <v>2</v>
      </c>
      <c r="K15" s="3401"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10" t="s">
        <v>2379</v>
      </c>
      <c r="C16" s="3411"/>
      <c r="D16" s="2657">
        <f>D6*E16</f>
        <v>0</v>
      </c>
      <c r="E16" s="2658"/>
      <c r="F16" s="2643" t="s">
        <v>2380</v>
      </c>
      <c r="G16" s="2622"/>
      <c r="H16" s="2597"/>
      <c r="I16" s="2598"/>
      <c r="J16" s="3400"/>
      <c r="K16" s="3402"/>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12" t="s">
        <v>2382</v>
      </c>
      <c r="C17" s="3413"/>
      <c r="D17" s="2660">
        <f>ROUND(D6*E17,0)</f>
        <v>0</v>
      </c>
      <c r="E17" s="2661"/>
      <c r="F17" s="2662" t="s">
        <v>2383</v>
      </c>
      <c r="G17" s="2622"/>
      <c r="H17" s="2597"/>
      <c r="I17" s="2598"/>
      <c r="J17" s="3400"/>
      <c r="K17" s="3402"/>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00"/>
      <c r="K18" s="3402"/>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00"/>
      <c r="K19" s="3403"/>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0">
        <v>3</v>
      </c>
      <c r="K20" s="3401"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00"/>
      <c r="K21" s="3402"/>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00"/>
      <c r="K22" s="3402"/>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00"/>
      <c r="K23" s="3402"/>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00"/>
      <c r="K24" s="3403"/>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04">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0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06" t="s">
        <v>2315</v>
      </c>
      <c r="K32" s="3407"/>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08" t="s">
        <v>2325</v>
      </c>
      <c r="K33" s="3409"/>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08" t="s">
        <v>2327</v>
      </c>
      <c r="K34" s="340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00">
        <v>1</v>
      </c>
      <c r="K36" s="3401"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00"/>
      <c r="K37" s="3402"/>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0"/>
      <c r="K38" s="3402"/>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00"/>
      <c r="K39" s="3402"/>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00"/>
      <c r="K40" s="3403"/>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4">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0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54" t="s">
        <v>1667</v>
      </c>
      <c r="D4" s="3366"/>
      <c r="E4" s="3367" t="s">
        <v>1668</v>
      </c>
      <c r="F4" s="3368"/>
      <c r="G4" s="3354" t="s">
        <v>1669</v>
      </c>
      <c r="H4" s="3366"/>
      <c r="I4" s="3354" t="s">
        <v>1670</v>
      </c>
      <c r="J4" s="3366"/>
      <c r="K4" s="1744" t="s">
        <v>1671</v>
      </c>
      <c r="L4" s="2484"/>
      <c r="M4" s="2485"/>
      <c r="N4" s="2485"/>
      <c r="O4" s="2485"/>
      <c r="P4" s="3369" t="s">
        <v>1672</v>
      </c>
      <c r="Q4" s="3370"/>
      <c r="R4" s="3375" t="s">
        <v>1668</v>
      </c>
      <c r="S4" s="3376"/>
      <c r="T4" s="3375" t="s">
        <v>1669</v>
      </c>
      <c r="U4" s="3376"/>
      <c r="V4" s="3362" t="s">
        <v>1670</v>
      </c>
      <c r="W4" s="3362"/>
      <c r="X4" s="1265"/>
      <c r="Y4" s="3375" t="s">
        <v>1672</v>
      </c>
      <c r="Z4" s="3376"/>
      <c r="AA4" s="3363" t="s">
        <v>1668</v>
      </c>
      <c r="AB4" s="3363" t="s">
        <v>1669</v>
      </c>
      <c r="AC4" s="3363" t="s">
        <v>1670</v>
      </c>
    </row>
    <row r="5" spans="1:29" ht="15">
      <c r="A5" s="348"/>
      <c r="B5" s="349"/>
      <c r="C5" s="3383" t="s">
        <v>1673</v>
      </c>
      <c r="D5" s="3384"/>
      <c r="E5" s="3390" t="s">
        <v>1674</v>
      </c>
      <c r="F5" s="3391"/>
      <c r="G5" s="3383" t="s">
        <v>1675</v>
      </c>
      <c r="H5" s="3384"/>
      <c r="I5" s="3383" t="s">
        <v>1676</v>
      </c>
      <c r="J5" s="3384"/>
      <c r="K5" s="1745"/>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1745"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5" t="s">
        <v>1680</v>
      </c>
      <c r="Q7" s="3387"/>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6"/>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6"/>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6"/>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6"/>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4" t="s">
        <v>1691</v>
      </c>
      <c r="Q15" s="1263" t="str">
        <f t="shared" si="6"/>
        <v>居住社区成熟度</v>
      </c>
      <c r="R15" s="667" t="s">
        <v>18</v>
      </c>
      <c r="S15" s="668">
        <f t="shared" si="0"/>
        <v>100</v>
      </c>
      <c r="T15" s="667" t="s">
        <v>18</v>
      </c>
      <c r="U15" s="668">
        <f t="shared" si="1"/>
        <v>100</v>
      </c>
      <c r="V15" s="667" t="s">
        <v>18</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5"/>
      <c r="Q16" s="1263"/>
      <c r="R16" s="667"/>
      <c r="S16" s="668"/>
      <c r="T16" s="667"/>
      <c r="U16" s="668"/>
      <c r="V16" s="667"/>
      <c r="W16" s="668"/>
      <c r="X16" s="1265"/>
      <c r="Y16" s="3359"/>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5"/>
      <c r="Q17" s="1263" t="str">
        <f>B17</f>
        <v>交通便捷度</v>
      </c>
      <c r="R17" s="667" t="s">
        <v>18</v>
      </c>
      <c r="S17" s="668">
        <f>F17</f>
        <v>100</v>
      </c>
      <c r="T17" s="667" t="s">
        <v>18</v>
      </c>
      <c r="U17" s="668">
        <f>H17</f>
        <v>100</v>
      </c>
      <c r="V17" s="667" t="s">
        <v>18</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5"/>
      <c r="Q18" s="1263"/>
      <c r="R18" s="667"/>
      <c r="S18" s="668"/>
      <c r="T18" s="667"/>
      <c r="U18" s="668"/>
      <c r="V18" s="667"/>
      <c r="W18" s="668"/>
      <c r="X18" s="1265"/>
      <c r="Y18" s="3359"/>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5"/>
      <c r="Q19" s="1263" t="str">
        <f>B19</f>
        <v>公共配套设施</v>
      </c>
      <c r="R19" s="667" t="s">
        <v>18</v>
      </c>
      <c r="S19" s="668">
        <f>F19</f>
        <v>100</v>
      </c>
      <c r="T19" s="667" t="s">
        <v>18</v>
      </c>
      <c r="U19" s="668">
        <f>H19</f>
        <v>100</v>
      </c>
      <c r="V19" s="667" t="s">
        <v>18</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5"/>
      <c r="Q20" s="1263"/>
      <c r="R20" s="667"/>
      <c r="S20" s="668"/>
      <c r="T20" s="667"/>
      <c r="U20" s="668"/>
      <c r="V20" s="667"/>
      <c r="W20" s="668"/>
      <c r="X20" s="1265"/>
      <c r="Y20" s="3359"/>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5"/>
      <c r="Q22" s="1263"/>
      <c r="R22" s="667"/>
      <c r="S22" s="668"/>
      <c r="T22" s="667"/>
      <c r="U22" s="668"/>
      <c r="V22" s="667"/>
      <c r="W22" s="668"/>
      <c r="X22" s="1265"/>
      <c r="Y22" s="3359"/>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5"/>
      <c r="Q23" s="1263" t="str">
        <f>B23</f>
        <v>自然及人文环境</v>
      </c>
      <c r="R23" s="667" t="s">
        <v>18</v>
      </c>
      <c r="S23" s="668">
        <f>F23</f>
        <v>100</v>
      </c>
      <c r="T23" s="667" t="s">
        <v>18</v>
      </c>
      <c r="U23" s="668">
        <f>H23</f>
        <v>100</v>
      </c>
      <c r="V23" s="667" t="s">
        <v>18</v>
      </c>
      <c r="W23" s="668">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5"/>
      <c r="Q24" s="1263"/>
      <c r="R24" s="667"/>
      <c r="S24" s="668"/>
      <c r="T24" s="667"/>
      <c r="U24" s="668"/>
      <c r="V24" s="667"/>
      <c r="W24" s="668"/>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5"/>
      <c r="Q26" s="1263" t="str">
        <f t="shared" si="11"/>
        <v>朝向</v>
      </c>
      <c r="R26" s="667" t="s">
        <v>18</v>
      </c>
      <c r="S26" s="668">
        <f t="shared" si="12"/>
        <v>100</v>
      </c>
      <c r="T26" s="667" t="s">
        <v>18</v>
      </c>
      <c r="U26" s="668">
        <f t="shared" si="13"/>
        <v>100</v>
      </c>
      <c r="V26" s="667" t="s">
        <v>18</v>
      </c>
      <c r="W26" s="668">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5"/>
      <c r="Q27" s="530">
        <f t="shared" si="11"/>
        <v>111</v>
      </c>
      <c r="R27" s="664" t="s">
        <v>18</v>
      </c>
      <c r="S27" s="665">
        <f t="shared" si="12"/>
        <v>100</v>
      </c>
      <c r="T27" s="664" t="s">
        <v>18</v>
      </c>
      <c r="U27" s="665">
        <f t="shared" si="13"/>
        <v>100</v>
      </c>
      <c r="V27" s="664" t="s">
        <v>18</v>
      </c>
      <c r="W27" s="665">
        <f t="shared" si="14"/>
        <v>100</v>
      </c>
      <c r="X27" s="666"/>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5"/>
      <c r="Q28" s="1263">
        <f t="shared" si="11"/>
        <v>111</v>
      </c>
      <c r="R28" s="667" t="s">
        <v>18</v>
      </c>
      <c r="S28" s="668">
        <f t="shared" si="12"/>
        <v>100</v>
      </c>
      <c r="T28" s="667" t="s">
        <v>18</v>
      </c>
      <c r="U28" s="668">
        <f t="shared" si="13"/>
        <v>100</v>
      </c>
      <c r="V28" s="667" t="s">
        <v>18</v>
      </c>
      <c r="W28" s="668">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5"/>
      <c r="Q29" s="1263">
        <f t="shared" si="11"/>
        <v>111</v>
      </c>
      <c r="R29" s="667" t="s">
        <v>18</v>
      </c>
      <c r="S29" s="668">
        <f t="shared" si="12"/>
        <v>100</v>
      </c>
      <c r="T29" s="667" t="s">
        <v>18</v>
      </c>
      <c r="U29" s="668">
        <f t="shared" si="13"/>
        <v>100</v>
      </c>
      <c r="V29" s="667" t="s">
        <v>18</v>
      </c>
      <c r="W29" s="668">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5"/>
      <c r="Q30" s="1263">
        <f t="shared" si="11"/>
        <v>111</v>
      </c>
      <c r="R30" s="667" t="s">
        <v>18</v>
      </c>
      <c r="S30" s="668">
        <f t="shared" si="12"/>
        <v>100</v>
      </c>
      <c r="T30" s="667" t="s">
        <v>18</v>
      </c>
      <c r="U30" s="668">
        <f t="shared" si="13"/>
        <v>100</v>
      </c>
      <c r="V30" s="667" t="s">
        <v>18</v>
      </c>
      <c r="W30" s="668">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5"/>
      <c r="Q31" s="1263">
        <f t="shared" si="11"/>
        <v>111</v>
      </c>
      <c r="R31" s="667" t="s">
        <v>18</v>
      </c>
      <c r="S31" s="668">
        <f t="shared" si="12"/>
        <v>100</v>
      </c>
      <c r="T31" s="667" t="s">
        <v>18</v>
      </c>
      <c r="U31" s="668">
        <f t="shared" si="13"/>
        <v>100</v>
      </c>
      <c r="V31" s="667" t="s">
        <v>18</v>
      </c>
      <c r="W31" s="668">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0" t="s">
        <v>1696</v>
      </c>
      <c r="Q32" s="1263" t="str">
        <f t="shared" si="11"/>
        <v>建筑类型</v>
      </c>
      <c r="R32" s="667" t="s">
        <v>18</v>
      </c>
      <c r="S32" s="668">
        <f t="shared" si="12"/>
        <v>100</v>
      </c>
      <c r="T32" s="667" t="s">
        <v>18</v>
      </c>
      <c r="U32" s="668">
        <f t="shared" si="13"/>
        <v>100</v>
      </c>
      <c r="V32" s="667" t="s">
        <v>18</v>
      </c>
      <c r="W32" s="668">
        <f t="shared" si="14"/>
        <v>100</v>
      </c>
      <c r="X32" s="1265"/>
      <c r="Y32" s="336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1"/>
      <c r="Q33" s="531" t="str">
        <f t="shared" si="11"/>
        <v>项目建筑规模</v>
      </c>
      <c r="R33" s="669" t="s">
        <v>18</v>
      </c>
      <c r="S33" s="670" t="e">
        <f t="shared" si="12"/>
        <v>#N/A</v>
      </c>
      <c r="T33" s="669" t="s">
        <v>18</v>
      </c>
      <c r="U33" s="670" t="e">
        <f t="shared" si="13"/>
        <v>#N/A</v>
      </c>
      <c r="V33" s="669" t="s">
        <v>18</v>
      </c>
      <c r="W33" s="670" t="e">
        <f t="shared" si="14"/>
        <v>#N/A</v>
      </c>
      <c r="X33" s="671"/>
      <c r="Y33" s="336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1"/>
      <c r="Q34" s="1263" t="str">
        <f t="shared" si="11"/>
        <v>建筑结构</v>
      </c>
      <c r="R34" s="667" t="s">
        <v>18</v>
      </c>
      <c r="S34" s="668">
        <f t="shared" si="12"/>
        <v>100</v>
      </c>
      <c r="T34" s="667" t="s">
        <v>18</v>
      </c>
      <c r="U34" s="668">
        <f t="shared" si="13"/>
        <v>100</v>
      </c>
      <c r="V34" s="667" t="s">
        <v>18</v>
      </c>
      <c r="W34" s="668">
        <f t="shared" si="14"/>
        <v>100</v>
      </c>
      <c r="X34" s="1265"/>
      <c r="Y34" s="336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1"/>
      <c r="Q35" s="1263" t="str">
        <f t="shared" si="11"/>
        <v>建筑品质</v>
      </c>
      <c r="R35" s="667" t="s">
        <v>18</v>
      </c>
      <c r="S35" s="668">
        <f t="shared" si="12"/>
        <v>100</v>
      </c>
      <c r="T35" s="667" t="s">
        <v>18</v>
      </c>
      <c r="U35" s="668">
        <f t="shared" si="13"/>
        <v>100</v>
      </c>
      <c r="V35" s="667" t="s">
        <v>18</v>
      </c>
      <c r="W35" s="668">
        <f t="shared" si="14"/>
        <v>100</v>
      </c>
      <c r="X35" s="1265"/>
      <c r="Y35" s="336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1"/>
      <c r="Q36" s="1263" t="str">
        <f t="shared" si="11"/>
        <v>公共部分装修</v>
      </c>
      <c r="R36" s="667" t="s">
        <v>18</v>
      </c>
      <c r="S36" s="668">
        <f t="shared" si="12"/>
        <v>100</v>
      </c>
      <c r="T36" s="667" t="s">
        <v>18</v>
      </c>
      <c r="U36" s="668">
        <f t="shared" si="13"/>
        <v>100</v>
      </c>
      <c r="V36" s="667" t="s">
        <v>18</v>
      </c>
      <c r="W36" s="668">
        <f t="shared" si="14"/>
        <v>100</v>
      </c>
      <c r="X36" s="1265"/>
      <c r="Y36" s="336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1"/>
      <c r="Q37" s="530" t="str">
        <f t="shared" si="11"/>
        <v>成新度</v>
      </c>
      <c r="R37" s="664" t="s">
        <v>18</v>
      </c>
      <c r="S37" s="665" t="e">
        <f t="shared" si="12"/>
        <v>#N/A</v>
      </c>
      <c r="T37" s="664" t="s">
        <v>18</v>
      </c>
      <c r="U37" s="665" t="e">
        <f t="shared" si="13"/>
        <v>#N/A</v>
      </c>
      <c r="V37" s="664" t="s">
        <v>18</v>
      </c>
      <c r="W37" s="665" t="e">
        <f t="shared" si="14"/>
        <v>#N/A</v>
      </c>
      <c r="X37" s="666"/>
      <c r="Y37" s="336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1" t="s">
        <v>1696</v>
      </c>
      <c r="Q38" s="1263" t="str">
        <f t="shared" si="11"/>
        <v>物业管理</v>
      </c>
      <c r="R38" s="667" t="s">
        <v>18</v>
      </c>
      <c r="S38" s="668">
        <f t="shared" si="12"/>
        <v>100</v>
      </c>
      <c r="T38" s="667" t="s">
        <v>18</v>
      </c>
      <c r="U38" s="668">
        <f t="shared" si="13"/>
        <v>100</v>
      </c>
      <c r="V38" s="667" t="s">
        <v>18</v>
      </c>
      <c r="W38" s="668">
        <f t="shared" si="14"/>
        <v>100</v>
      </c>
      <c r="X38" s="1265"/>
      <c r="Y38" s="336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1"/>
      <c r="Q39" s="1263" t="str">
        <f t="shared" si="11"/>
        <v>市政基础设施</v>
      </c>
      <c r="R39" s="667" t="s">
        <v>18</v>
      </c>
      <c r="S39" s="668">
        <f t="shared" si="12"/>
        <v>100</v>
      </c>
      <c r="T39" s="667" t="s">
        <v>18</v>
      </c>
      <c r="U39" s="668">
        <f t="shared" si="13"/>
        <v>100</v>
      </c>
      <c r="V39" s="667" t="s">
        <v>18</v>
      </c>
      <c r="W39" s="668">
        <f t="shared" si="14"/>
        <v>100</v>
      </c>
      <c r="X39" s="1265"/>
      <c r="Y39" s="336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1"/>
      <c r="Q40" s="1263" t="str">
        <f t="shared" si="11"/>
        <v>房型</v>
      </c>
      <c r="R40" s="667" t="s">
        <v>18</v>
      </c>
      <c r="S40" s="668">
        <f t="shared" si="12"/>
        <v>100</v>
      </c>
      <c r="T40" s="667" t="s">
        <v>18</v>
      </c>
      <c r="U40" s="668">
        <f t="shared" si="13"/>
        <v>100</v>
      </c>
      <c r="V40" s="667" t="s">
        <v>18</v>
      </c>
      <c r="W40" s="668">
        <f t="shared" si="14"/>
        <v>100</v>
      </c>
      <c r="X40" s="1265"/>
      <c r="Y40" s="336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1"/>
      <c r="Q41" s="531" t="str">
        <f t="shared" si="11"/>
        <v>单套/主力户型建筑面积</v>
      </c>
      <c r="R41" s="669" t="s">
        <v>18</v>
      </c>
      <c r="S41" s="670">
        <f t="shared" si="12"/>
        <v>100</v>
      </c>
      <c r="T41" s="669" t="s">
        <v>18</v>
      </c>
      <c r="U41" s="670">
        <f t="shared" si="13"/>
        <v>100</v>
      </c>
      <c r="V41" s="669" t="s">
        <v>18</v>
      </c>
      <c r="W41" s="670">
        <f t="shared" si="14"/>
        <v>100</v>
      </c>
      <c r="X41" s="671"/>
      <c r="Y41" s="336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1"/>
      <c r="Q42" s="1263" t="str">
        <f t="shared" si="11"/>
        <v>内部装修</v>
      </c>
      <c r="R42" s="667" t="s">
        <v>18</v>
      </c>
      <c r="S42" s="668">
        <f t="shared" si="12"/>
        <v>100</v>
      </c>
      <c r="T42" s="667" t="s">
        <v>18</v>
      </c>
      <c r="U42" s="668">
        <f t="shared" si="13"/>
        <v>100</v>
      </c>
      <c r="V42" s="667" t="s">
        <v>18</v>
      </c>
      <c r="W42" s="668">
        <f t="shared" si="14"/>
        <v>100</v>
      </c>
      <c r="X42" s="1265"/>
      <c r="Y42" s="336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1"/>
      <c r="Q43" s="1263" t="str">
        <f t="shared" si="11"/>
        <v>内部装修维护情况</v>
      </c>
      <c r="R43" s="667" t="s">
        <v>18</v>
      </c>
      <c r="S43" s="668">
        <f t="shared" si="12"/>
        <v>100</v>
      </c>
      <c r="T43" s="667" t="s">
        <v>18</v>
      </c>
      <c r="U43" s="668">
        <f t="shared" si="13"/>
        <v>100</v>
      </c>
      <c r="V43" s="667" t="s">
        <v>18</v>
      </c>
      <c r="W43" s="668">
        <f t="shared" si="14"/>
        <v>100</v>
      </c>
      <c r="X43" s="1265"/>
      <c r="Y43" s="336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1"/>
      <c r="Q44" s="530">
        <f t="shared" si="11"/>
        <v>111</v>
      </c>
      <c r="R44" s="664" t="s">
        <v>18</v>
      </c>
      <c r="S44" s="665">
        <f t="shared" si="12"/>
        <v>100</v>
      </c>
      <c r="T44" s="664" t="s">
        <v>18</v>
      </c>
      <c r="U44" s="665">
        <f t="shared" si="13"/>
        <v>100</v>
      </c>
      <c r="V44" s="664" t="s">
        <v>18</v>
      </c>
      <c r="W44" s="665">
        <f t="shared" si="14"/>
        <v>100</v>
      </c>
      <c r="X44" s="666"/>
      <c r="Y44" s="336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1"/>
      <c r="Q45" s="1263">
        <f t="shared" si="11"/>
        <v>111</v>
      </c>
      <c r="R45" s="667" t="s">
        <v>18</v>
      </c>
      <c r="S45" s="668">
        <f t="shared" si="12"/>
        <v>100</v>
      </c>
      <c r="T45" s="667" t="s">
        <v>18</v>
      </c>
      <c r="U45" s="668">
        <f t="shared" si="13"/>
        <v>100</v>
      </c>
      <c r="V45" s="667" t="s">
        <v>18</v>
      </c>
      <c r="W45" s="668">
        <f t="shared" si="14"/>
        <v>100</v>
      </c>
      <c r="X45" s="1265"/>
      <c r="Y45" s="336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2"/>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57" t="str">
        <f>A47</f>
        <v>成交单价（元/平方米）</v>
      </c>
      <c r="Q47" s="3357"/>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57" t="str">
        <f>A48</f>
        <v>比较价值（元/平方米）</v>
      </c>
      <c r="Q48" s="335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51" t="str">
        <f>A49</f>
        <v>估价对象XX用房的比较价值（楼面单价，元/平方米）</v>
      </c>
      <c r="Q49" s="3352"/>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2"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2"/>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2"/>
      <c r="AC6" s="3365"/>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6"/>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4" t="s">
        <v>1691</v>
      </c>
      <c r="Q15" s="1263" t="str">
        <f t="shared" si="6"/>
        <v>商业繁华度</v>
      </c>
      <c r="R15" s="667" t="s">
        <v>14</v>
      </c>
      <c r="S15" s="668">
        <f t="shared" si="0"/>
        <v>100</v>
      </c>
      <c r="T15" s="667" t="s">
        <v>14</v>
      </c>
      <c r="U15" s="668">
        <f t="shared" si="1"/>
        <v>100</v>
      </c>
      <c r="V15" s="667" t="s">
        <v>14</v>
      </c>
      <c r="W15" s="668">
        <f t="shared" si="2"/>
        <v>100</v>
      </c>
      <c r="X15" s="1265"/>
      <c r="Y15" s="335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5"/>
      <c r="Q16" s="1263"/>
      <c r="R16" s="667"/>
      <c r="S16" s="668"/>
      <c r="T16" s="667"/>
      <c r="U16" s="668"/>
      <c r="V16" s="667"/>
      <c r="W16" s="668"/>
      <c r="X16" s="1265"/>
      <c r="Y16" s="3359"/>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5"/>
      <c r="Q18" s="1263"/>
      <c r="R18" s="667"/>
      <c r="S18" s="668"/>
      <c r="T18" s="667"/>
      <c r="U18" s="668"/>
      <c r="V18" s="667"/>
      <c r="W18" s="668"/>
      <c r="X18" s="1265"/>
      <c r="Y18" s="3359"/>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5"/>
      <c r="Q20" s="1263"/>
      <c r="R20" s="667"/>
      <c r="S20" s="668"/>
      <c r="T20" s="667"/>
      <c r="U20" s="668"/>
      <c r="V20" s="667"/>
      <c r="W20" s="668"/>
      <c r="X20" s="1265"/>
      <c r="Y20" s="3359"/>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5"/>
      <c r="Q22" s="1263"/>
      <c r="R22" s="667"/>
      <c r="S22" s="668"/>
      <c r="T22" s="667"/>
      <c r="U22" s="668"/>
      <c r="V22" s="667"/>
      <c r="W22" s="668"/>
      <c r="X22" s="1265"/>
      <c r="Y22" s="3359"/>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5"/>
      <c r="Q23" s="1263" t="str">
        <f>B23</f>
        <v>自然及人文环境</v>
      </c>
      <c r="R23" s="667" t="s">
        <v>14</v>
      </c>
      <c r="S23" s="668">
        <f>F23</f>
        <v>100</v>
      </c>
      <c r="T23" s="667" t="s">
        <v>14</v>
      </c>
      <c r="U23" s="668">
        <f>H23</f>
        <v>100</v>
      </c>
      <c r="V23" s="667" t="s">
        <v>14</v>
      </c>
      <c r="W23" s="668">
        <f>J23</f>
        <v>100</v>
      </c>
      <c r="X23" s="1265"/>
      <c r="Y23" s="335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5"/>
      <c r="Q24" s="1263"/>
      <c r="R24" s="667"/>
      <c r="S24" s="668"/>
      <c r="T24" s="667"/>
      <c r="U24" s="668"/>
      <c r="V24" s="667"/>
      <c r="W24" s="668"/>
      <c r="X24" s="1265"/>
      <c r="Y24" s="335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5"/>
      <c r="Q25" s="1263" t="str">
        <f t="shared" ref="Q25:Q46" si="11">B25</f>
        <v>临街状况</v>
      </c>
      <c r="R25" s="667" t="s">
        <v>14</v>
      </c>
      <c r="S25" s="668">
        <f>F25</f>
        <v>100</v>
      </c>
      <c r="T25" s="667" t="s">
        <v>14</v>
      </c>
      <c r="U25" s="668">
        <f>H25</f>
        <v>100</v>
      </c>
      <c r="V25" s="667" t="s">
        <v>14</v>
      </c>
      <c r="W25" s="668">
        <f>J25</f>
        <v>100</v>
      </c>
      <c r="X25" s="1265"/>
      <c r="Y25" s="335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5"/>
      <c r="Q26" s="1263" t="str">
        <f t="shared" si="11"/>
        <v>平面位置/可视性</v>
      </c>
      <c r="R26" s="667" t="s">
        <v>14</v>
      </c>
      <c r="S26" s="668">
        <f>F26</f>
        <v>100</v>
      </c>
      <c r="T26" s="667" t="s">
        <v>14</v>
      </c>
      <c r="U26" s="668">
        <f>H26</f>
        <v>100</v>
      </c>
      <c r="V26" s="667" t="s">
        <v>14</v>
      </c>
      <c r="W26" s="668">
        <f>J26</f>
        <v>100</v>
      </c>
      <c r="X26" s="1265"/>
      <c r="Y26" s="335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5"/>
      <c r="Q27" s="530" t="str">
        <f t="shared" si="11"/>
        <v>人流量</v>
      </c>
      <c r="R27" s="664" t="s">
        <v>14</v>
      </c>
      <c r="S27" s="665">
        <f>F27</f>
        <v>100</v>
      </c>
      <c r="T27" s="664" t="s">
        <v>14</v>
      </c>
      <c r="U27" s="665">
        <f>H27</f>
        <v>100</v>
      </c>
      <c r="V27" s="664" t="s">
        <v>14</v>
      </c>
      <c r="W27" s="665">
        <f>J27</f>
        <v>100</v>
      </c>
      <c r="X27" s="666"/>
      <c r="Y27" s="335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5"/>
      <c r="Q29" s="1263">
        <f t="shared" si="11"/>
        <v>111</v>
      </c>
      <c r="R29" s="667" t="s">
        <v>14</v>
      </c>
      <c r="S29" s="668">
        <f t="shared" si="12"/>
        <v>100</v>
      </c>
      <c r="T29" s="667" t="s">
        <v>14</v>
      </c>
      <c r="U29" s="668">
        <f t="shared" si="13"/>
        <v>100</v>
      </c>
      <c r="V29" s="667" t="s">
        <v>14</v>
      </c>
      <c r="W29" s="668">
        <f t="shared" si="14"/>
        <v>100</v>
      </c>
      <c r="X29" s="1265"/>
      <c r="Y29" s="335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0" t="s">
        <v>1696</v>
      </c>
      <c r="Q32" s="1263" t="str">
        <f t="shared" si="11"/>
        <v>商业类型</v>
      </c>
      <c r="R32" s="667" t="s">
        <v>14</v>
      </c>
      <c r="S32" s="668">
        <f t="shared" si="12"/>
        <v>100</v>
      </c>
      <c r="T32" s="667" t="s">
        <v>14</v>
      </c>
      <c r="U32" s="668">
        <f t="shared" si="13"/>
        <v>100</v>
      </c>
      <c r="V32" s="667" t="s">
        <v>14</v>
      </c>
      <c r="W32" s="668">
        <f t="shared" si="14"/>
        <v>100</v>
      </c>
      <c r="X32" s="1265"/>
      <c r="Y32" s="336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1"/>
      <c r="Q33" s="531" t="str">
        <f t="shared" si="11"/>
        <v>项目建筑规模</v>
      </c>
      <c r="R33" s="669" t="s">
        <v>14</v>
      </c>
      <c r="S33" s="670" t="e">
        <f t="shared" si="12"/>
        <v>#N/A</v>
      </c>
      <c r="T33" s="669" t="s">
        <v>14</v>
      </c>
      <c r="U33" s="670" t="e">
        <f t="shared" si="13"/>
        <v>#N/A</v>
      </c>
      <c r="V33" s="669" t="s">
        <v>14</v>
      </c>
      <c r="W33" s="670" t="e">
        <f t="shared" si="14"/>
        <v>#N/A</v>
      </c>
      <c r="X33" s="671"/>
      <c r="Y33" s="336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1"/>
      <c r="Q34" s="1263" t="str">
        <f t="shared" si="11"/>
        <v>建筑结构</v>
      </c>
      <c r="R34" s="667" t="s">
        <v>14</v>
      </c>
      <c r="S34" s="668">
        <f t="shared" si="12"/>
        <v>100</v>
      </c>
      <c r="T34" s="667" t="s">
        <v>14</v>
      </c>
      <c r="U34" s="668">
        <f t="shared" si="13"/>
        <v>100</v>
      </c>
      <c r="V34" s="667" t="s">
        <v>14</v>
      </c>
      <c r="W34" s="668">
        <f t="shared" si="14"/>
        <v>100</v>
      </c>
      <c r="X34" s="1265"/>
      <c r="Y34" s="336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1"/>
      <c r="Q35" s="1263" t="str">
        <f t="shared" si="11"/>
        <v>公共部分装修</v>
      </c>
      <c r="R35" s="667" t="s">
        <v>14</v>
      </c>
      <c r="S35" s="668">
        <f t="shared" si="12"/>
        <v>100</v>
      </c>
      <c r="T35" s="667" t="s">
        <v>14</v>
      </c>
      <c r="U35" s="668">
        <f t="shared" si="13"/>
        <v>100</v>
      </c>
      <c r="V35" s="667" t="s">
        <v>14</v>
      </c>
      <c r="W35" s="668">
        <f t="shared" si="14"/>
        <v>100</v>
      </c>
      <c r="X35" s="1265"/>
      <c r="Y35" s="336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1"/>
      <c r="Q36" s="1263" t="str">
        <f t="shared" si="11"/>
        <v>成新度</v>
      </c>
      <c r="R36" s="667" t="s">
        <v>14</v>
      </c>
      <c r="S36" s="668" t="e">
        <f t="shared" si="12"/>
        <v>#N/A</v>
      </c>
      <c r="T36" s="667" t="s">
        <v>14</v>
      </c>
      <c r="U36" s="668" t="e">
        <f t="shared" si="13"/>
        <v>#N/A</v>
      </c>
      <c r="V36" s="667" t="s">
        <v>14</v>
      </c>
      <c r="W36" s="668" t="e">
        <f t="shared" si="14"/>
        <v>#N/A</v>
      </c>
      <c r="X36" s="1265"/>
      <c r="Y36" s="336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1"/>
      <c r="Q37" s="530" t="str">
        <f t="shared" si="11"/>
        <v>市政基础设施</v>
      </c>
      <c r="R37" s="664" t="s">
        <v>14</v>
      </c>
      <c r="S37" s="665">
        <f t="shared" si="12"/>
        <v>100</v>
      </c>
      <c r="T37" s="664" t="s">
        <v>14</v>
      </c>
      <c r="U37" s="665">
        <f t="shared" si="13"/>
        <v>100</v>
      </c>
      <c r="V37" s="664" t="s">
        <v>14</v>
      </c>
      <c r="W37" s="665">
        <f t="shared" si="14"/>
        <v>100</v>
      </c>
      <c r="X37" s="666"/>
      <c r="Y37" s="336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1" t="s">
        <v>1696</v>
      </c>
      <c r="Q38" s="1263" t="str">
        <f t="shared" si="11"/>
        <v>业态</v>
      </c>
      <c r="R38" s="667" t="s">
        <v>14</v>
      </c>
      <c r="S38" s="668">
        <f t="shared" si="12"/>
        <v>100</v>
      </c>
      <c r="T38" s="667" t="s">
        <v>14</v>
      </c>
      <c r="U38" s="668">
        <f t="shared" si="13"/>
        <v>100</v>
      </c>
      <c r="V38" s="667" t="s">
        <v>14</v>
      </c>
      <c r="W38" s="668">
        <f t="shared" si="14"/>
        <v>100</v>
      </c>
      <c r="X38" s="1265"/>
      <c r="Y38" s="336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1"/>
      <c r="Q39" s="1263" t="str">
        <f t="shared" si="11"/>
        <v>层高</v>
      </c>
      <c r="R39" s="667" t="s">
        <v>14</v>
      </c>
      <c r="S39" s="668">
        <f t="shared" si="12"/>
        <v>100</v>
      </c>
      <c r="T39" s="667" t="s">
        <v>14</v>
      </c>
      <c r="U39" s="668">
        <f t="shared" si="13"/>
        <v>100</v>
      </c>
      <c r="V39" s="667" t="s">
        <v>14</v>
      </c>
      <c r="W39" s="668">
        <f t="shared" si="14"/>
        <v>100</v>
      </c>
      <c r="X39" s="1265"/>
      <c r="Y39" s="336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1"/>
      <c r="Q40" s="1263" t="str">
        <f t="shared" si="11"/>
        <v>单套建筑面积</v>
      </c>
      <c r="R40" s="667" t="s">
        <v>14</v>
      </c>
      <c r="S40" s="668">
        <f t="shared" si="12"/>
        <v>100</v>
      </c>
      <c r="T40" s="667" t="s">
        <v>14</v>
      </c>
      <c r="U40" s="668">
        <f t="shared" si="13"/>
        <v>100</v>
      </c>
      <c r="V40" s="667" t="s">
        <v>14</v>
      </c>
      <c r="W40" s="668">
        <f t="shared" si="14"/>
        <v>100</v>
      </c>
      <c r="X40" s="1265"/>
      <c r="Y40" s="336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1"/>
      <c r="Q41" s="531" t="str">
        <f t="shared" si="11"/>
        <v>进深比</v>
      </c>
      <c r="R41" s="669" t="s">
        <v>14</v>
      </c>
      <c r="S41" s="670">
        <f t="shared" si="12"/>
        <v>100</v>
      </c>
      <c r="T41" s="669" t="s">
        <v>14</v>
      </c>
      <c r="U41" s="670">
        <f t="shared" si="13"/>
        <v>100</v>
      </c>
      <c r="V41" s="669" t="s">
        <v>14</v>
      </c>
      <c r="W41" s="670">
        <f t="shared" si="14"/>
        <v>100</v>
      </c>
      <c r="X41" s="671"/>
      <c r="Y41" s="336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1"/>
      <c r="Q42" s="1263" t="str">
        <f t="shared" si="11"/>
        <v>内部装修</v>
      </c>
      <c r="R42" s="667" t="s">
        <v>14</v>
      </c>
      <c r="S42" s="668">
        <f t="shared" si="12"/>
        <v>100</v>
      </c>
      <c r="T42" s="667" t="s">
        <v>14</v>
      </c>
      <c r="U42" s="668">
        <f t="shared" si="13"/>
        <v>100</v>
      </c>
      <c r="V42" s="667" t="s">
        <v>14</v>
      </c>
      <c r="W42" s="668">
        <f t="shared" si="14"/>
        <v>100</v>
      </c>
      <c r="X42" s="1265"/>
      <c r="Y42" s="336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1"/>
      <c r="Q43" s="1263" t="str">
        <f t="shared" si="11"/>
        <v>内部装修维护情况</v>
      </c>
      <c r="R43" s="667" t="s">
        <v>14</v>
      </c>
      <c r="S43" s="668">
        <f t="shared" si="12"/>
        <v>100</v>
      </c>
      <c r="T43" s="667" t="s">
        <v>14</v>
      </c>
      <c r="U43" s="668">
        <f t="shared" si="13"/>
        <v>100</v>
      </c>
      <c r="V43" s="667" t="s">
        <v>14</v>
      </c>
      <c r="W43" s="668">
        <f t="shared" si="14"/>
        <v>100</v>
      </c>
      <c r="X43" s="1265"/>
      <c r="Y43" s="336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1"/>
      <c r="Q44" s="530">
        <f t="shared" si="11"/>
        <v>111</v>
      </c>
      <c r="R44" s="664" t="s">
        <v>14</v>
      </c>
      <c r="S44" s="665">
        <f t="shared" si="12"/>
        <v>100</v>
      </c>
      <c r="T44" s="664" t="s">
        <v>14</v>
      </c>
      <c r="U44" s="665">
        <f t="shared" si="13"/>
        <v>100</v>
      </c>
      <c r="V44" s="664" t="s">
        <v>14</v>
      </c>
      <c r="W44" s="665">
        <f t="shared" si="14"/>
        <v>100</v>
      </c>
      <c r="X44" s="666"/>
      <c r="Y44" s="336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1"/>
      <c r="Q45" s="1263">
        <f t="shared" si="11"/>
        <v>111</v>
      </c>
      <c r="R45" s="667" t="s">
        <v>14</v>
      </c>
      <c r="S45" s="668">
        <f t="shared" si="12"/>
        <v>100</v>
      </c>
      <c r="T45" s="667" t="s">
        <v>14</v>
      </c>
      <c r="U45" s="668">
        <f t="shared" si="13"/>
        <v>100</v>
      </c>
      <c r="V45" s="667" t="s">
        <v>14</v>
      </c>
      <c r="W45" s="668">
        <f t="shared" si="14"/>
        <v>100</v>
      </c>
      <c r="X45" s="1265"/>
      <c r="Y45" s="336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57" t="str">
        <f>A47</f>
        <v>成交单价（元/平方米）</v>
      </c>
      <c r="Q47" s="3357"/>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57" t="str">
        <f>A48</f>
        <v>比较价值（元/平方米）</v>
      </c>
      <c r="Q48" s="335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51" t="str">
        <f>A49</f>
        <v>估价对象XX用房的比较价值（楼面单价，元/平方米）</v>
      </c>
      <c r="Q49" s="3352"/>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860"/>
      <c r="M4" s="861"/>
      <c r="N4" s="861"/>
      <c r="O4" s="861"/>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860"/>
      <c r="M5" s="861"/>
      <c r="N5" s="861"/>
      <c r="O5" s="861"/>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860"/>
      <c r="M6" s="861"/>
      <c r="N6" s="861"/>
      <c r="O6" s="861"/>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7"/>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9"/>
      <c r="Q16" s="1263"/>
      <c r="R16" s="667"/>
      <c r="S16" s="668"/>
      <c r="T16" s="667"/>
      <c r="U16" s="668"/>
      <c r="V16" s="667"/>
      <c r="W16" s="668"/>
      <c r="X16" s="1265"/>
      <c r="Y16" s="335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9"/>
      <c r="Q18" s="1263"/>
      <c r="R18" s="667"/>
      <c r="S18" s="668"/>
      <c r="T18" s="667"/>
      <c r="U18" s="668"/>
      <c r="V18" s="667"/>
      <c r="W18" s="668"/>
      <c r="X18" s="1265"/>
      <c r="Y18" s="335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9"/>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9"/>
      <c r="Q20" s="1263"/>
      <c r="R20" s="667"/>
      <c r="S20" s="668"/>
      <c r="T20" s="667"/>
      <c r="U20" s="668"/>
      <c r="V20" s="667"/>
      <c r="W20" s="668"/>
      <c r="X20" s="1265"/>
      <c r="Y20" s="335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9"/>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9"/>
      <c r="Q22" s="1263"/>
      <c r="R22" s="667"/>
      <c r="S22" s="668"/>
      <c r="T22" s="667"/>
      <c r="U22" s="668"/>
      <c r="V22" s="667"/>
      <c r="W22" s="668"/>
      <c r="X22" s="1265"/>
      <c r="Y22" s="335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9"/>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9"/>
      <c r="Q24" s="1263"/>
      <c r="R24" s="667"/>
      <c r="S24" s="668"/>
      <c r="T24" s="667"/>
      <c r="U24" s="668"/>
      <c r="V24" s="667"/>
      <c r="W24" s="668"/>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9"/>
      <c r="Q25" s="1263">
        <f>B25</f>
        <v>111</v>
      </c>
      <c r="R25" s="667" t="s">
        <v>14</v>
      </c>
      <c r="S25" s="668">
        <f>F25</f>
        <v>100</v>
      </c>
      <c r="T25" s="667" t="s">
        <v>14</v>
      </c>
      <c r="U25" s="668">
        <f>H25</f>
        <v>100</v>
      </c>
      <c r="V25" s="667" t="s">
        <v>14</v>
      </c>
      <c r="W25" s="668">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9"/>
      <c r="Q26" s="1263">
        <f t="shared" ref="Q26:Q40" si="11">B26</f>
        <v>111</v>
      </c>
      <c r="R26" s="667" t="s">
        <v>14</v>
      </c>
      <c r="S26" s="668">
        <f>F26</f>
        <v>100</v>
      </c>
      <c r="T26" s="667" t="s">
        <v>14</v>
      </c>
      <c r="U26" s="668">
        <f>H26</f>
        <v>100</v>
      </c>
      <c r="V26" s="667" t="s">
        <v>14</v>
      </c>
      <c r="W26" s="668">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9"/>
      <c r="Q27" s="530">
        <f t="shared" si="11"/>
        <v>111</v>
      </c>
      <c r="R27" s="664" t="s">
        <v>14</v>
      </c>
      <c r="S27" s="665">
        <f>F27</f>
        <v>100</v>
      </c>
      <c r="T27" s="664" t="s">
        <v>14</v>
      </c>
      <c r="U27" s="665">
        <f>H27</f>
        <v>100</v>
      </c>
      <c r="V27" s="664" t="s">
        <v>14</v>
      </c>
      <c r="W27" s="665">
        <f>J27</f>
        <v>100</v>
      </c>
      <c r="X27" s="666"/>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9"/>
      <c r="Q28" s="1263">
        <f t="shared" si="11"/>
        <v>111</v>
      </c>
      <c r="R28" s="667" t="s">
        <v>14</v>
      </c>
      <c r="S28" s="668">
        <f t="shared" ref="S28:S40" si="12">F28</f>
        <v>100</v>
      </c>
      <c r="T28" s="667" t="s">
        <v>14</v>
      </c>
      <c r="U28" s="668">
        <f t="shared" ref="U28:U40" si="13">H28</f>
        <v>100</v>
      </c>
      <c r="V28" s="667" t="s">
        <v>14</v>
      </c>
      <c r="W28" s="668">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60" t="s">
        <v>1696</v>
      </c>
      <c r="Q29" s="1263" t="str">
        <f t="shared" si="11"/>
        <v>建筑类型</v>
      </c>
      <c r="R29" s="667" t="s">
        <v>14</v>
      </c>
      <c r="S29" s="668">
        <f t="shared" si="12"/>
        <v>100</v>
      </c>
      <c r="T29" s="667" t="s">
        <v>14</v>
      </c>
      <c r="U29" s="668">
        <f t="shared" si="13"/>
        <v>100</v>
      </c>
      <c r="V29" s="667" t="s">
        <v>14</v>
      </c>
      <c r="W29" s="668">
        <f t="shared" si="14"/>
        <v>100</v>
      </c>
      <c r="X29" s="1265"/>
      <c r="Y29" s="336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1"/>
      <c r="Q30" s="531" t="str">
        <f t="shared" si="11"/>
        <v>项目建筑规模</v>
      </c>
      <c r="R30" s="669" t="s">
        <v>14</v>
      </c>
      <c r="S30" s="670" t="e">
        <f t="shared" si="12"/>
        <v>#N/A</v>
      </c>
      <c r="T30" s="669" t="s">
        <v>14</v>
      </c>
      <c r="U30" s="670" t="e">
        <f t="shared" si="13"/>
        <v>#N/A</v>
      </c>
      <c r="V30" s="669" t="s">
        <v>14</v>
      </c>
      <c r="W30" s="670" t="e">
        <f t="shared" si="14"/>
        <v>#N/A</v>
      </c>
      <c r="X30" s="671"/>
      <c r="Y30" s="336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1"/>
      <c r="Q31" s="1263" t="str">
        <f t="shared" si="11"/>
        <v>建筑结构</v>
      </c>
      <c r="R31" s="667" t="s">
        <v>14</v>
      </c>
      <c r="S31" s="668">
        <f t="shared" si="12"/>
        <v>100</v>
      </c>
      <c r="T31" s="667" t="s">
        <v>14</v>
      </c>
      <c r="U31" s="668">
        <f t="shared" si="13"/>
        <v>100</v>
      </c>
      <c r="V31" s="667" t="s">
        <v>14</v>
      </c>
      <c r="W31" s="668">
        <f t="shared" si="14"/>
        <v>100</v>
      </c>
      <c r="X31" s="1265"/>
      <c r="Y31" s="336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1"/>
      <c r="Q32" s="1263" t="str">
        <f t="shared" si="11"/>
        <v>公共部分装修</v>
      </c>
      <c r="R32" s="667" t="s">
        <v>14</v>
      </c>
      <c r="S32" s="668">
        <f t="shared" si="12"/>
        <v>100</v>
      </c>
      <c r="T32" s="667" t="s">
        <v>14</v>
      </c>
      <c r="U32" s="668">
        <f t="shared" si="13"/>
        <v>100</v>
      </c>
      <c r="V32" s="667" t="s">
        <v>14</v>
      </c>
      <c r="W32" s="668">
        <f t="shared" si="14"/>
        <v>100</v>
      </c>
      <c r="X32" s="1265"/>
      <c r="Y32" s="336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1"/>
      <c r="Q33" s="1263" t="str">
        <f t="shared" si="11"/>
        <v>成新度</v>
      </c>
      <c r="R33" s="667" t="s">
        <v>14</v>
      </c>
      <c r="S33" s="668" t="e">
        <f t="shared" si="12"/>
        <v>#N/A</v>
      </c>
      <c r="T33" s="667" t="s">
        <v>14</v>
      </c>
      <c r="U33" s="668" t="e">
        <f t="shared" si="13"/>
        <v>#N/A</v>
      </c>
      <c r="V33" s="667" t="s">
        <v>14</v>
      </c>
      <c r="W33" s="668" t="e">
        <f t="shared" si="14"/>
        <v>#N/A</v>
      </c>
      <c r="X33" s="1265"/>
      <c r="Y33" s="336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1"/>
      <c r="Q34" s="530" t="str">
        <f t="shared" si="11"/>
        <v>物业管理</v>
      </c>
      <c r="R34" s="664" t="s">
        <v>14</v>
      </c>
      <c r="S34" s="665">
        <f t="shared" si="12"/>
        <v>100</v>
      </c>
      <c r="T34" s="664" t="s">
        <v>14</v>
      </c>
      <c r="U34" s="665">
        <f t="shared" si="13"/>
        <v>100</v>
      </c>
      <c r="V34" s="664" t="s">
        <v>14</v>
      </c>
      <c r="W34" s="665">
        <f t="shared" si="14"/>
        <v>100</v>
      </c>
      <c r="X34" s="666"/>
      <c r="Y34" s="336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1" t="s">
        <v>1696</v>
      </c>
      <c r="Q35" s="1263" t="str">
        <f t="shared" si="11"/>
        <v>市政基础设施</v>
      </c>
      <c r="R35" s="667" t="s">
        <v>14</v>
      </c>
      <c r="S35" s="668">
        <f t="shared" si="12"/>
        <v>100</v>
      </c>
      <c r="T35" s="667" t="s">
        <v>14</v>
      </c>
      <c r="U35" s="668">
        <f t="shared" si="13"/>
        <v>100</v>
      </c>
      <c r="V35" s="667" t="s">
        <v>14</v>
      </c>
      <c r="W35" s="668">
        <f t="shared" si="14"/>
        <v>100</v>
      </c>
      <c r="X35" s="1265"/>
      <c r="Y35" s="336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1"/>
      <c r="Q36" s="1263" t="str">
        <f t="shared" si="11"/>
        <v>内部装修</v>
      </c>
      <c r="R36" s="667" t="s">
        <v>14</v>
      </c>
      <c r="S36" s="668">
        <f t="shared" si="12"/>
        <v>100</v>
      </c>
      <c r="T36" s="667" t="s">
        <v>14</v>
      </c>
      <c r="U36" s="668">
        <f t="shared" si="13"/>
        <v>100</v>
      </c>
      <c r="V36" s="667" t="s">
        <v>14</v>
      </c>
      <c r="W36" s="668">
        <f t="shared" si="14"/>
        <v>100</v>
      </c>
      <c r="X36" s="1265"/>
      <c r="Y36" s="336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1"/>
      <c r="Q37" s="1263" t="str">
        <f t="shared" si="11"/>
        <v>内部装修状况</v>
      </c>
      <c r="R37" s="667" t="s">
        <v>14</v>
      </c>
      <c r="S37" s="668">
        <f t="shared" si="12"/>
        <v>100</v>
      </c>
      <c r="T37" s="667" t="s">
        <v>14</v>
      </c>
      <c r="U37" s="668">
        <f t="shared" si="13"/>
        <v>100</v>
      </c>
      <c r="V37" s="667" t="s">
        <v>14</v>
      </c>
      <c r="W37" s="668">
        <f t="shared" si="14"/>
        <v>100</v>
      </c>
      <c r="X37" s="1265"/>
      <c r="Y37" s="336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1"/>
      <c r="Q38" s="531">
        <f t="shared" si="11"/>
        <v>111</v>
      </c>
      <c r="R38" s="669" t="s">
        <v>14</v>
      </c>
      <c r="S38" s="670">
        <f t="shared" si="12"/>
        <v>100</v>
      </c>
      <c r="T38" s="669" t="s">
        <v>14</v>
      </c>
      <c r="U38" s="670">
        <f t="shared" si="13"/>
        <v>100</v>
      </c>
      <c r="V38" s="669" t="s">
        <v>14</v>
      </c>
      <c r="W38" s="670">
        <f t="shared" si="14"/>
        <v>100</v>
      </c>
      <c r="X38" s="671"/>
      <c r="Y38" s="336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1"/>
      <c r="Q39" s="1263">
        <f t="shared" si="11"/>
        <v>111</v>
      </c>
      <c r="R39" s="667" t="s">
        <v>14</v>
      </c>
      <c r="S39" s="668">
        <f t="shared" si="12"/>
        <v>100</v>
      </c>
      <c r="T39" s="667" t="s">
        <v>14</v>
      </c>
      <c r="U39" s="668">
        <f t="shared" si="13"/>
        <v>100</v>
      </c>
      <c r="V39" s="667" t="s">
        <v>14</v>
      </c>
      <c r="W39" s="668">
        <f t="shared" si="14"/>
        <v>100</v>
      </c>
      <c r="X39" s="1265"/>
      <c r="Y39" s="336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7" t="str">
        <f>A41</f>
        <v>成交单价（元/平方米）</v>
      </c>
      <c r="Q41" s="3357"/>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7" t="str">
        <f>A42</f>
        <v>比较价值（元/平方米）</v>
      </c>
      <c r="Q42" s="3357"/>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1" t="str">
        <f>A43</f>
        <v>估价对象XX用房的比较价值（楼面单价，元/平方米）</v>
      </c>
      <c r="Q43" s="3352"/>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5" t="s">
        <v>1680</v>
      </c>
      <c r="Q7" s="338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7"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7"/>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59"/>
      <c r="Q15" s="1263"/>
      <c r="R15" s="667"/>
      <c r="S15" s="668"/>
      <c r="T15" s="667"/>
      <c r="U15" s="668"/>
      <c r="V15" s="667"/>
      <c r="W15" s="668"/>
      <c r="X15" s="1265"/>
      <c r="Y15" s="3359"/>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59"/>
      <c r="Q17" s="1263"/>
      <c r="R17" s="667"/>
      <c r="S17" s="668"/>
      <c r="T17" s="667"/>
      <c r="U17" s="668"/>
      <c r="V17" s="667"/>
      <c r="W17" s="668"/>
      <c r="X17" s="1265"/>
      <c r="Y17" s="3359"/>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59"/>
      <c r="Q19" s="1263"/>
      <c r="R19" s="667"/>
      <c r="S19" s="668"/>
      <c r="T19" s="667"/>
      <c r="U19" s="668"/>
      <c r="V19" s="667"/>
      <c r="W19" s="668"/>
      <c r="X19" s="1265"/>
      <c r="Y19" s="3359"/>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59"/>
      <c r="Q21" s="1263"/>
      <c r="R21" s="667"/>
      <c r="S21" s="668"/>
      <c r="T21" s="667"/>
      <c r="U21" s="668"/>
      <c r="V21" s="667"/>
      <c r="W21" s="668"/>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9"/>
      <c r="Q24" s="1263">
        <f t="shared" ref="Q24:Q36"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1"/>
      <c r="Q27" s="531" t="str">
        <f t="shared" si="11"/>
        <v>项目停车位配比</v>
      </c>
      <c r="R27" s="669" t="s">
        <v>14</v>
      </c>
      <c r="S27" s="670">
        <f t="shared" si="12"/>
        <v>100</v>
      </c>
      <c r="T27" s="669" t="s">
        <v>14</v>
      </c>
      <c r="U27" s="670">
        <f t="shared" si="13"/>
        <v>100</v>
      </c>
      <c r="V27" s="669" t="s">
        <v>14</v>
      </c>
      <c r="W27" s="670">
        <f t="shared" si="14"/>
        <v>100</v>
      </c>
      <c r="X27" s="671"/>
      <c r="Y27" s="336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1"/>
      <c r="Q28" s="1263" t="str">
        <f t="shared" si="11"/>
        <v>公共部分装修</v>
      </c>
      <c r="R28" s="667" t="s">
        <v>14</v>
      </c>
      <c r="S28" s="668">
        <f t="shared" si="12"/>
        <v>100</v>
      </c>
      <c r="T28" s="667" t="s">
        <v>14</v>
      </c>
      <c r="U28" s="668">
        <f t="shared" si="13"/>
        <v>100</v>
      </c>
      <c r="V28" s="667" t="s">
        <v>14</v>
      </c>
      <c r="W28" s="668">
        <f t="shared" si="14"/>
        <v>100</v>
      </c>
      <c r="X28" s="1265"/>
      <c r="Y28" s="336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1"/>
      <c r="Q29" s="1263" t="str">
        <f t="shared" si="11"/>
        <v>成新率</v>
      </c>
      <c r="R29" s="667" t="s">
        <v>14</v>
      </c>
      <c r="S29" s="668" t="e">
        <f t="shared" si="12"/>
        <v>#N/A</v>
      </c>
      <c r="T29" s="667" t="s">
        <v>14</v>
      </c>
      <c r="U29" s="668" t="e">
        <f t="shared" si="13"/>
        <v>#N/A</v>
      </c>
      <c r="V29" s="667" t="s">
        <v>14</v>
      </c>
      <c r="W29" s="668" t="e">
        <f t="shared" si="14"/>
        <v>#N/A</v>
      </c>
      <c r="X29" s="1265"/>
      <c r="Y29" s="336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1"/>
      <c r="Q30" s="1263" t="str">
        <f t="shared" si="11"/>
        <v>物业等级</v>
      </c>
      <c r="R30" s="667" t="s">
        <v>14</v>
      </c>
      <c r="S30" s="668">
        <f t="shared" si="12"/>
        <v>100</v>
      </c>
      <c r="T30" s="667" t="s">
        <v>14</v>
      </c>
      <c r="U30" s="668">
        <f t="shared" si="13"/>
        <v>100</v>
      </c>
      <c r="V30" s="667" t="s">
        <v>14</v>
      </c>
      <c r="W30" s="668">
        <f t="shared" si="14"/>
        <v>100</v>
      </c>
      <c r="X30" s="1265"/>
      <c r="Y30" s="336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1"/>
      <c r="Q31" s="530" t="str">
        <f t="shared" si="11"/>
        <v>停车位面积</v>
      </c>
      <c r="R31" s="664" t="s">
        <v>14</v>
      </c>
      <c r="S31" s="665" t="e">
        <f t="shared" si="12"/>
        <v>#N/A</v>
      </c>
      <c r="T31" s="664" t="s">
        <v>14</v>
      </c>
      <c r="U31" s="665" t="e">
        <f t="shared" si="13"/>
        <v>#N/A</v>
      </c>
      <c r="V31" s="664" t="s">
        <v>14</v>
      </c>
      <c r="W31" s="665" t="e">
        <f t="shared" si="14"/>
        <v>#N/A</v>
      </c>
      <c r="X31" s="666"/>
      <c r="Y31" s="336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1" t="s">
        <v>1696</v>
      </c>
      <c r="Q32" s="1263" t="str">
        <f t="shared" si="11"/>
        <v>车位类型</v>
      </c>
      <c r="R32" s="667" t="s">
        <v>14</v>
      </c>
      <c r="S32" s="668">
        <f t="shared" si="12"/>
        <v>100</v>
      </c>
      <c r="T32" s="667" t="s">
        <v>14</v>
      </c>
      <c r="U32" s="668">
        <f t="shared" si="13"/>
        <v>100</v>
      </c>
      <c r="V32" s="667" t="s">
        <v>14</v>
      </c>
      <c r="W32" s="668">
        <f t="shared" si="14"/>
        <v>100</v>
      </c>
      <c r="X32" s="1265"/>
      <c r="Y32" s="336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1"/>
      <c r="Q33" s="1263" t="str">
        <f t="shared" si="11"/>
        <v>是否直接入户</v>
      </c>
      <c r="R33" s="667" t="s">
        <v>14</v>
      </c>
      <c r="S33" s="668">
        <f t="shared" si="12"/>
        <v>100</v>
      </c>
      <c r="T33" s="667" t="s">
        <v>14</v>
      </c>
      <c r="U33" s="668">
        <f t="shared" si="13"/>
        <v>100</v>
      </c>
      <c r="V33" s="667" t="s">
        <v>14</v>
      </c>
      <c r="W33" s="668">
        <f t="shared" si="14"/>
        <v>100</v>
      </c>
      <c r="X33" s="1265"/>
      <c r="Y33" s="336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1"/>
      <c r="Q34" s="1263">
        <f t="shared" si="11"/>
        <v>111</v>
      </c>
      <c r="R34" s="667" t="s">
        <v>14</v>
      </c>
      <c r="S34" s="668">
        <f t="shared" si="12"/>
        <v>100</v>
      </c>
      <c r="T34" s="667" t="s">
        <v>14</v>
      </c>
      <c r="U34" s="668">
        <f t="shared" si="13"/>
        <v>100</v>
      </c>
      <c r="V34" s="667" t="s">
        <v>14</v>
      </c>
      <c r="W34" s="668">
        <f t="shared" si="14"/>
        <v>100</v>
      </c>
      <c r="X34" s="1265"/>
      <c r="Y34" s="336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1"/>
      <c r="Q35" s="531">
        <f t="shared" si="11"/>
        <v>111</v>
      </c>
      <c r="R35" s="669" t="s">
        <v>14</v>
      </c>
      <c r="S35" s="670">
        <f t="shared" si="12"/>
        <v>100</v>
      </c>
      <c r="T35" s="669" t="s">
        <v>14</v>
      </c>
      <c r="U35" s="670">
        <f t="shared" si="13"/>
        <v>100</v>
      </c>
      <c r="V35" s="669" t="s">
        <v>14</v>
      </c>
      <c r="W35" s="670">
        <f t="shared" si="14"/>
        <v>100</v>
      </c>
      <c r="X35" s="671"/>
      <c r="Y35" s="336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1"/>
      <c r="Q36" s="1263">
        <f t="shared" si="11"/>
        <v>111</v>
      </c>
      <c r="R36" s="667" t="s">
        <v>14</v>
      </c>
      <c r="S36" s="668">
        <f t="shared" si="12"/>
        <v>100</v>
      </c>
      <c r="T36" s="667" t="s">
        <v>14</v>
      </c>
      <c r="U36" s="668">
        <f t="shared" si="13"/>
        <v>100</v>
      </c>
      <c r="V36" s="667" t="s">
        <v>14</v>
      </c>
      <c r="W36" s="668">
        <f t="shared" si="14"/>
        <v>100</v>
      </c>
      <c r="X36" s="1265"/>
      <c r="Y36" s="336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57" t="str">
        <f>A37</f>
        <v>成交单价</v>
      </c>
      <c r="Q37" s="3357"/>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57" t="str">
        <f>A38</f>
        <v>比较价值（元/平方米）</v>
      </c>
      <c r="Q38" s="3357"/>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51" t="str">
        <f>A39</f>
        <v>估价对象XX用房的比较价值（楼面单价，元/平方米）</v>
      </c>
      <c r="Q39" s="3352"/>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5" t="s">
        <v>1680</v>
      </c>
      <c r="Q7" s="338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7"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7"/>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59"/>
      <c r="Q15" s="1263"/>
      <c r="R15" s="667"/>
      <c r="S15" s="668"/>
      <c r="T15" s="667"/>
      <c r="U15" s="668"/>
      <c r="V15" s="667"/>
      <c r="W15" s="668"/>
      <c r="X15" s="1265"/>
      <c r="Y15" s="3359"/>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59"/>
      <c r="Q17" s="1263"/>
      <c r="R17" s="667"/>
      <c r="S17" s="668"/>
      <c r="T17" s="667"/>
      <c r="U17" s="668"/>
      <c r="V17" s="667"/>
      <c r="W17" s="668"/>
      <c r="X17" s="1265"/>
      <c r="Y17" s="3359"/>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59"/>
      <c r="Q19" s="1263"/>
      <c r="R19" s="667"/>
      <c r="S19" s="668"/>
      <c r="T19" s="667"/>
      <c r="U19" s="668"/>
      <c r="V19" s="667"/>
      <c r="W19" s="668"/>
      <c r="X19" s="1265"/>
      <c r="Y19" s="3359"/>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59"/>
      <c r="Q21" s="1263"/>
      <c r="R21" s="667"/>
      <c r="S21" s="668"/>
      <c r="T21" s="667"/>
      <c r="U21" s="668"/>
      <c r="V21" s="667"/>
      <c r="W21" s="668"/>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9"/>
      <c r="Q24" s="1263">
        <f t="shared" ref="Q24:Q34"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1"/>
      <c r="Q27" s="531" t="str">
        <f t="shared" si="11"/>
        <v>成新率</v>
      </c>
      <c r="R27" s="669" t="s">
        <v>14</v>
      </c>
      <c r="S27" s="670" t="e">
        <f t="shared" si="12"/>
        <v>#N/A</v>
      </c>
      <c r="T27" s="669" t="s">
        <v>14</v>
      </c>
      <c r="U27" s="670" t="e">
        <f t="shared" si="13"/>
        <v>#N/A</v>
      </c>
      <c r="V27" s="669" t="s">
        <v>14</v>
      </c>
      <c r="W27" s="670" t="e">
        <f t="shared" si="14"/>
        <v>#N/A</v>
      </c>
      <c r="X27" s="671"/>
      <c r="Y27" s="336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1"/>
      <c r="Q28" s="1263" t="str">
        <f t="shared" si="11"/>
        <v>物业等级</v>
      </c>
      <c r="R28" s="667" t="s">
        <v>14</v>
      </c>
      <c r="S28" s="668">
        <f t="shared" si="12"/>
        <v>100</v>
      </c>
      <c r="T28" s="667" t="s">
        <v>14</v>
      </c>
      <c r="U28" s="668">
        <f t="shared" si="13"/>
        <v>100</v>
      </c>
      <c r="V28" s="667" t="s">
        <v>14</v>
      </c>
      <c r="W28" s="668">
        <f t="shared" si="14"/>
        <v>100</v>
      </c>
      <c r="X28" s="1265"/>
      <c r="Y28" s="336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1"/>
      <c r="Q29" s="1263" t="str">
        <f t="shared" si="11"/>
        <v>有无电梯</v>
      </c>
      <c r="R29" s="667" t="s">
        <v>14</v>
      </c>
      <c r="S29" s="668">
        <f t="shared" si="12"/>
        <v>100</v>
      </c>
      <c r="T29" s="667" t="s">
        <v>14</v>
      </c>
      <c r="U29" s="668">
        <f t="shared" si="13"/>
        <v>100</v>
      </c>
      <c r="V29" s="667" t="s">
        <v>14</v>
      </c>
      <c r="W29" s="668">
        <f t="shared" si="14"/>
        <v>100</v>
      </c>
      <c r="X29" s="1265"/>
      <c r="Y29" s="336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1"/>
      <c r="Q30" s="1263" t="str">
        <f t="shared" si="11"/>
        <v>建筑面积</v>
      </c>
      <c r="R30" s="667" t="s">
        <v>14</v>
      </c>
      <c r="S30" s="668" t="e">
        <f t="shared" si="12"/>
        <v>#N/A</v>
      </c>
      <c r="T30" s="667" t="s">
        <v>14</v>
      </c>
      <c r="U30" s="668" t="e">
        <f t="shared" si="13"/>
        <v>#N/A</v>
      </c>
      <c r="V30" s="667" t="s">
        <v>14</v>
      </c>
      <c r="W30" s="668" t="e">
        <f t="shared" si="14"/>
        <v>#N/A</v>
      </c>
      <c r="X30" s="1265"/>
      <c r="Y30" s="336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1"/>
      <c r="Q31" s="530" t="str">
        <f t="shared" si="11"/>
        <v>是否封闭</v>
      </c>
      <c r="R31" s="664" t="s">
        <v>14</v>
      </c>
      <c r="S31" s="665">
        <f t="shared" si="12"/>
        <v>100</v>
      </c>
      <c r="T31" s="664" t="s">
        <v>14</v>
      </c>
      <c r="U31" s="665">
        <f t="shared" si="13"/>
        <v>100</v>
      </c>
      <c r="V31" s="664" t="s">
        <v>14</v>
      </c>
      <c r="W31" s="665">
        <f t="shared" si="14"/>
        <v>100</v>
      </c>
      <c r="X31" s="666"/>
      <c r="Y31" s="336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1" t="s">
        <v>1696</v>
      </c>
      <c r="Q32" s="1263">
        <f t="shared" si="11"/>
        <v>111</v>
      </c>
      <c r="R32" s="667" t="s">
        <v>14</v>
      </c>
      <c r="S32" s="668">
        <f t="shared" si="12"/>
        <v>100</v>
      </c>
      <c r="T32" s="667" t="s">
        <v>14</v>
      </c>
      <c r="U32" s="668">
        <f t="shared" si="13"/>
        <v>100</v>
      </c>
      <c r="V32" s="667" t="s">
        <v>14</v>
      </c>
      <c r="W32" s="668">
        <f t="shared" si="14"/>
        <v>100</v>
      </c>
      <c r="X32" s="1265"/>
      <c r="Y32" s="336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1"/>
      <c r="Q33" s="1263">
        <f t="shared" si="11"/>
        <v>111</v>
      </c>
      <c r="R33" s="667" t="s">
        <v>14</v>
      </c>
      <c r="S33" s="668">
        <f t="shared" si="12"/>
        <v>100</v>
      </c>
      <c r="T33" s="667" t="s">
        <v>14</v>
      </c>
      <c r="U33" s="668">
        <f t="shared" si="13"/>
        <v>100</v>
      </c>
      <c r="V33" s="667" t="s">
        <v>14</v>
      </c>
      <c r="W33" s="668">
        <f t="shared" si="14"/>
        <v>100</v>
      </c>
      <c r="X33" s="1265"/>
      <c r="Y33" s="336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61"/>
      <c r="Q34" s="1263">
        <f t="shared" si="11"/>
        <v>111</v>
      </c>
      <c r="R34" s="667" t="s">
        <v>14</v>
      </c>
      <c r="S34" s="668">
        <f t="shared" si="12"/>
        <v>100</v>
      </c>
      <c r="T34" s="667" t="s">
        <v>14</v>
      </c>
      <c r="U34" s="668">
        <f t="shared" si="13"/>
        <v>100</v>
      </c>
      <c r="V34" s="667" t="s">
        <v>14</v>
      </c>
      <c r="W34" s="668">
        <f t="shared" si="14"/>
        <v>100</v>
      </c>
      <c r="X34" s="1265"/>
      <c r="Y34" s="336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57" t="str">
        <f>A35</f>
        <v>成交单价（元/平方米）</v>
      </c>
      <c r="Q35" s="3357"/>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57" t="str">
        <f>A36</f>
        <v>比较价值（元/平方米）</v>
      </c>
      <c r="Q36" s="3357"/>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51" t="str">
        <f>A37</f>
        <v>估价对象XX用房的比较价值（楼面单价，元/平方米）</v>
      </c>
      <c r="Q37" s="3352"/>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427" t="s">
        <v>1919</v>
      </c>
      <c r="D6" s="3428"/>
      <c r="E6" s="3429" t="s">
        <v>1919</v>
      </c>
      <c r="F6" s="3430"/>
      <c r="G6" s="3427" t="s">
        <v>1919</v>
      </c>
      <c r="H6" s="3428"/>
      <c r="I6" s="3427" t="s">
        <v>1919</v>
      </c>
      <c r="J6" s="3428"/>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45573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57"/>
      <c r="Q10" s="530" t="str">
        <f t="shared" si="6"/>
        <v>土地使用年限（年）</v>
      </c>
      <c r="R10" s="664" t="s">
        <v>14</v>
      </c>
      <c r="S10" s="665">
        <f t="shared" si="0"/>
        <v>118</v>
      </c>
      <c r="T10" s="664" t="s">
        <v>14</v>
      </c>
      <c r="U10" s="665">
        <f t="shared" si="1"/>
        <v>118</v>
      </c>
      <c r="V10" s="664" t="s">
        <v>14</v>
      </c>
      <c r="W10" s="665">
        <f t="shared" si="2"/>
        <v>118</v>
      </c>
      <c r="X10" s="666"/>
      <c r="Y10" s="3257"/>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7"/>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9"/>
      <c r="Q19" s="1263" t="str">
        <f t="shared" ref="Q19:Q33" si="8">B19</f>
        <v>区域土地利用方向</v>
      </c>
      <c r="R19" s="667" t="s">
        <v>14</v>
      </c>
      <c r="S19" s="668">
        <f>F19</f>
        <v>100</v>
      </c>
      <c r="T19" s="667" t="s">
        <v>14</v>
      </c>
      <c r="U19" s="668">
        <f>H19</f>
        <v>100</v>
      </c>
      <c r="V19" s="667" t="s">
        <v>14</v>
      </c>
      <c r="W19" s="668">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59"/>
      <c r="Q20" s="1263"/>
      <c r="R20" s="667"/>
      <c r="S20" s="668"/>
      <c r="T20" s="667"/>
      <c r="U20" s="668"/>
      <c r="V20" s="667"/>
      <c r="W20" s="668"/>
      <c r="X20" s="1265"/>
      <c r="Y20" s="335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9"/>
      <c r="Q21" s="1263" t="str">
        <f t="shared" si="8"/>
        <v>环境状况</v>
      </c>
      <c r="R21" s="667" t="s">
        <v>14</v>
      </c>
      <c r="S21" s="668">
        <f>F21</f>
        <v>100</v>
      </c>
      <c r="T21" s="667" t="s">
        <v>14</v>
      </c>
      <c r="U21" s="668">
        <f>H21</f>
        <v>100</v>
      </c>
      <c r="V21" s="667" t="s">
        <v>14</v>
      </c>
      <c r="W21" s="668">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9"/>
      <c r="Q23" s="530" t="str">
        <f t="shared" si="8"/>
        <v>公共配套设施</v>
      </c>
      <c r="R23" s="664" t="s">
        <v>14</v>
      </c>
      <c r="S23" s="665">
        <f>F23</f>
        <v>100</v>
      </c>
      <c r="T23" s="664" t="s">
        <v>14</v>
      </c>
      <c r="U23" s="665">
        <f>H23</f>
        <v>100</v>
      </c>
      <c r="V23" s="664" t="s">
        <v>14</v>
      </c>
      <c r="W23" s="665">
        <f>J23</f>
        <v>100</v>
      </c>
      <c r="X23" s="666"/>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59"/>
      <c r="Q24" s="530"/>
      <c r="R24" s="664"/>
      <c r="S24" s="665"/>
      <c r="T24" s="664"/>
      <c r="U24" s="665"/>
      <c r="V24" s="664"/>
      <c r="W24" s="665"/>
      <c r="X24" s="666"/>
      <c r="Y24" s="335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9"/>
      <c r="Q25" s="530" t="str">
        <f t="shared" ref="Q25" si="9">B25</f>
        <v>基础设施水平</v>
      </c>
      <c r="R25" s="664" t="s">
        <v>14</v>
      </c>
      <c r="S25" s="665">
        <f>F25</f>
        <v>100</v>
      </c>
      <c r="T25" s="664" t="s">
        <v>14</v>
      </c>
      <c r="U25" s="665">
        <f>H25</f>
        <v>100</v>
      </c>
      <c r="V25" s="664" t="s">
        <v>14</v>
      </c>
      <c r="W25" s="665">
        <f>J25</f>
        <v>100</v>
      </c>
      <c r="X25" s="666"/>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59"/>
      <c r="Q26" s="530"/>
      <c r="R26" s="664"/>
      <c r="S26" s="665"/>
      <c r="T26" s="664"/>
      <c r="U26" s="665"/>
      <c r="V26" s="664"/>
      <c r="W26" s="665"/>
      <c r="X26" s="666"/>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9"/>
      <c r="Q28" s="1263" t="str">
        <f t="shared" si="8"/>
        <v>毗邻道路的类型与等级</v>
      </c>
      <c r="R28" s="667" t="s">
        <v>14</v>
      </c>
      <c r="S28" s="668">
        <f t="shared" si="10"/>
        <v>100</v>
      </c>
      <c r="T28" s="667" t="s">
        <v>14</v>
      </c>
      <c r="U28" s="668">
        <f t="shared" si="11"/>
        <v>100</v>
      </c>
      <c r="V28" s="667" t="s">
        <v>14</v>
      </c>
      <c r="W28" s="668">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59"/>
      <c r="Q29" s="1263"/>
      <c r="R29" s="667"/>
      <c r="S29" s="668"/>
      <c r="T29" s="667"/>
      <c r="U29" s="668"/>
      <c r="V29" s="667"/>
      <c r="W29" s="668"/>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9"/>
      <c r="Q30" s="1263" t="str">
        <f t="shared" si="8"/>
        <v>土地级别</v>
      </c>
      <c r="R30" s="667" t="s">
        <v>14</v>
      </c>
      <c r="S30" s="668">
        <f t="shared" si="10"/>
        <v>100</v>
      </c>
      <c r="T30" s="667" t="s">
        <v>14</v>
      </c>
      <c r="U30" s="668">
        <f t="shared" si="11"/>
        <v>100</v>
      </c>
      <c r="V30" s="667" t="s">
        <v>14</v>
      </c>
      <c r="W30" s="668">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9"/>
      <c r="Q31" s="1263">
        <f t="shared" si="8"/>
        <v>111</v>
      </c>
      <c r="R31" s="667" t="s">
        <v>14</v>
      </c>
      <c r="S31" s="668">
        <f t="shared" si="10"/>
        <v>100</v>
      </c>
      <c r="T31" s="667" t="s">
        <v>14</v>
      </c>
      <c r="U31" s="668">
        <f t="shared" si="11"/>
        <v>100</v>
      </c>
      <c r="V31" s="667" t="s">
        <v>14</v>
      </c>
      <c r="W31" s="668">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60" t="s">
        <v>1696</v>
      </c>
      <c r="Q32" s="1263">
        <f t="shared" si="8"/>
        <v>111</v>
      </c>
      <c r="R32" s="667" t="s">
        <v>14</v>
      </c>
      <c r="S32" s="668">
        <f t="shared" si="10"/>
        <v>100</v>
      </c>
      <c r="T32" s="667" t="s">
        <v>14</v>
      </c>
      <c r="U32" s="668">
        <f t="shared" si="11"/>
        <v>100</v>
      </c>
      <c r="V32" s="667" t="s">
        <v>14</v>
      </c>
      <c r="W32" s="668">
        <f t="shared" si="12"/>
        <v>100</v>
      </c>
      <c r="X32" s="1265"/>
      <c r="Y32" s="336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1"/>
      <c r="Q33" s="1263">
        <f t="shared" si="8"/>
        <v>111</v>
      </c>
      <c r="R33" s="669" t="s">
        <v>14</v>
      </c>
      <c r="S33" s="670">
        <f t="shared" si="10"/>
        <v>100</v>
      </c>
      <c r="T33" s="669" t="s">
        <v>14</v>
      </c>
      <c r="U33" s="670">
        <f t="shared" si="11"/>
        <v>100</v>
      </c>
      <c r="V33" s="669" t="s">
        <v>14</v>
      </c>
      <c r="W33" s="670">
        <f t="shared" si="12"/>
        <v>100</v>
      </c>
      <c r="X33" s="671"/>
      <c r="Y33" s="336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1"/>
      <c r="Q34" s="1263" t="str">
        <f>B34</f>
        <v>宗地面积</v>
      </c>
      <c r="R34" s="667" t="s">
        <v>14</v>
      </c>
      <c r="S34" s="668" t="e">
        <f t="shared" si="10"/>
        <v>#N/A</v>
      </c>
      <c r="T34" s="667" t="s">
        <v>14</v>
      </c>
      <c r="U34" s="668" t="e">
        <f t="shared" si="11"/>
        <v>#N/A</v>
      </c>
      <c r="V34" s="667" t="s">
        <v>14</v>
      </c>
      <c r="W34" s="668" t="e">
        <f t="shared" si="12"/>
        <v>#N/A</v>
      </c>
      <c r="X34" s="1265"/>
      <c r="Y34" s="336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61"/>
      <c r="Q35" s="1263" t="str">
        <f t="shared" ref="Q35:Q40" si="14">B35</f>
        <v>宗地形状</v>
      </c>
      <c r="R35" s="667" t="s">
        <v>14</v>
      </c>
      <c r="S35" s="668">
        <f t="shared" si="10"/>
        <v>100</v>
      </c>
      <c r="T35" s="667" t="s">
        <v>14</v>
      </c>
      <c r="U35" s="668">
        <f t="shared" si="11"/>
        <v>100</v>
      </c>
      <c r="V35" s="667" t="s">
        <v>14</v>
      </c>
      <c r="W35" s="668">
        <f t="shared" si="12"/>
        <v>100</v>
      </c>
      <c r="X35" s="1265"/>
      <c r="Y35" s="336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61"/>
      <c r="Q36" s="1263" t="str">
        <f t="shared" si="14"/>
        <v>宗地开发程度</v>
      </c>
      <c r="R36" s="664" t="s">
        <v>14</v>
      </c>
      <c r="S36" s="665">
        <f t="shared" si="10"/>
        <v>100</v>
      </c>
      <c r="T36" s="664" t="s">
        <v>14</v>
      </c>
      <c r="U36" s="665">
        <f t="shared" si="11"/>
        <v>100</v>
      </c>
      <c r="V36" s="664" t="s">
        <v>14</v>
      </c>
      <c r="W36" s="665">
        <f t="shared" si="12"/>
        <v>100</v>
      </c>
      <c r="X36" s="666"/>
      <c r="Y36" s="336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61" t="s">
        <v>1696</v>
      </c>
      <c r="Q37" s="1263" t="str">
        <f t="shared" si="14"/>
        <v>工程地质条件</v>
      </c>
      <c r="R37" s="667" t="s">
        <v>14</v>
      </c>
      <c r="S37" s="668">
        <f t="shared" si="10"/>
        <v>100</v>
      </c>
      <c r="T37" s="667" t="s">
        <v>14</v>
      </c>
      <c r="U37" s="668">
        <f t="shared" si="11"/>
        <v>100</v>
      </c>
      <c r="V37" s="667" t="s">
        <v>14</v>
      </c>
      <c r="W37" s="668">
        <f t="shared" si="12"/>
        <v>100</v>
      </c>
      <c r="X37" s="1265"/>
      <c r="Y37" s="336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1"/>
      <c r="Q38" s="1263">
        <f t="shared" si="14"/>
        <v>111</v>
      </c>
      <c r="R38" s="667" t="s">
        <v>14</v>
      </c>
      <c r="S38" s="668">
        <f t="shared" si="10"/>
        <v>100</v>
      </c>
      <c r="T38" s="667" t="s">
        <v>14</v>
      </c>
      <c r="U38" s="668">
        <f t="shared" si="11"/>
        <v>100</v>
      </c>
      <c r="V38" s="667" t="s">
        <v>14</v>
      </c>
      <c r="W38" s="668">
        <f t="shared" si="12"/>
        <v>100</v>
      </c>
      <c r="X38" s="1265"/>
      <c r="Y38" s="336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1"/>
      <c r="Q39" s="1263">
        <f t="shared" si="14"/>
        <v>111</v>
      </c>
      <c r="R39" s="667" t="s">
        <v>14</v>
      </c>
      <c r="S39" s="668">
        <f t="shared" si="10"/>
        <v>100</v>
      </c>
      <c r="T39" s="667" t="s">
        <v>14</v>
      </c>
      <c r="U39" s="668">
        <f t="shared" si="11"/>
        <v>100</v>
      </c>
      <c r="V39" s="667" t="s">
        <v>14</v>
      </c>
      <c r="W39" s="668">
        <f t="shared" si="12"/>
        <v>100</v>
      </c>
      <c r="X39" s="1265"/>
      <c r="Y39" s="336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1"/>
      <c r="Q40" s="1263">
        <f t="shared" si="14"/>
        <v>111</v>
      </c>
      <c r="R40" s="669" t="s">
        <v>14</v>
      </c>
      <c r="S40" s="670">
        <f t="shared" si="10"/>
        <v>100</v>
      </c>
      <c r="T40" s="669" t="s">
        <v>14</v>
      </c>
      <c r="U40" s="670">
        <f t="shared" si="11"/>
        <v>100</v>
      </c>
      <c r="V40" s="669" t="s">
        <v>14</v>
      </c>
      <c r="W40" s="670">
        <f t="shared" si="12"/>
        <v>100</v>
      </c>
      <c r="X40" s="671"/>
      <c r="Y40" s="336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57" t="str">
        <f>A41</f>
        <v>成交单价</v>
      </c>
      <c r="Q41" s="3357"/>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57" t="str">
        <f>A42</f>
        <v>比较价值（元/平方米）</v>
      </c>
      <c r="Q42" s="3357"/>
      <c r="R42" s="3350" t="e">
        <f>ROUND(PRODUCT(R41,AA7:AA40),0)</f>
        <v>#DIV/0!</v>
      </c>
      <c r="S42" s="3350"/>
      <c r="T42" s="3350" t="e">
        <f>ROUND(PRODUCT(T41,AB7:AB40),0)</f>
        <v>#DIV/0!</v>
      </c>
      <c r="U42" s="3350"/>
      <c r="V42" s="3350" t="e">
        <f>ROUND(PRODUCT(V41,AC7:AC40),0)</f>
        <v>#DIV/0!</v>
      </c>
      <c r="W42" s="33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51" t="str">
        <f>A43</f>
        <v>估价对象XX用房的比较价值（楼面单价，元/平方米）</v>
      </c>
      <c r="Q43" s="3352"/>
      <c r="R43" s="3353" t="e">
        <f>ROUND(IF(D42="简单平均",AVERAGE(R42:W42),R42*F42+T42*H42+V42*J42),0)</f>
        <v>#DIV/0!</v>
      </c>
      <c r="S43" s="3353"/>
      <c r="T43" s="3353"/>
      <c r="U43" s="3353"/>
      <c r="V43" s="3353"/>
      <c r="W43" s="335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54" t="s">
        <v>1887</v>
      </c>
      <c r="H50" s="335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56"/>
      <c r="H51" s="335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4" t="s">
        <v>2084</v>
      </c>
      <c r="D1" s="3435"/>
      <c r="E1" s="3435"/>
      <c r="F1" s="3435"/>
      <c r="G1" s="3435"/>
      <c r="H1" s="3435"/>
      <c r="I1" s="3435"/>
      <c r="J1" s="3435"/>
      <c r="K1" s="3435"/>
      <c r="L1" s="3435"/>
      <c r="M1" s="3435"/>
      <c r="N1" s="3435"/>
      <c r="O1" s="3435"/>
      <c r="P1" s="3435"/>
      <c r="Q1" s="3435"/>
      <c r="R1" s="3435"/>
      <c r="S1" s="34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44"/>
      <c r="B4" s="3445"/>
      <c r="C4" s="3445"/>
      <c r="D4" s="3446"/>
      <c r="E4" s="3446"/>
      <c r="F4" s="3446"/>
      <c r="G4" s="3446"/>
      <c r="H4" s="3446"/>
      <c r="I4" s="3446"/>
      <c r="J4" s="3447"/>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41" t="s">
        <v>1960</v>
      </c>
      <c r="X8" s="34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43"/>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4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8" t="s">
        <v>3252</v>
      </c>
      <c r="B20" s="159" t="s">
        <v>1994</v>
      </c>
      <c r="C20" s="3029">
        <f>ROUND(IF(F21="与级别开发程度一致",0,(G21-E21)/C21),0)</f>
        <v>-126</v>
      </c>
      <c r="D20" s="3044" t="s">
        <v>1998</v>
      </c>
      <c r="E20" s="3045"/>
      <c r="F20" s="3454" t="s">
        <v>1995</v>
      </c>
      <c r="G20" s="345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45573</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0.7823</v>
      </c>
      <c r="D24" s="1902" t="s">
        <v>2007</v>
      </c>
      <c r="E24" s="1248">
        <f>存贷款利率!E26/100</f>
        <v>4.3499999999999997E-2</v>
      </c>
      <c r="F24" s="1902" t="s">
        <v>1999</v>
      </c>
      <c r="G24" s="724">
        <f>SUMIF(M30:Q30,E2,M33:Q33)</f>
        <v>5.5E-2</v>
      </c>
      <c r="H24" s="1902" t="s">
        <v>2008</v>
      </c>
      <c r="I24" s="725">
        <f>SUMIF('数据-取费表'!C6:C15,E2,'数据-取费表'!F6:F15)/COUNTIF('数据-取费表'!C6:C15,E2)</f>
        <v>21.9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2"/>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3"/>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3"/>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0" t="s">
        <v>3292</v>
      </c>
      <c r="B103" s="3450"/>
      <c r="C103" s="3450"/>
      <c r="D103" s="3450"/>
      <c r="E103" s="3450"/>
      <c r="F103" s="3450"/>
      <c r="G103" s="3450"/>
      <c r="H103" s="3450"/>
      <c r="I103" s="3450"/>
      <c r="J103" s="3450"/>
      <c r="K103" s="1667"/>
      <c r="L103" s="1667"/>
      <c r="M103" s="1667"/>
      <c r="N103" s="1667"/>
    </row>
    <row r="104" spans="1:14">
      <c r="A104" s="3451" t="s">
        <v>3293</v>
      </c>
      <c r="B104" s="3451" t="s">
        <v>3294</v>
      </c>
      <c r="C104" s="3088" t="s">
        <v>3295</v>
      </c>
      <c r="D104" s="3089"/>
      <c r="E104" s="3089"/>
      <c r="F104" s="3089"/>
      <c r="G104" s="3089"/>
      <c r="H104" s="3089"/>
      <c r="I104" s="3089"/>
      <c r="J104" s="3090"/>
      <c r="K104" s="3091"/>
      <c r="L104" s="3091"/>
      <c r="M104" s="3091"/>
      <c r="N104" s="3091"/>
    </row>
    <row r="105" spans="1:14">
      <c r="A105" s="3451"/>
      <c r="B105" s="3451"/>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7"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8"/>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0" t="s">
        <v>3309</v>
      </c>
      <c r="B113" s="3440"/>
      <c r="C113" s="3440"/>
      <c r="D113" s="3440"/>
      <c r="E113" s="3440"/>
      <c r="F113" s="3440"/>
      <c r="G113" s="3440"/>
      <c r="H113" s="3440"/>
      <c r="I113" s="3440"/>
      <c r="J113" s="344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65" t="s">
        <v>2605</v>
      </c>
      <c r="B20" s="3460" t="s">
        <v>2626</v>
      </c>
      <c r="C20" s="2840" t="s">
        <v>2437</v>
      </c>
      <c r="D20" s="2841"/>
      <c r="E20" s="2842">
        <v>1</v>
      </c>
      <c r="F20" s="2843" t="s">
        <v>2438</v>
      </c>
      <c r="G20" s="2843"/>
    </row>
    <row r="21" spans="1:13" ht="19.5" customHeight="1">
      <c r="A21" s="3466"/>
      <c r="B21" s="3459"/>
      <c r="C21" s="2844" t="s">
        <v>2439</v>
      </c>
      <c r="D21" s="2845"/>
      <c r="E21" s="2846">
        <v>1</v>
      </c>
      <c r="F21" s="2843" t="s">
        <v>2440</v>
      </c>
      <c r="G21" s="2843"/>
    </row>
    <row r="22" spans="1:13" ht="19.5" customHeight="1">
      <c r="A22" s="3466"/>
      <c r="B22" s="3459"/>
      <c r="C22" s="2844" t="s">
        <v>2441</v>
      </c>
      <c r="D22" s="2845"/>
      <c r="E22" s="2846">
        <v>0.9</v>
      </c>
      <c r="F22" s="2843" t="s">
        <v>2442</v>
      </c>
      <c r="G22" s="2843"/>
    </row>
    <row r="23" spans="1:13" ht="19.5" customHeight="1">
      <c r="A23" s="3466"/>
      <c r="B23" s="3459"/>
      <c r="C23" s="2844" t="s">
        <v>2443</v>
      </c>
      <c r="D23" s="2845"/>
      <c r="E23" s="2846">
        <v>0.9</v>
      </c>
      <c r="F23" s="2843" t="s">
        <v>2444</v>
      </c>
      <c r="G23" s="2843"/>
    </row>
    <row r="24" spans="1:13" ht="19.5" customHeight="1">
      <c r="A24" s="3466"/>
      <c r="B24" s="3459"/>
      <c r="C24" s="2844" t="s">
        <v>2445</v>
      </c>
      <c r="D24" s="2845"/>
      <c r="E24" s="2846">
        <v>0.8</v>
      </c>
      <c r="F24" s="2843" t="s">
        <v>2446</v>
      </c>
      <c r="G24" s="2843"/>
    </row>
    <row r="25" spans="1:13" ht="19.5" customHeight="1" thickBot="1">
      <c r="A25" s="3467"/>
      <c r="B25" s="3461"/>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62" t="s">
        <v>2629</v>
      </c>
      <c r="B27" s="3460" t="s">
        <v>2610</v>
      </c>
      <c r="C27" s="2840" t="s">
        <v>2450</v>
      </c>
      <c r="D27" s="2841"/>
      <c r="E27" s="2842">
        <v>1</v>
      </c>
      <c r="F27" s="2843" t="s">
        <v>2451</v>
      </c>
      <c r="G27" s="2843"/>
    </row>
    <row r="28" spans="1:13" ht="19.5" customHeight="1">
      <c r="A28" s="3463"/>
      <c r="B28" s="3459"/>
      <c r="C28" s="2844" t="s">
        <v>2452</v>
      </c>
      <c r="D28" s="2845"/>
      <c r="E28" s="2846">
        <v>1</v>
      </c>
      <c r="F28" s="2843" t="s">
        <v>2453</v>
      </c>
      <c r="G28" s="2843"/>
    </row>
    <row r="29" spans="1:13" ht="19.5" customHeight="1">
      <c r="A29" s="3463"/>
      <c r="B29" s="3459"/>
      <c r="C29" s="2844" t="s">
        <v>2454</v>
      </c>
      <c r="D29" s="2845"/>
      <c r="E29" s="2846">
        <v>0.8</v>
      </c>
      <c r="F29" s="2843" t="s">
        <v>2455</v>
      </c>
      <c r="G29" s="2843"/>
    </row>
    <row r="30" spans="1:13" ht="19.5" customHeight="1">
      <c r="A30" s="3463"/>
      <c r="B30" s="3459"/>
      <c r="C30" s="2844" t="s">
        <v>2456</v>
      </c>
      <c r="D30" s="2845"/>
      <c r="E30" s="2846">
        <v>0.8</v>
      </c>
      <c r="F30" s="2843" t="s">
        <v>2457</v>
      </c>
      <c r="G30" s="2843"/>
    </row>
    <row r="31" spans="1:13" ht="19.5" customHeight="1">
      <c r="A31" s="3463"/>
      <c r="B31" s="3459"/>
      <c r="C31" s="2844" t="s">
        <v>2458</v>
      </c>
      <c r="D31" s="2845"/>
      <c r="E31" s="2846">
        <v>0.8</v>
      </c>
      <c r="F31" s="2843" t="s">
        <v>2459</v>
      </c>
      <c r="G31" s="2843"/>
    </row>
    <row r="32" spans="1:13" ht="19.5" customHeight="1">
      <c r="A32" s="3463"/>
      <c r="B32" s="3459"/>
      <c r="C32" s="2844" t="s">
        <v>2460</v>
      </c>
      <c r="D32" s="2845"/>
      <c r="E32" s="2846">
        <v>0.7</v>
      </c>
      <c r="F32" s="2843" t="s">
        <v>2461</v>
      </c>
      <c r="G32" s="2843"/>
    </row>
    <row r="33" spans="1:7" ht="19.5" customHeight="1">
      <c r="A33" s="3463"/>
      <c r="B33" s="3459"/>
      <c r="C33" s="2844" t="s">
        <v>2462</v>
      </c>
      <c r="D33" s="2845"/>
      <c r="E33" s="2846">
        <v>0.8</v>
      </c>
      <c r="F33" s="2843" t="s">
        <v>2463</v>
      </c>
      <c r="G33" s="2843"/>
    </row>
    <row r="34" spans="1:7" ht="19.5" customHeight="1">
      <c r="A34" s="3463"/>
      <c r="B34" s="3459"/>
      <c r="C34" s="2844" t="s">
        <v>2464</v>
      </c>
      <c r="D34" s="2845"/>
      <c r="E34" s="2846">
        <v>0.6</v>
      </c>
      <c r="F34" s="2843" t="s">
        <v>2465</v>
      </c>
      <c r="G34" s="2843"/>
    </row>
    <row r="35" spans="1:7" ht="19.5" customHeight="1">
      <c r="A35" s="3463"/>
      <c r="B35" s="3459"/>
      <c r="C35" s="2844" t="s">
        <v>2466</v>
      </c>
      <c r="D35" s="2845"/>
      <c r="E35" s="2846">
        <v>0.2</v>
      </c>
      <c r="F35" s="2843" t="s">
        <v>2467</v>
      </c>
      <c r="G35" s="2843"/>
    </row>
    <row r="36" spans="1:7" ht="19.5" customHeight="1">
      <c r="A36" s="3463"/>
      <c r="B36" s="3459"/>
      <c r="C36" s="2844" t="s">
        <v>2468</v>
      </c>
      <c r="D36" s="2845"/>
      <c r="E36" s="2846">
        <v>0.2</v>
      </c>
      <c r="F36" s="2843" t="s">
        <v>2469</v>
      </c>
      <c r="G36" s="2843"/>
    </row>
    <row r="37" spans="1:7" ht="19.5" customHeight="1">
      <c r="A37" s="3463"/>
      <c r="B37" s="3457" t="s">
        <v>2630</v>
      </c>
      <c r="C37" s="2844" t="s">
        <v>2470</v>
      </c>
      <c r="D37" s="2845"/>
      <c r="E37" s="2846">
        <v>0.6</v>
      </c>
      <c r="F37" s="2843" t="s">
        <v>2471</v>
      </c>
      <c r="G37" s="2843"/>
    </row>
    <row r="38" spans="1:7" ht="19.5" customHeight="1">
      <c r="A38" s="3463"/>
      <c r="B38" s="3459"/>
      <c r="C38" s="2844" t="s">
        <v>2472</v>
      </c>
      <c r="D38" s="2845"/>
      <c r="E38" s="2846">
        <v>0.6</v>
      </c>
      <c r="F38" s="2843" t="s">
        <v>2473</v>
      </c>
      <c r="G38" s="2843"/>
    </row>
    <row r="39" spans="1:7" ht="19.5" customHeight="1" thickBot="1">
      <c r="A39" s="3464"/>
      <c r="B39" s="3461"/>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65" t="s">
        <v>2608</v>
      </c>
      <c r="B41" s="3460" t="s">
        <v>2632</v>
      </c>
      <c r="C41" s="2840" t="s">
        <v>2477</v>
      </c>
      <c r="D41" s="2841"/>
      <c r="E41" s="2842">
        <v>1</v>
      </c>
      <c r="F41" s="2843" t="s">
        <v>2478</v>
      </c>
      <c r="G41" s="2843"/>
    </row>
    <row r="42" spans="1:7" ht="19.5" customHeight="1">
      <c r="A42" s="3466"/>
      <c r="B42" s="3459"/>
      <c r="C42" s="2844" t="s">
        <v>2479</v>
      </c>
      <c r="D42" s="2845"/>
      <c r="E42" s="2846">
        <v>1</v>
      </c>
      <c r="F42" s="2843" t="s">
        <v>2480</v>
      </c>
      <c r="G42" s="2843"/>
    </row>
    <row r="43" spans="1:7" ht="19.5" customHeight="1">
      <c r="A43" s="3466"/>
      <c r="B43" s="3458"/>
      <c r="C43" s="2844" t="s">
        <v>2481</v>
      </c>
      <c r="D43" s="2845"/>
      <c r="E43" s="2846">
        <v>1.5</v>
      </c>
      <c r="F43" s="2843" t="s">
        <v>2482</v>
      </c>
      <c r="G43" s="2843"/>
    </row>
    <row r="44" spans="1:7" ht="19.5" customHeight="1">
      <c r="A44" s="3466"/>
      <c r="B44" s="2855" t="s">
        <v>2633</v>
      </c>
      <c r="C44" s="2844" t="s">
        <v>2634</v>
      </c>
      <c r="D44" s="2845"/>
      <c r="E44" s="2846">
        <v>2</v>
      </c>
      <c r="F44" s="2843" t="s">
        <v>2483</v>
      </c>
      <c r="G44" s="2843"/>
    </row>
    <row r="45" spans="1:7" ht="19.5" customHeight="1">
      <c r="A45" s="3466"/>
      <c r="B45" s="3457" t="s">
        <v>2635</v>
      </c>
      <c r="C45" s="2844" t="s">
        <v>2484</v>
      </c>
      <c r="D45" s="2845"/>
      <c r="E45" s="2846">
        <v>1</v>
      </c>
      <c r="F45" s="2843" t="s">
        <v>2485</v>
      </c>
      <c r="G45" s="2843"/>
    </row>
    <row r="46" spans="1:7" ht="19.5" customHeight="1">
      <c r="A46" s="3466"/>
      <c r="B46" s="3459"/>
      <c r="C46" s="2844" t="s">
        <v>2486</v>
      </c>
      <c r="D46" s="2845"/>
      <c r="E46" s="2846">
        <v>1</v>
      </c>
      <c r="F46" s="2843" t="s">
        <v>2487</v>
      </c>
      <c r="G46" s="2843"/>
    </row>
    <row r="47" spans="1:7" ht="19.5" customHeight="1">
      <c r="A47" s="3466"/>
      <c r="B47" s="3459"/>
      <c r="C47" s="2844" t="s">
        <v>2488</v>
      </c>
      <c r="D47" s="2845"/>
      <c r="E47" s="2846">
        <v>1</v>
      </c>
      <c r="F47" s="2843" t="s">
        <v>2489</v>
      </c>
      <c r="G47" s="2843"/>
    </row>
    <row r="48" spans="1:7" ht="19.5" customHeight="1">
      <c r="A48" s="3466"/>
      <c r="B48" s="3459"/>
      <c r="C48" s="2844" t="s">
        <v>2490</v>
      </c>
      <c r="D48" s="2845"/>
      <c r="E48" s="2846">
        <v>1</v>
      </c>
      <c r="F48" s="2843" t="s">
        <v>2491</v>
      </c>
      <c r="G48" s="2843"/>
    </row>
    <row r="49" spans="1:7" ht="19.5" customHeight="1">
      <c r="A49" s="3466"/>
      <c r="B49" s="3459"/>
      <c r="C49" s="2844" t="s">
        <v>2492</v>
      </c>
      <c r="D49" s="2845"/>
      <c r="E49" s="2846">
        <v>1</v>
      </c>
      <c r="F49" s="2843" t="s">
        <v>2493</v>
      </c>
      <c r="G49" s="2843"/>
    </row>
    <row r="50" spans="1:7" ht="19.5" customHeight="1">
      <c r="A50" s="3466"/>
      <c r="B50" s="3459"/>
      <c r="C50" s="2844" t="s">
        <v>2494</v>
      </c>
      <c r="D50" s="2845"/>
      <c r="E50" s="2846">
        <v>1</v>
      </c>
      <c r="F50" s="2843" t="s">
        <v>2495</v>
      </c>
      <c r="G50" s="2843"/>
    </row>
    <row r="51" spans="1:7" ht="19.5" customHeight="1" thickBot="1">
      <c r="A51" s="3467"/>
      <c r="B51" s="3461"/>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7" t="s">
        <v>2649</v>
      </c>
      <c r="C73" s="2829" t="s">
        <v>2650</v>
      </c>
      <c r="D73" s="2829" t="s">
        <v>2651</v>
      </c>
      <c r="E73" s="2855">
        <v>0.2</v>
      </c>
      <c r="F73" s="2855">
        <v>25</v>
      </c>
    </row>
    <row r="74" spans="1:7" ht="24">
      <c r="A74" s="2855">
        <v>2</v>
      </c>
      <c r="B74" s="3459"/>
      <c r="C74" s="2829" t="s">
        <v>2652</v>
      </c>
      <c r="D74" s="2829" t="s">
        <v>2653</v>
      </c>
      <c r="E74" s="2855">
        <v>0.2</v>
      </c>
      <c r="F74" s="2855">
        <v>25</v>
      </c>
    </row>
    <row r="75" spans="1:7" ht="24">
      <c r="A75" s="2855">
        <v>3</v>
      </c>
      <c r="B75" s="3459"/>
      <c r="C75" s="2829" t="s">
        <v>2654</v>
      </c>
      <c r="D75" s="2829" t="s">
        <v>2655</v>
      </c>
      <c r="E75" s="2855">
        <v>0.2</v>
      </c>
      <c r="F75" s="2855">
        <v>25</v>
      </c>
    </row>
    <row r="76" spans="1:7" ht="13.5">
      <c r="A76" s="2855">
        <v>4</v>
      </c>
      <c r="B76" s="3459"/>
      <c r="C76" s="2829" t="s">
        <v>2656</v>
      </c>
      <c r="D76" s="2829" t="s">
        <v>2657</v>
      </c>
      <c r="E76" s="2855">
        <v>0.15</v>
      </c>
      <c r="F76" s="2855">
        <v>20</v>
      </c>
    </row>
    <row r="77" spans="1:7" ht="24">
      <c r="A77" s="2855">
        <v>5</v>
      </c>
      <c r="B77" s="3459"/>
      <c r="C77" s="2829" t="s">
        <v>2658</v>
      </c>
      <c r="D77" s="2829" t="s">
        <v>2659</v>
      </c>
      <c r="E77" s="2855">
        <v>0.15</v>
      </c>
      <c r="F77" s="2855">
        <v>20</v>
      </c>
    </row>
    <row r="78" spans="1:7" ht="24">
      <c r="A78" s="2855">
        <v>6</v>
      </c>
      <c r="B78" s="3459"/>
      <c r="C78" s="2829" t="s">
        <v>2660</v>
      </c>
      <c r="D78" s="2829" t="s">
        <v>2661</v>
      </c>
      <c r="E78" s="2855">
        <v>0.15</v>
      </c>
      <c r="F78" s="2855">
        <v>20</v>
      </c>
    </row>
    <row r="79" spans="1:7" ht="24">
      <c r="A79" s="2855">
        <v>7</v>
      </c>
      <c r="B79" s="3459"/>
      <c r="C79" s="2829" t="s">
        <v>2662</v>
      </c>
      <c r="D79" s="2829" t="s">
        <v>2663</v>
      </c>
      <c r="E79" s="2855">
        <v>0.15</v>
      </c>
      <c r="F79" s="2855">
        <v>20</v>
      </c>
    </row>
    <row r="80" spans="1:7" ht="24">
      <c r="A80" s="2855">
        <v>8</v>
      </c>
      <c r="B80" s="3459"/>
      <c r="C80" s="2829" t="s">
        <v>2664</v>
      </c>
      <c r="D80" s="2829" t="s">
        <v>2665</v>
      </c>
      <c r="E80" s="2855">
        <v>0.1</v>
      </c>
      <c r="F80" s="2855">
        <v>15</v>
      </c>
    </row>
    <row r="81" spans="1:6" ht="24">
      <c r="A81" s="2855">
        <v>9</v>
      </c>
      <c r="B81" s="3459"/>
      <c r="C81" s="2829" t="s">
        <v>2666</v>
      </c>
      <c r="D81" s="2829" t="s">
        <v>2667</v>
      </c>
      <c r="E81" s="2855">
        <v>0.1</v>
      </c>
      <c r="F81" s="2855">
        <v>15</v>
      </c>
    </row>
    <row r="82" spans="1:6" ht="24">
      <c r="A82" s="2855">
        <v>10</v>
      </c>
      <c r="B82" s="3459"/>
      <c r="C82" s="2829" t="s">
        <v>2668</v>
      </c>
      <c r="D82" s="2829" t="s">
        <v>2669</v>
      </c>
      <c r="E82" s="2855">
        <v>0.1</v>
      </c>
      <c r="F82" s="2855">
        <v>15</v>
      </c>
    </row>
    <row r="83" spans="1:6" ht="24">
      <c r="A83" s="2855">
        <v>11</v>
      </c>
      <c r="B83" s="3459"/>
      <c r="C83" s="2829" t="s">
        <v>2670</v>
      </c>
      <c r="D83" s="2829" t="s">
        <v>2671</v>
      </c>
      <c r="E83" s="2855">
        <v>0.1</v>
      </c>
      <c r="F83" s="2855">
        <v>15</v>
      </c>
    </row>
    <row r="84" spans="1:6" ht="24">
      <c r="A84" s="2855">
        <v>12</v>
      </c>
      <c r="B84" s="3459"/>
      <c r="C84" s="2829" t="s">
        <v>2672</v>
      </c>
      <c r="D84" s="2829" t="s">
        <v>2673</v>
      </c>
      <c r="E84" s="2855">
        <v>0.1</v>
      </c>
      <c r="F84" s="2855">
        <v>15</v>
      </c>
    </row>
    <row r="85" spans="1:6" ht="13.5">
      <c r="A85" s="2855">
        <v>13</v>
      </c>
      <c r="B85" s="3459"/>
      <c r="C85" s="2829" t="s">
        <v>2674</v>
      </c>
      <c r="D85" s="2829" t="s">
        <v>2675</v>
      </c>
      <c r="E85" s="2855">
        <v>0.1</v>
      </c>
      <c r="F85" s="2855">
        <v>15</v>
      </c>
    </row>
    <row r="86" spans="1:6" ht="13.5">
      <c r="A86" s="2855">
        <v>14</v>
      </c>
      <c r="B86" s="3459"/>
      <c r="C86" s="2829" t="s">
        <v>2676</v>
      </c>
      <c r="D86" s="2829" t="s">
        <v>2677</v>
      </c>
      <c r="E86" s="2855">
        <v>0.1</v>
      </c>
      <c r="F86" s="2855">
        <v>15</v>
      </c>
    </row>
    <row r="87" spans="1:6" ht="13.5">
      <c r="A87" s="2855">
        <v>15</v>
      </c>
      <c r="B87" s="3459"/>
      <c r="C87" s="2829" t="s">
        <v>2678</v>
      </c>
      <c r="D87" s="2829" t="s">
        <v>2679</v>
      </c>
      <c r="E87" s="2855">
        <v>0.1</v>
      </c>
      <c r="F87" s="2855">
        <v>15</v>
      </c>
    </row>
    <row r="88" spans="1:6" ht="24">
      <c r="A88" s="2855">
        <v>16</v>
      </c>
      <c r="B88" s="3459"/>
      <c r="C88" s="2829" t="s">
        <v>2680</v>
      </c>
      <c r="D88" s="2829" t="s">
        <v>2681</v>
      </c>
      <c r="E88" s="2855">
        <v>0.1</v>
      </c>
      <c r="F88" s="2855">
        <v>15</v>
      </c>
    </row>
    <row r="89" spans="1:6" ht="24">
      <c r="A89" s="2855">
        <v>17</v>
      </c>
      <c r="B89" s="3458"/>
      <c r="C89" s="2829" t="s">
        <v>2682</v>
      </c>
      <c r="D89" s="2829" t="s">
        <v>2683</v>
      </c>
      <c r="E89" s="2855">
        <v>0.1</v>
      </c>
      <c r="F89" s="2855">
        <v>15</v>
      </c>
    </row>
    <row r="90" spans="1:6" ht="13.5">
      <c r="A90" s="2855">
        <v>18</v>
      </c>
      <c r="B90" s="3457" t="s">
        <v>2684</v>
      </c>
      <c r="C90" s="2829" t="s">
        <v>2685</v>
      </c>
      <c r="D90" s="2829" t="s">
        <v>2686</v>
      </c>
      <c r="E90" s="2855">
        <v>0.2</v>
      </c>
      <c r="F90" s="2855">
        <v>25</v>
      </c>
    </row>
    <row r="91" spans="1:6" ht="24">
      <c r="A91" s="2855">
        <v>19</v>
      </c>
      <c r="B91" s="3459"/>
      <c r="C91" s="2829" t="s">
        <v>2687</v>
      </c>
      <c r="D91" s="2829" t="s">
        <v>2688</v>
      </c>
      <c r="E91" s="2855">
        <v>0.2</v>
      </c>
      <c r="F91" s="2855">
        <v>25</v>
      </c>
    </row>
    <row r="92" spans="1:6" ht="13.5">
      <c r="A92" s="2855">
        <v>20</v>
      </c>
      <c r="B92" s="3459"/>
      <c r="C92" s="2829" t="s">
        <v>2689</v>
      </c>
      <c r="D92" s="2829" t="s">
        <v>2690</v>
      </c>
      <c r="E92" s="2855">
        <v>0.15</v>
      </c>
      <c r="F92" s="2855">
        <v>20</v>
      </c>
    </row>
    <row r="93" spans="1:6" ht="13.5">
      <c r="A93" s="2855">
        <v>21</v>
      </c>
      <c r="B93" s="3459"/>
      <c r="C93" s="2829" t="s">
        <v>2691</v>
      </c>
      <c r="D93" s="2829" t="s">
        <v>2692</v>
      </c>
      <c r="E93" s="2855">
        <v>0.15</v>
      </c>
      <c r="F93" s="2855">
        <v>20</v>
      </c>
    </row>
    <row r="94" spans="1:6" ht="13.5">
      <c r="A94" s="2855">
        <v>22</v>
      </c>
      <c r="B94" s="3459"/>
      <c r="C94" s="2829" t="s">
        <v>2693</v>
      </c>
      <c r="D94" s="2829" t="s">
        <v>2694</v>
      </c>
      <c r="E94" s="2855">
        <v>0.15</v>
      </c>
      <c r="F94" s="2855">
        <v>20</v>
      </c>
    </row>
    <row r="95" spans="1:6" ht="36">
      <c r="A95" s="2855">
        <v>23</v>
      </c>
      <c r="B95" s="3459"/>
      <c r="C95" s="2829" t="s">
        <v>2695</v>
      </c>
      <c r="D95" s="2829" t="s">
        <v>2696</v>
      </c>
      <c r="E95" s="2855">
        <v>0.15</v>
      </c>
      <c r="F95" s="2855">
        <v>20</v>
      </c>
    </row>
    <row r="96" spans="1:6" ht="13.5">
      <c r="A96" s="2855">
        <v>24</v>
      </c>
      <c r="B96" s="3459"/>
      <c r="C96" s="2829" t="s">
        <v>2697</v>
      </c>
      <c r="D96" s="2829" t="s">
        <v>2698</v>
      </c>
      <c r="E96" s="2855">
        <v>0.1</v>
      </c>
      <c r="F96" s="2855">
        <v>15</v>
      </c>
    </row>
    <row r="97" spans="1:6" ht="13.5">
      <c r="A97" s="2855">
        <v>25</v>
      </c>
      <c r="B97" s="3459"/>
      <c r="C97" s="2829" t="s">
        <v>2699</v>
      </c>
      <c r="D97" s="2829" t="s">
        <v>2700</v>
      </c>
      <c r="E97" s="2855">
        <v>0.1</v>
      </c>
      <c r="F97" s="2855">
        <v>15</v>
      </c>
    </row>
    <row r="98" spans="1:6" ht="24">
      <c r="A98" s="2855">
        <v>26</v>
      </c>
      <c r="B98" s="3459"/>
      <c r="C98" s="2829" t="s">
        <v>2701</v>
      </c>
      <c r="D98" s="2829" t="s">
        <v>2702</v>
      </c>
      <c r="E98" s="2855">
        <v>0.1</v>
      </c>
      <c r="F98" s="2855">
        <v>15</v>
      </c>
    </row>
    <row r="99" spans="1:6" ht="24">
      <c r="A99" s="2855">
        <v>27</v>
      </c>
      <c r="B99" s="3459"/>
      <c r="C99" s="2829" t="s">
        <v>2703</v>
      </c>
      <c r="D99" s="2829" t="s">
        <v>2704</v>
      </c>
      <c r="E99" s="2855">
        <v>0.1</v>
      </c>
      <c r="F99" s="2855">
        <v>15</v>
      </c>
    </row>
    <row r="100" spans="1:6" ht="13.5">
      <c r="A100" s="2855">
        <v>28</v>
      </c>
      <c r="B100" s="3459"/>
      <c r="C100" s="2829" t="s">
        <v>2705</v>
      </c>
      <c r="D100" s="2829" t="s">
        <v>2706</v>
      </c>
      <c r="E100" s="2855">
        <v>0.1</v>
      </c>
      <c r="F100" s="2855">
        <v>15</v>
      </c>
    </row>
    <row r="101" spans="1:6" ht="13.5">
      <c r="A101" s="2855">
        <v>29</v>
      </c>
      <c r="B101" s="3459"/>
      <c r="C101" s="2829" t="s">
        <v>2707</v>
      </c>
      <c r="D101" s="2829" t="s">
        <v>2708</v>
      </c>
      <c r="E101" s="2855">
        <v>0.1</v>
      </c>
      <c r="F101" s="2855">
        <v>15</v>
      </c>
    </row>
    <row r="102" spans="1:6" ht="13.5">
      <c r="A102" s="2855">
        <v>30</v>
      </c>
      <c r="B102" s="3459"/>
      <c r="C102" s="2829" t="s">
        <v>2709</v>
      </c>
      <c r="D102" s="2829" t="s">
        <v>2710</v>
      </c>
      <c r="E102" s="2855">
        <v>0.1</v>
      </c>
      <c r="F102" s="2855">
        <v>15</v>
      </c>
    </row>
    <row r="103" spans="1:6" ht="24">
      <c r="A103" s="2855">
        <v>31</v>
      </c>
      <c r="B103" s="3459"/>
      <c r="C103" s="2829" t="s">
        <v>2711</v>
      </c>
      <c r="D103" s="2829" t="s">
        <v>2712</v>
      </c>
      <c r="E103" s="2855">
        <v>0.1</v>
      </c>
      <c r="F103" s="2855">
        <v>15</v>
      </c>
    </row>
    <row r="104" spans="1:6" ht="24">
      <c r="A104" s="2855">
        <v>32</v>
      </c>
      <c r="B104" s="3459"/>
      <c r="C104" s="2829" t="s">
        <v>2713</v>
      </c>
      <c r="D104" s="2829" t="s">
        <v>2714</v>
      </c>
      <c r="E104" s="2855">
        <v>0.1</v>
      </c>
      <c r="F104" s="2855">
        <v>15</v>
      </c>
    </row>
    <row r="105" spans="1:6" ht="24">
      <c r="A105" s="2855">
        <v>33</v>
      </c>
      <c r="B105" s="3459"/>
      <c r="C105" s="2829" t="s">
        <v>2715</v>
      </c>
      <c r="D105" s="2829" t="s">
        <v>2716</v>
      </c>
      <c r="E105" s="2855">
        <v>0.1</v>
      </c>
      <c r="F105" s="2855">
        <v>15</v>
      </c>
    </row>
    <row r="106" spans="1:6" ht="24">
      <c r="A106" s="2855">
        <v>34</v>
      </c>
      <c r="B106" s="3458"/>
      <c r="C106" s="2829" t="s">
        <v>2717</v>
      </c>
      <c r="D106" s="2829" t="s">
        <v>2718</v>
      </c>
      <c r="E106" s="2855">
        <v>0.1</v>
      </c>
      <c r="F106" s="2855">
        <v>15</v>
      </c>
    </row>
    <row r="107" spans="1:6" ht="24">
      <c r="A107" s="2855">
        <v>35</v>
      </c>
      <c r="B107" s="3457" t="s">
        <v>2719</v>
      </c>
      <c r="C107" s="2855" t="s">
        <v>2720</v>
      </c>
      <c r="D107" s="2829" t="s">
        <v>2721</v>
      </c>
      <c r="E107" s="2855">
        <v>0.15</v>
      </c>
      <c r="F107" s="2855">
        <v>20</v>
      </c>
    </row>
    <row r="108" spans="1:6" ht="13.5">
      <c r="A108" s="2855">
        <v>36</v>
      </c>
      <c r="B108" s="3459"/>
      <c r="C108" s="2855" t="s">
        <v>2722</v>
      </c>
      <c r="D108" s="2829" t="s">
        <v>2723</v>
      </c>
      <c r="E108" s="2855">
        <v>0.15</v>
      </c>
      <c r="F108" s="2855">
        <v>20</v>
      </c>
    </row>
    <row r="109" spans="1:6" ht="13.5">
      <c r="A109" s="2855">
        <v>37</v>
      </c>
      <c r="B109" s="3459"/>
      <c r="C109" s="2855" t="s">
        <v>2724</v>
      </c>
      <c r="D109" s="2829" t="s">
        <v>2725</v>
      </c>
      <c r="E109" s="2855">
        <v>0.15</v>
      </c>
      <c r="F109" s="2855">
        <v>20</v>
      </c>
    </row>
    <row r="110" spans="1:6" ht="13.5">
      <c r="A110" s="2855">
        <v>38</v>
      </c>
      <c r="B110" s="3459"/>
      <c r="C110" s="2855" t="s">
        <v>2726</v>
      </c>
      <c r="D110" s="2829" t="s">
        <v>2727</v>
      </c>
      <c r="E110" s="2855">
        <v>0.1</v>
      </c>
      <c r="F110" s="2855">
        <v>15</v>
      </c>
    </row>
    <row r="111" spans="1:6" ht="24">
      <c r="A111" s="2855">
        <v>39</v>
      </c>
      <c r="B111" s="3459"/>
      <c r="C111" s="2855" t="s">
        <v>2728</v>
      </c>
      <c r="D111" s="2829" t="s">
        <v>2729</v>
      </c>
      <c r="E111" s="2855">
        <v>0.1</v>
      </c>
      <c r="F111" s="2855">
        <v>15</v>
      </c>
    </row>
    <row r="112" spans="1:6" ht="24">
      <c r="A112" s="2855">
        <v>40</v>
      </c>
      <c r="B112" s="3458"/>
      <c r="C112" s="2855" t="s">
        <v>2730</v>
      </c>
      <c r="D112" s="2829" t="s">
        <v>2731</v>
      </c>
      <c r="E112" s="2855">
        <v>0.1</v>
      </c>
      <c r="F112" s="2855">
        <v>15</v>
      </c>
    </row>
    <row r="113" spans="1:6" ht="13.5">
      <c r="A113" s="2855">
        <v>41</v>
      </c>
      <c r="B113" s="3456" t="s">
        <v>2732</v>
      </c>
      <c r="C113" s="2855" t="s">
        <v>2733</v>
      </c>
      <c r="D113" s="2829" t="s">
        <v>2734</v>
      </c>
      <c r="E113" s="2855">
        <v>0.1</v>
      </c>
      <c r="F113" s="2855">
        <v>15</v>
      </c>
    </row>
    <row r="114" spans="1:6" ht="13.5">
      <c r="A114" s="2855">
        <v>42</v>
      </c>
      <c r="B114" s="3456"/>
      <c r="C114" s="2855" t="s">
        <v>2735</v>
      </c>
      <c r="D114" s="2829" t="s">
        <v>2736</v>
      </c>
      <c r="E114" s="2855">
        <v>0.1</v>
      </c>
      <c r="F114" s="2855">
        <v>15</v>
      </c>
    </row>
    <row r="115" spans="1:6" ht="24">
      <c r="A115" s="2855">
        <v>43</v>
      </c>
      <c r="B115" s="3456"/>
      <c r="C115" s="2855" t="s">
        <v>2737</v>
      </c>
      <c r="D115" s="2829" t="s">
        <v>2738</v>
      </c>
      <c r="E115" s="2855">
        <v>0.1</v>
      </c>
      <c r="F115" s="2855">
        <v>15</v>
      </c>
    </row>
    <row r="116" spans="1:6" ht="13.5">
      <c r="A116" s="2855">
        <v>44</v>
      </c>
      <c r="B116" s="3457" t="s">
        <v>2739</v>
      </c>
      <c r="C116" s="2855" t="s">
        <v>2740</v>
      </c>
      <c r="D116" s="2829" t="s">
        <v>2741</v>
      </c>
      <c r="E116" s="2855">
        <v>0.1</v>
      </c>
      <c r="F116" s="2855">
        <v>15</v>
      </c>
    </row>
    <row r="117" spans="1:6" ht="24">
      <c r="A117" s="2855">
        <v>45</v>
      </c>
      <c r="B117" s="3458"/>
      <c r="C117" s="2829" t="s">
        <v>2742</v>
      </c>
      <c r="D117" s="2829" t="s">
        <v>2743</v>
      </c>
      <c r="E117" s="2855">
        <v>0.1</v>
      </c>
      <c r="F117" s="2855">
        <v>15</v>
      </c>
    </row>
    <row r="118" spans="1:6" ht="24">
      <c r="A118" s="2855">
        <v>46</v>
      </c>
      <c r="B118" s="3457" t="s">
        <v>2744</v>
      </c>
      <c r="C118" s="2855" t="s">
        <v>2745</v>
      </c>
      <c r="D118" s="2829" t="s">
        <v>2746</v>
      </c>
      <c r="E118" s="2855">
        <v>0.1</v>
      </c>
      <c r="F118" s="2855">
        <v>15</v>
      </c>
    </row>
    <row r="119" spans="1:6" ht="24">
      <c r="A119" s="2855">
        <v>47</v>
      </c>
      <c r="B119" s="3458"/>
      <c r="C119" s="2855" t="s">
        <v>2747</v>
      </c>
      <c r="D119" s="2829" t="s">
        <v>2748</v>
      </c>
      <c r="E119" s="2855">
        <v>0.1</v>
      </c>
      <c r="F119" s="2855">
        <v>15</v>
      </c>
    </row>
    <row r="120" spans="1:6" ht="13.5">
      <c r="A120" s="2855">
        <v>48</v>
      </c>
      <c r="B120" s="3457" t="s">
        <v>2749</v>
      </c>
      <c r="C120" s="2855" t="s">
        <v>2750</v>
      </c>
      <c r="D120" s="2829" t="s">
        <v>2751</v>
      </c>
      <c r="E120" s="2855">
        <v>0.1</v>
      </c>
      <c r="F120" s="2855">
        <v>15</v>
      </c>
    </row>
    <row r="121" spans="1:6" ht="13.5">
      <c r="A121" s="2855">
        <v>49</v>
      </c>
      <c r="B121" s="3458"/>
      <c r="C121" s="2855" t="s">
        <v>2752</v>
      </c>
      <c r="D121" s="2829" t="s">
        <v>2753</v>
      </c>
      <c r="E121" s="2855">
        <v>0.1</v>
      </c>
      <c r="F121" s="2855">
        <v>15</v>
      </c>
    </row>
    <row r="122" spans="1:6" ht="24">
      <c r="A122" s="2855">
        <v>50</v>
      </c>
      <c r="B122" s="3456" t="s">
        <v>2754</v>
      </c>
      <c r="C122" s="2855" t="s">
        <v>2755</v>
      </c>
      <c r="D122" s="2829" t="s">
        <v>2756</v>
      </c>
      <c r="E122" s="2855">
        <v>0.1</v>
      </c>
      <c r="F122" s="2855">
        <v>15</v>
      </c>
    </row>
    <row r="123" spans="1:6" ht="24">
      <c r="A123" s="2855">
        <v>51</v>
      </c>
      <c r="B123" s="3456"/>
      <c r="C123" s="2855" t="s">
        <v>2757</v>
      </c>
      <c r="D123" s="2829" t="s">
        <v>2758</v>
      </c>
      <c r="E123" s="2855">
        <v>0.1</v>
      </c>
      <c r="F123" s="2855">
        <v>15</v>
      </c>
    </row>
    <row r="124" spans="1:6" ht="24">
      <c r="A124" s="2855">
        <v>52</v>
      </c>
      <c r="B124" s="3456" t="s">
        <v>2759</v>
      </c>
      <c r="C124" s="2855" t="s">
        <v>2760</v>
      </c>
      <c r="D124" s="2829" t="s">
        <v>2761</v>
      </c>
      <c r="E124" s="2855">
        <v>0.1</v>
      </c>
      <c r="F124" s="2855">
        <v>15</v>
      </c>
    </row>
    <row r="125" spans="1:6" ht="24">
      <c r="A125" s="2855">
        <v>53</v>
      </c>
      <c r="B125" s="3456"/>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56" t="s">
        <v>2767</v>
      </c>
      <c r="C127" s="2855" t="s">
        <v>2768</v>
      </c>
      <c r="D127" s="2829" t="s">
        <v>2769</v>
      </c>
      <c r="E127" s="2855">
        <v>0.1</v>
      </c>
      <c r="F127" s="2855">
        <v>15</v>
      </c>
    </row>
    <row r="128" spans="1:6" ht="13.5">
      <c r="A128" s="2855">
        <v>56</v>
      </c>
      <c r="B128" s="3456"/>
      <c r="C128" s="2855" t="s">
        <v>2770</v>
      </c>
      <c r="D128" s="2829" t="s">
        <v>2771</v>
      </c>
      <c r="E128" s="2855">
        <v>0.1</v>
      </c>
      <c r="F128" s="2855">
        <v>15</v>
      </c>
    </row>
    <row r="129" spans="1:6" ht="24">
      <c r="A129" s="2855">
        <v>57</v>
      </c>
      <c r="B129" s="3456"/>
      <c r="C129" s="2855" t="s">
        <v>2772</v>
      </c>
      <c r="D129" s="2829" t="s">
        <v>2773</v>
      </c>
      <c r="E129" s="2855">
        <v>0.1</v>
      </c>
      <c r="F129" s="2855">
        <v>15</v>
      </c>
    </row>
    <row r="130" spans="1:6" ht="24">
      <c r="A130" s="2855">
        <v>58</v>
      </c>
      <c r="B130" s="3456" t="s">
        <v>2774</v>
      </c>
      <c r="C130" s="2855" t="s">
        <v>2775</v>
      </c>
      <c r="D130" s="2829" t="s">
        <v>2776</v>
      </c>
      <c r="E130" s="2855">
        <v>0.1</v>
      </c>
      <c r="F130" s="2855">
        <v>15</v>
      </c>
    </row>
    <row r="131" spans="1:6" ht="13.5">
      <c r="A131" s="2855">
        <v>59</v>
      </c>
      <c r="B131" s="3456"/>
      <c r="C131" s="2855" t="s">
        <v>2777</v>
      </c>
      <c r="D131" s="2829" t="s">
        <v>2778</v>
      </c>
      <c r="E131" s="2855">
        <v>0.1</v>
      </c>
      <c r="F131" s="2855">
        <v>15</v>
      </c>
    </row>
    <row r="132" spans="1:6" ht="13.5">
      <c r="A132" s="2855">
        <v>60</v>
      </c>
      <c r="B132" s="3457" t="s">
        <v>2779</v>
      </c>
      <c r="C132" s="2855" t="s">
        <v>2780</v>
      </c>
      <c r="D132" s="2829" t="s">
        <v>2781</v>
      </c>
      <c r="E132" s="2855">
        <v>0.1</v>
      </c>
      <c r="F132" s="2855">
        <v>15</v>
      </c>
    </row>
    <row r="133" spans="1:6" ht="13.5">
      <c r="A133" s="2855">
        <v>61</v>
      </c>
      <c r="B133" s="3458"/>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56" t="s">
        <v>2787</v>
      </c>
      <c r="C135" s="2855" t="s">
        <v>2788</v>
      </c>
      <c r="D135" s="2829" t="s">
        <v>2789</v>
      </c>
      <c r="E135" s="2855">
        <v>0.1</v>
      </c>
      <c r="F135" s="2855">
        <v>15</v>
      </c>
    </row>
    <row r="136" spans="1:6" ht="13.5">
      <c r="A136" s="2855">
        <v>64</v>
      </c>
      <c r="B136" s="3456"/>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36534</v>
      </c>
      <c r="C2" s="2" t="s">
        <v>106</v>
      </c>
      <c r="D2" s="191"/>
      <c r="E2" s="191"/>
      <c r="F2" s="191"/>
      <c r="G2" s="191"/>
    </row>
    <row r="3" spans="1:7" s="192" customFormat="1" ht="18" customHeight="1" thickBot="1">
      <c r="A3" s="195" t="s">
        <v>58</v>
      </c>
      <c r="B3" s="196">
        <f ca="1">ROUND(B2*10000/'数据-汇总表'!E3,0)</f>
        <v>40432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325</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181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92" t="s">
        <v>94</v>
      </c>
    </row>
    <row r="43" spans="1:7" ht="13.5" customHeight="1">
      <c r="A43" s="734" t="s">
        <v>347</v>
      </c>
      <c r="B43" s="207" t="s">
        <v>426</v>
      </c>
      <c r="C43" s="230">
        <f ca="1">ROUND(IF('数据-取费表'!B22&lt;=1,C39*F22*'数据-取费表'!B21/2,C39*(POWER((1+F22),'数据-取费表'!B21/2)-1)),0)</f>
        <v>5</v>
      </c>
      <c r="D43" s="230"/>
      <c r="E43" s="230"/>
      <c r="F43" s="231"/>
      <c r="G43" s="3393"/>
    </row>
    <row r="44" spans="1:7" ht="13.5" customHeight="1">
      <c r="A44" s="734" t="s">
        <v>348</v>
      </c>
      <c r="B44" s="207" t="s">
        <v>428</v>
      </c>
      <c r="C44" s="230">
        <f ca="1">ROUND(IF('数据-取费表'!B22&lt;=1,C40*F22*'数据-取费表'!B21/2,C40*(POWER((1+F22),'数据-取费表'!B21/2)-1)),4)</f>
        <v>8.0000000000000004E-4</v>
      </c>
      <c r="D44" s="230"/>
      <c r="E44" s="230"/>
      <c r="F44" s="231"/>
      <c r="G44" s="3394"/>
    </row>
    <row r="45" spans="1:7" s="206" customFormat="1" ht="13.5" customHeight="1">
      <c r="A45" s="731" t="s">
        <v>341</v>
      </c>
      <c r="B45" s="236" t="s">
        <v>85</v>
      </c>
      <c r="C45" s="237">
        <f>C46</f>
        <v>1243</v>
      </c>
      <c r="D45" s="227">
        <f>C47</f>
        <v>6.0000000000000001E-3</v>
      </c>
      <c r="E45" s="228" t="s">
        <v>102</v>
      </c>
      <c r="F45" s="238"/>
      <c r="G45" s="239" t="s">
        <v>434</v>
      </c>
    </row>
    <row r="46" spans="1:7" s="206" customFormat="1" ht="13.5" customHeight="1">
      <c r="A46" s="734" t="s">
        <v>349</v>
      </c>
      <c r="B46" s="240" t="s">
        <v>427</v>
      </c>
      <c r="C46" s="241">
        <f>ROUND((C33+C39)*F27,0)</f>
        <v>1243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8370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7115</v>
      </c>
      <c r="D51" s="224"/>
      <c r="E51" s="224"/>
      <c r="F51" s="256"/>
      <c r="G51" s="226" t="s">
        <v>37</v>
      </c>
    </row>
    <row r="52" spans="1:7" s="200" customFormat="1" ht="16.5" thickBot="1">
      <c r="A52" s="257" t="s">
        <v>38</v>
      </c>
      <c r="B52" s="258"/>
      <c r="C52" s="259">
        <f ca="1">C31+C51</f>
        <v>36534</v>
      </c>
      <c r="D52" s="258"/>
      <c r="E52" s="258"/>
      <c r="F52" s="258"/>
      <c r="G52" s="260"/>
    </row>
    <row r="55" spans="1:7" ht="15">
      <c r="B55" s="262" t="s">
        <v>39</v>
      </c>
      <c r="C55" s="263"/>
    </row>
    <row r="56" spans="1:7">
      <c r="B56" s="265" t="s">
        <v>40</v>
      </c>
      <c r="C56" s="266">
        <f ca="1">ROUND(C51/C52,3)</f>
        <v>0.19500000000000001</v>
      </c>
    </row>
    <row r="57" spans="1:7">
      <c r="B57" s="265" t="s">
        <v>41</v>
      </c>
      <c r="C57" s="267">
        <f ca="1">1-C56</f>
        <v>0.80499999999999994</v>
      </c>
    </row>
  </sheetData>
  <mergeCells count="1">
    <mergeCell ref="G42:G44"/>
  </mergeCells>
  <phoneticPr fontId="18" type="noConversion"/>
  <dataValidations count="2">
    <dataValidation type="list" allowBlank="1" showInputMessage="1" showErrorMessage="1" sqref="G19" xr:uid="{00000000-0002-0000-2300-000000000000}">
      <formula1>"已包含在土地取得成本中,未包含在土地取得成本中"</formula1>
    </dataValidation>
    <dataValidation type="list" allowBlank="1" showInputMessage="1" showErrorMessage="1" sqref="G8" xr:uid="{00000000-0002-0000-2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I4"/>
  <sheetViews>
    <sheetView workbookViewId="0">
      <selection activeCell="AQ14" sqref="AQ14"/>
    </sheetView>
  </sheetViews>
  <sheetFormatPr defaultColWidth="9" defaultRowHeight="12.75"/>
  <cols>
    <col min="1" max="1" width="9" style="3156"/>
    <col min="2" max="8" width="0" style="3156" hidden="1" customWidth="1"/>
    <col min="9" max="10" width="9.125" style="3156" bestFit="1" customWidth="1"/>
    <col min="11" max="14" width="0" style="3156" hidden="1" customWidth="1"/>
    <col min="15" max="18" width="9" style="3156"/>
    <col min="19" max="19" width="9.125" style="3156" bestFit="1" customWidth="1"/>
    <col min="20" max="20" width="9.125" style="3156" hidden="1" customWidth="1"/>
    <col min="21" max="29" width="0" style="3156" hidden="1" customWidth="1"/>
    <col min="30" max="32" width="11.625" style="3156" hidden="1" customWidth="1"/>
    <col min="33" max="33" width="11.625" style="3156" bestFit="1" customWidth="1"/>
    <col min="34" max="36" width="9" style="3156"/>
    <col min="37" max="39" width="0" style="3156" hidden="1" customWidth="1"/>
    <col min="40" max="41" width="9.125" style="3156" hidden="1" customWidth="1"/>
    <col min="42" max="42" width="0" style="3156" hidden="1" customWidth="1"/>
    <col min="43" max="43" width="9.125" style="3156" bestFit="1" customWidth="1"/>
    <col min="44" max="48" width="9.125" style="3156" hidden="1" customWidth="1"/>
    <col min="49" max="49" width="9.125" style="3156" bestFit="1" customWidth="1"/>
    <col min="50" max="51" width="0" style="3156" hidden="1" customWidth="1"/>
    <col min="52" max="52" width="9.125" style="3156" bestFit="1" customWidth="1"/>
    <col min="53" max="54" width="9" style="3156"/>
    <col min="55" max="55" width="9.125" style="3156" bestFit="1" customWidth="1"/>
    <col min="56" max="16384" width="9" style="3156"/>
  </cols>
  <sheetData>
    <row r="1" spans="1:61" s="3154" customFormat="1" ht="15">
      <c r="A1" s="3154" t="s">
        <v>3424</v>
      </c>
      <c r="B1" s="3154" t="s">
        <v>3425</v>
      </c>
      <c r="C1" s="3154" t="s">
        <v>3426</v>
      </c>
      <c r="D1" s="3154" t="s">
        <v>3427</v>
      </c>
      <c r="E1" s="3154" t="s">
        <v>3428</v>
      </c>
      <c r="F1" s="3154" t="s">
        <v>3429</v>
      </c>
      <c r="G1" s="3154" t="s">
        <v>3430</v>
      </c>
      <c r="H1" s="3154" t="s">
        <v>3431</v>
      </c>
      <c r="I1" s="3154" t="s">
        <v>3432</v>
      </c>
      <c r="J1" s="3154" t="s">
        <v>3433</v>
      </c>
      <c r="K1" s="3154" t="s">
        <v>3434</v>
      </c>
      <c r="L1" s="3154" t="s">
        <v>3435</v>
      </c>
      <c r="M1" s="3154" t="s">
        <v>3436</v>
      </c>
      <c r="N1" s="3154" t="s">
        <v>3437</v>
      </c>
      <c r="O1" s="3154" t="s">
        <v>3438</v>
      </c>
      <c r="P1" s="3154" t="s">
        <v>3439</v>
      </c>
      <c r="Q1" s="3154" t="s">
        <v>3440</v>
      </c>
      <c r="R1" s="3154" t="s">
        <v>3441</v>
      </c>
      <c r="S1" s="3154" t="s">
        <v>3442</v>
      </c>
      <c r="T1" s="3154" t="s">
        <v>3443</v>
      </c>
      <c r="U1" s="3154" t="s">
        <v>3444</v>
      </c>
      <c r="V1" s="3154" t="s">
        <v>3445</v>
      </c>
      <c r="W1" s="3154" t="s">
        <v>3446</v>
      </c>
      <c r="X1" s="3154" t="s">
        <v>3447</v>
      </c>
      <c r="Y1" s="3154" t="s">
        <v>3448</v>
      </c>
      <c r="Z1" s="3154" t="s">
        <v>3449</v>
      </c>
      <c r="AA1" s="3154" t="s">
        <v>3450</v>
      </c>
      <c r="AB1" s="3154" t="s">
        <v>3451</v>
      </c>
      <c r="AC1" s="3154" t="s">
        <v>3452</v>
      </c>
      <c r="AD1" s="3154" t="s">
        <v>3453</v>
      </c>
      <c r="AE1" s="3154" t="s">
        <v>3454</v>
      </c>
      <c r="AF1" s="3154" t="s">
        <v>3455</v>
      </c>
      <c r="AG1" s="3154" t="s">
        <v>3456</v>
      </c>
      <c r="AH1" s="3154" t="s">
        <v>3457</v>
      </c>
      <c r="AI1" s="3154" t="s">
        <v>3458</v>
      </c>
      <c r="AJ1" s="3154" t="s">
        <v>3459</v>
      </c>
      <c r="AK1" s="3154" t="s">
        <v>3460</v>
      </c>
      <c r="AL1" s="3154" t="s">
        <v>3461</v>
      </c>
      <c r="AM1" s="3154" t="s">
        <v>3462</v>
      </c>
      <c r="AN1" s="3154" t="s">
        <v>3463</v>
      </c>
      <c r="AO1" s="3154" t="s">
        <v>3464</v>
      </c>
      <c r="AP1" s="3154" t="s">
        <v>3465</v>
      </c>
      <c r="AQ1" s="3154" t="s">
        <v>3466</v>
      </c>
      <c r="AR1" s="3154" t="s">
        <v>3467</v>
      </c>
      <c r="AS1" s="3154" t="s">
        <v>3468</v>
      </c>
      <c r="AT1" s="3154" t="s">
        <v>3469</v>
      </c>
      <c r="AU1" s="3154" t="s">
        <v>3470</v>
      </c>
      <c r="AV1" s="3154" t="s">
        <v>3471</v>
      </c>
      <c r="AW1" s="3154" t="s">
        <v>3472</v>
      </c>
      <c r="AX1" s="3154" t="s">
        <v>3473</v>
      </c>
      <c r="AY1" s="3154" t="s">
        <v>3474</v>
      </c>
      <c r="AZ1" s="3154" t="s">
        <v>3475</v>
      </c>
      <c r="BA1" s="3154" t="s">
        <v>3476</v>
      </c>
      <c r="BB1" s="3154" t="s">
        <v>3477</v>
      </c>
      <c r="BC1" s="3154" t="s">
        <v>3478</v>
      </c>
      <c r="BD1" s="3154" t="s">
        <v>3479</v>
      </c>
      <c r="BE1" s="3154" t="s">
        <v>3480</v>
      </c>
      <c r="BF1" s="3154" t="s">
        <v>3481</v>
      </c>
      <c r="BG1" s="3154" t="s">
        <v>3482</v>
      </c>
      <c r="BH1" s="3154" t="s">
        <v>3483</v>
      </c>
      <c r="BI1" s="3154" t="s">
        <v>3484</v>
      </c>
    </row>
    <row r="2" spans="1:61" s="3154" customFormat="1" ht="15">
      <c r="A2" s="3154" t="s">
        <v>3485</v>
      </c>
      <c r="B2" s="3154" t="s">
        <v>3486</v>
      </c>
      <c r="C2" s="3154" t="s">
        <v>3487</v>
      </c>
      <c r="D2" s="3154" t="s">
        <v>3488</v>
      </c>
      <c r="E2" s="3154" t="s">
        <v>3489</v>
      </c>
      <c r="F2" s="3154" t="s">
        <v>3490</v>
      </c>
      <c r="G2" s="3154" t="s">
        <v>3491</v>
      </c>
      <c r="H2" s="3154" t="s">
        <v>3492</v>
      </c>
      <c r="I2" s="3154">
        <v>7467</v>
      </c>
      <c r="J2" s="3154">
        <v>52000</v>
      </c>
      <c r="K2" s="3154" t="s">
        <v>3493</v>
      </c>
      <c r="L2" s="3154" t="s">
        <v>3493</v>
      </c>
      <c r="M2" s="3154">
        <v>0</v>
      </c>
      <c r="N2" s="3154">
        <v>0</v>
      </c>
      <c r="O2" s="3154" t="s">
        <v>3494</v>
      </c>
      <c r="P2" s="3154" t="s">
        <v>3495</v>
      </c>
      <c r="Q2" s="3154" t="s">
        <v>3496</v>
      </c>
      <c r="R2" s="3154" t="s">
        <v>3497</v>
      </c>
      <c r="S2" s="3154" t="s">
        <v>3498</v>
      </c>
      <c r="T2" s="3154">
        <v>7</v>
      </c>
      <c r="U2" s="3154" t="s">
        <v>3493</v>
      </c>
      <c r="V2" s="3154" t="s">
        <v>3493</v>
      </c>
      <c r="W2" s="3154">
        <v>90</v>
      </c>
      <c r="X2" s="3154" t="s">
        <v>3499</v>
      </c>
      <c r="Y2" s="3154" t="s">
        <v>3500</v>
      </c>
      <c r="Z2" s="3154" t="s">
        <v>3493</v>
      </c>
      <c r="AA2" s="3154" t="s">
        <v>3493</v>
      </c>
      <c r="AB2" s="3154" t="s">
        <v>3493</v>
      </c>
      <c r="AC2" s="3154" t="s">
        <v>3493</v>
      </c>
      <c r="AD2" s="3155">
        <v>45254.000497685185</v>
      </c>
      <c r="AE2" s="3155">
        <v>45274.000497685185</v>
      </c>
      <c r="AF2" s="3155">
        <v>45288.000497685185</v>
      </c>
      <c r="AG2" s="3155">
        <v>45288.000497685185</v>
      </c>
      <c r="AH2" s="3154" t="s">
        <v>3501</v>
      </c>
      <c r="AI2" s="3154" t="s">
        <v>3502</v>
      </c>
      <c r="AJ2" s="3154" t="s">
        <v>3503</v>
      </c>
      <c r="AK2" s="3154" t="s">
        <v>3504</v>
      </c>
      <c r="AL2" s="3154" t="s">
        <v>3505</v>
      </c>
      <c r="AM2" s="3154" t="s">
        <v>3493</v>
      </c>
      <c r="AN2" s="3154">
        <v>118000</v>
      </c>
      <c r="AO2" s="3154">
        <v>24000</v>
      </c>
      <c r="AP2" s="3154" t="s">
        <v>3506</v>
      </c>
      <c r="AQ2" s="3154">
        <v>118000</v>
      </c>
      <c r="AR2" s="3154">
        <v>158028.66</v>
      </c>
      <c r="AS2" s="3154">
        <v>158028.66</v>
      </c>
      <c r="AT2" s="3154">
        <v>10535.24</v>
      </c>
      <c r="AU2" s="3154">
        <v>10535.24</v>
      </c>
      <c r="AV2" s="3154">
        <v>22692</v>
      </c>
      <c r="AW2" s="3154">
        <v>22692</v>
      </c>
      <c r="AX2" s="3154" t="s">
        <v>3493</v>
      </c>
      <c r="AY2" s="3154" t="s">
        <v>3493</v>
      </c>
      <c r="AZ2" s="3154">
        <v>0</v>
      </c>
      <c r="BA2" s="3154" t="s">
        <v>3493</v>
      </c>
      <c r="BB2" s="3154" t="s">
        <v>3493</v>
      </c>
      <c r="BC2" s="3154" t="s">
        <v>3493</v>
      </c>
      <c r="BD2" s="3154" t="s">
        <v>3493</v>
      </c>
      <c r="BE2" s="3154" t="s">
        <v>3493</v>
      </c>
      <c r="BF2" s="3154" t="s">
        <v>3493</v>
      </c>
      <c r="BG2" s="3154" t="s">
        <v>3493</v>
      </c>
      <c r="BH2" s="3154" t="s">
        <v>3507</v>
      </c>
      <c r="BI2" s="3154" t="s">
        <v>3508</v>
      </c>
    </row>
    <row r="3" spans="1:61" s="3154" customFormat="1" ht="15">
      <c r="A3" s="3154" t="s">
        <v>3509</v>
      </c>
      <c r="B3" s="3154" t="s">
        <v>3486</v>
      </c>
      <c r="C3" s="3154" t="s">
        <v>3487</v>
      </c>
      <c r="D3" s="3154" t="s">
        <v>3488</v>
      </c>
      <c r="E3" s="3154" t="s">
        <v>3489</v>
      </c>
      <c r="F3" s="3154" t="s">
        <v>3510</v>
      </c>
      <c r="G3" s="3154" t="s">
        <v>3511</v>
      </c>
      <c r="H3" s="3154" t="s">
        <v>3492</v>
      </c>
      <c r="I3" s="3154">
        <v>67829.210000000006</v>
      </c>
      <c r="J3" s="3154">
        <v>298100</v>
      </c>
      <c r="K3" s="3154" t="s">
        <v>3493</v>
      </c>
      <c r="L3" s="3154" t="s">
        <v>3493</v>
      </c>
      <c r="M3" s="3154">
        <v>0</v>
      </c>
      <c r="N3" s="3154">
        <v>0</v>
      </c>
      <c r="O3" s="3154" t="s">
        <v>3494</v>
      </c>
      <c r="P3" s="3154" t="s">
        <v>3512</v>
      </c>
      <c r="Q3" s="3154" t="s">
        <v>3513</v>
      </c>
      <c r="R3" s="3154" t="s">
        <v>3514</v>
      </c>
      <c r="S3" s="3154">
        <v>4.4000000000000004</v>
      </c>
      <c r="T3" s="3154">
        <v>4.4000000000000004</v>
      </c>
      <c r="U3" s="3154" t="s">
        <v>3493</v>
      </c>
      <c r="V3" s="3154" t="s">
        <v>3493</v>
      </c>
      <c r="W3" s="3154" t="s">
        <v>3493</v>
      </c>
      <c r="X3" s="3154" t="s">
        <v>3499</v>
      </c>
      <c r="Y3" s="3154" t="s">
        <v>3500</v>
      </c>
      <c r="Z3" s="3154" t="s">
        <v>3493</v>
      </c>
      <c r="AA3" s="3154" t="s">
        <v>3493</v>
      </c>
      <c r="AB3" s="3154" t="s">
        <v>3493</v>
      </c>
      <c r="AC3" s="3154" t="s">
        <v>3493</v>
      </c>
      <c r="AD3" s="3155">
        <v>45056.000497685185</v>
      </c>
      <c r="AE3" s="3155">
        <v>45076.000497685185</v>
      </c>
      <c r="AF3" s="3155">
        <v>45090.000497685185</v>
      </c>
      <c r="AG3" s="3155">
        <v>45090.000497685185</v>
      </c>
      <c r="AH3" s="3154" t="s">
        <v>3501</v>
      </c>
      <c r="AI3" s="3154" t="s">
        <v>3502</v>
      </c>
      <c r="AJ3" s="3154" t="s">
        <v>3515</v>
      </c>
      <c r="AK3" s="3154" t="s">
        <v>3516</v>
      </c>
      <c r="AL3" s="3154" t="s">
        <v>3517</v>
      </c>
      <c r="AM3" s="3154" t="s">
        <v>3518</v>
      </c>
      <c r="AN3" s="3154">
        <v>680000</v>
      </c>
      <c r="AO3" s="3154">
        <v>136000</v>
      </c>
      <c r="AP3" s="3154" t="s">
        <v>3519</v>
      </c>
      <c r="AQ3" s="3154">
        <v>680000</v>
      </c>
      <c r="AR3" s="3154">
        <v>100251.8</v>
      </c>
      <c r="AS3" s="3154">
        <v>100251.8</v>
      </c>
      <c r="AT3" s="3154">
        <v>6683.45</v>
      </c>
      <c r="AU3" s="3154">
        <v>6683.45</v>
      </c>
      <c r="AV3" s="3154">
        <v>22811</v>
      </c>
      <c r="AW3" s="3154">
        <v>22811</v>
      </c>
      <c r="AX3" s="3154" t="s">
        <v>3493</v>
      </c>
      <c r="AY3" s="3154" t="s">
        <v>3493</v>
      </c>
      <c r="AZ3" s="3154">
        <v>0</v>
      </c>
      <c r="BA3" s="3154" t="s">
        <v>3493</v>
      </c>
      <c r="BB3" s="3154" t="s">
        <v>3493</v>
      </c>
      <c r="BC3" s="3154" t="s">
        <v>3493</v>
      </c>
      <c r="BD3" s="3154" t="s">
        <v>3493</v>
      </c>
      <c r="BE3" s="3154" t="s">
        <v>3493</v>
      </c>
      <c r="BF3" s="3154" t="s">
        <v>3493</v>
      </c>
      <c r="BG3" s="3154" t="s">
        <v>3493</v>
      </c>
      <c r="BH3" s="3154" t="s">
        <v>3507</v>
      </c>
      <c r="BI3" s="3154" t="s">
        <v>3508</v>
      </c>
    </row>
    <row r="4" spans="1:61" s="3154" customFormat="1" ht="15">
      <c r="A4" s="3154" t="s">
        <v>3520</v>
      </c>
      <c r="B4" s="3154" t="s">
        <v>3486</v>
      </c>
      <c r="C4" s="3154" t="s">
        <v>3487</v>
      </c>
      <c r="D4" s="3154" t="s">
        <v>3488</v>
      </c>
      <c r="E4" s="3154" t="s">
        <v>3489</v>
      </c>
      <c r="F4" s="3154" t="s">
        <v>3521</v>
      </c>
      <c r="G4" s="3154" t="s">
        <v>3522</v>
      </c>
      <c r="H4" s="3154" t="s">
        <v>3492</v>
      </c>
      <c r="I4" s="3154">
        <v>12629.88</v>
      </c>
      <c r="J4" s="3154">
        <v>80000</v>
      </c>
      <c r="K4" s="3154" t="s">
        <v>3493</v>
      </c>
      <c r="L4" s="3154" t="s">
        <v>3493</v>
      </c>
      <c r="M4" s="3154">
        <v>0</v>
      </c>
      <c r="N4" s="3154">
        <v>0</v>
      </c>
      <c r="O4" s="3154" t="s">
        <v>3494</v>
      </c>
      <c r="P4" s="3154" t="s">
        <v>3495</v>
      </c>
      <c r="Q4" s="3154" t="s">
        <v>3523</v>
      </c>
      <c r="R4" s="3154" t="s">
        <v>3514</v>
      </c>
      <c r="S4" s="3154" t="s">
        <v>3524</v>
      </c>
      <c r="T4" s="3154">
        <v>6.33</v>
      </c>
      <c r="U4" s="3154" t="s">
        <v>3493</v>
      </c>
      <c r="V4" s="3154">
        <v>0.4</v>
      </c>
      <c r="W4" s="3154" t="s">
        <v>3493</v>
      </c>
      <c r="X4" s="3154" t="s">
        <v>3499</v>
      </c>
      <c r="Y4" s="3154" t="s">
        <v>3500</v>
      </c>
      <c r="Z4" s="3154" t="s">
        <v>3493</v>
      </c>
      <c r="AA4" s="3154" t="s">
        <v>3493</v>
      </c>
      <c r="AB4" s="3154" t="s">
        <v>3493</v>
      </c>
      <c r="AC4" s="3154" t="s">
        <v>3493</v>
      </c>
      <c r="AD4" s="3155">
        <v>44764.000497685185</v>
      </c>
      <c r="AE4" s="3155">
        <v>44784.000497685185</v>
      </c>
      <c r="AF4" s="3155">
        <v>44798.000497685185</v>
      </c>
      <c r="AG4" s="3155">
        <v>44798.000497685185</v>
      </c>
      <c r="AH4" s="3154" t="s">
        <v>3501</v>
      </c>
      <c r="AI4" s="3154" t="s">
        <v>3502</v>
      </c>
      <c r="AJ4" s="3154" t="s">
        <v>3525</v>
      </c>
      <c r="AK4" s="3154" t="s">
        <v>3526</v>
      </c>
      <c r="AL4" s="3154" t="s">
        <v>3527</v>
      </c>
      <c r="AM4" s="3154" t="s">
        <v>3528</v>
      </c>
      <c r="AN4" s="3154">
        <v>166000</v>
      </c>
      <c r="AO4" s="3154">
        <v>34000</v>
      </c>
      <c r="AP4" s="3154" t="s">
        <v>3529</v>
      </c>
      <c r="AQ4" s="3154">
        <v>166000</v>
      </c>
      <c r="AR4" s="3154">
        <v>131434.34</v>
      </c>
      <c r="AS4" s="3154">
        <v>131434.34</v>
      </c>
      <c r="AT4" s="3154">
        <v>8762.2900000000009</v>
      </c>
      <c r="AU4" s="3154">
        <v>8762.2900000000009</v>
      </c>
      <c r="AV4" s="3154">
        <v>20750</v>
      </c>
      <c r="AW4" s="3154">
        <v>20750</v>
      </c>
      <c r="AX4" s="3154" t="s">
        <v>3493</v>
      </c>
      <c r="AY4" s="3154" t="s">
        <v>3493</v>
      </c>
      <c r="AZ4" s="3154">
        <v>0</v>
      </c>
      <c r="BA4" s="3154" t="s">
        <v>3493</v>
      </c>
      <c r="BB4" s="3154" t="s">
        <v>3493</v>
      </c>
      <c r="BC4" s="3154">
        <v>0</v>
      </c>
      <c r="BD4" s="3154" t="s">
        <v>3493</v>
      </c>
      <c r="BE4" s="3154" t="s">
        <v>3493</v>
      </c>
      <c r="BF4" s="3154" t="s">
        <v>3493</v>
      </c>
      <c r="BG4" s="3154" t="s">
        <v>3493</v>
      </c>
      <c r="BH4" s="3154" t="s">
        <v>3507</v>
      </c>
      <c r="BI4" s="3154"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85" zoomScaleNormal="70" zoomScaleSheetLayoutView="85" workbookViewId="0">
      <selection activeCell="E2" sqref="E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26734</v>
      </c>
      <c r="C2" s="191" t="s">
        <v>1463</v>
      </c>
      <c r="D2" s="1711" t="s">
        <v>3558</v>
      </c>
      <c r="E2" s="3162">
        <f ca="1">收益法商!C46+收益法!C46</f>
        <v>3773</v>
      </c>
      <c r="F2" s="1712" t="s">
        <v>1463</v>
      </c>
      <c r="G2" s="1713" t="s">
        <v>3420</v>
      </c>
    </row>
    <row r="3" spans="1:9" s="192" customFormat="1" ht="18" customHeight="1" thickBot="1">
      <c r="A3" s="195" t="s">
        <v>1464</v>
      </c>
      <c r="B3" s="196">
        <f ca="1">ROUND(B2*10000/(IF(B1="",'数据-汇总表'!E3,INDIRECT("'数据-取费表'!k"&amp;$G$1))),0)</f>
        <v>29586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16532</v>
      </c>
      <c r="D5" s="203" t="s">
        <v>1469</v>
      </c>
      <c r="E5" s="204" t="s">
        <v>1470</v>
      </c>
      <c r="F5" s="204" t="s">
        <v>1471</v>
      </c>
      <c r="G5" s="205"/>
    </row>
    <row r="6" spans="1:9" s="206" customFormat="1" ht="13.5" customHeight="1">
      <c r="A6" s="732" t="s">
        <v>1472</v>
      </c>
      <c r="B6" s="207" t="s">
        <v>1473</v>
      </c>
      <c r="C6" s="208">
        <f>'土地比较法-住宅、综合'!F65</f>
        <v>15867</v>
      </c>
      <c r="D6" s="209"/>
      <c r="E6" s="210"/>
      <c r="F6" s="210"/>
      <c r="G6" s="211"/>
    </row>
    <row r="7" spans="1:9" s="206" customFormat="1" ht="13.5" customHeight="1">
      <c r="A7" s="732" t="s">
        <v>1474</v>
      </c>
      <c r="B7" s="207" t="s">
        <v>1475</v>
      </c>
      <c r="C7" s="212">
        <f>ROUND(C6*F7,0)</f>
        <v>484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3560</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3561</v>
      </c>
    </row>
    <row r="20" spans="1:7" s="206" customFormat="1" ht="13.5" customHeight="1">
      <c r="A20" s="247" t="s">
        <v>1493</v>
      </c>
      <c r="B20" s="202" t="s">
        <v>1494</v>
      </c>
      <c r="C20" s="224">
        <f>ROUND((C5+C19)*F20,0)</f>
        <v>496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850</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3406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3406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23392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325</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151</v>
      </c>
      <c r="D42" s="230"/>
      <c r="E42" s="230"/>
      <c r="F42" s="231"/>
      <c r="G42" s="3392" t="s">
        <v>1544</v>
      </c>
    </row>
    <row r="43" spans="1:7" ht="13.5" customHeight="1">
      <c r="A43" s="734" t="s">
        <v>347</v>
      </c>
      <c r="B43" s="207" t="s">
        <v>1545</v>
      </c>
      <c r="C43" s="230">
        <f ca="1">ROUND(IF('数据-取费表'!B22&lt;=1,C39*F22*'数据-取费表'!B21/2,C39*(POWER((1+F22),'数据-取费表'!B21/2)-1)),0)</f>
        <v>5</v>
      </c>
      <c r="D43" s="230"/>
      <c r="E43" s="230"/>
      <c r="F43" s="231"/>
      <c r="G43" s="3393"/>
    </row>
    <row r="44" spans="1:7" ht="13.5" customHeight="1">
      <c r="A44" s="734" t="s">
        <v>348</v>
      </c>
      <c r="B44" s="207" t="s">
        <v>1546</v>
      </c>
      <c r="C44" s="230">
        <f ca="1">ROUND(IF('数据-取费表'!B22&lt;=1,C40*F22*'数据-取费表'!B21/2,C40*(POWER((1+F22),'数据-取费表'!B21/2)-1)),4)</f>
        <v>8.0000000000000004E-4</v>
      </c>
      <c r="D44" s="230"/>
      <c r="E44" s="230"/>
      <c r="F44" s="231"/>
      <c r="G44" s="3394"/>
    </row>
    <row r="45" spans="1:7" s="206" customFormat="1" ht="13.5" customHeight="1">
      <c r="A45" s="247" t="s">
        <v>1547</v>
      </c>
      <c r="B45" s="236" t="s">
        <v>1513</v>
      </c>
      <c r="C45" s="237">
        <f ca="1">C46</f>
        <v>1243</v>
      </c>
      <c r="D45" s="227">
        <f ca="1">C47</f>
        <v>6.0000000000000001E-3</v>
      </c>
      <c r="E45" s="228" t="s">
        <v>1539</v>
      </c>
      <c r="F45" s="238">
        <f ca="1">F27</f>
        <v>0.2</v>
      </c>
      <c r="G45" s="239" t="s">
        <v>1548</v>
      </c>
    </row>
    <row r="46" spans="1:7" s="206" customFormat="1" ht="13.5" customHeight="1">
      <c r="A46" s="734" t="s">
        <v>346</v>
      </c>
      <c r="B46" s="240" t="s">
        <v>1549</v>
      </c>
      <c r="C46" s="241">
        <f ca="1">ROUND((C33+C39)*F27,0)</f>
        <v>1243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8370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7115</v>
      </c>
      <c r="D51" s="224"/>
      <c r="E51" s="224"/>
      <c r="F51" s="256"/>
      <c r="G51" s="226" t="s">
        <v>1560</v>
      </c>
    </row>
    <row r="52" spans="1:7" s="200" customFormat="1" ht="16.5" thickBot="1">
      <c r="A52" s="257" t="s">
        <v>1561</v>
      </c>
      <c r="B52" s="258"/>
      <c r="C52" s="259">
        <f ca="1">C31+C51</f>
        <v>30507</v>
      </c>
      <c r="D52" s="258"/>
      <c r="E52" s="258"/>
      <c r="F52" s="258"/>
      <c r="G52" s="260"/>
    </row>
    <row r="55" spans="1:7" ht="15">
      <c r="B55" s="262" t="s">
        <v>1562</v>
      </c>
      <c r="C55" s="263"/>
    </row>
    <row r="56" spans="1:7">
      <c r="B56" s="265" t="s">
        <v>802</v>
      </c>
      <c r="C56" s="267">
        <f ca="1">1-C57</f>
        <v>0.76700000000000002</v>
      </c>
    </row>
    <row r="57" spans="1:7">
      <c r="B57" s="265" t="s">
        <v>803</v>
      </c>
      <c r="C57" s="266">
        <f ca="1">ROUND(C51/C52,3)</f>
        <v>0.23300000000000001</v>
      </c>
    </row>
  </sheetData>
  <sheetProtection formatCells="0"/>
  <mergeCells count="1">
    <mergeCell ref="G42:G44"/>
  </mergeCells>
  <phoneticPr fontId="134" type="noConversion"/>
  <dataValidations count="6">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9" xr:uid="{00000000-0002-0000-2500-000003000000}">
      <formula1>"部分缴纳,全部缴纳"</formula1>
    </dataValidation>
    <dataValidation type="list" allowBlank="1" showInputMessage="1" showErrorMessage="1" sqref="G2" xr:uid="{00000000-0002-0000-2500-000004000000}">
      <formula1>估价方法</formula1>
    </dataValidation>
    <dataValidation type="list" allowBlank="1" showInputMessage="1" showErrorMessage="1" sqref="D2" xr:uid="{00000000-0002-0000-25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474" t="s">
        <v>1775</v>
      </c>
      <c r="Q4" s="3475"/>
      <c r="R4" s="3478" t="s">
        <v>1771</v>
      </c>
      <c r="S4" s="3479"/>
      <c r="T4" s="3478" t="s">
        <v>1772</v>
      </c>
      <c r="U4" s="3479"/>
      <c r="V4" s="3480" t="s">
        <v>1773</v>
      </c>
      <c r="W4" s="3480"/>
      <c r="X4" s="1809"/>
      <c r="Y4" s="3478" t="s">
        <v>1775</v>
      </c>
      <c r="Z4" s="3479"/>
      <c r="AA4" s="3482" t="s">
        <v>1771</v>
      </c>
      <c r="AB4" s="3482" t="s">
        <v>1772</v>
      </c>
      <c r="AC4" s="3471" t="s">
        <v>1773</v>
      </c>
    </row>
    <row r="5" spans="1:29" ht="15">
      <c r="A5" s="348"/>
      <c r="B5" s="349"/>
      <c r="C5" s="3383" t="s">
        <v>1673</v>
      </c>
      <c r="D5" s="3384"/>
      <c r="E5" s="3390" t="s">
        <v>1674</v>
      </c>
      <c r="F5" s="3391"/>
      <c r="G5" s="3383" t="s">
        <v>1675</v>
      </c>
      <c r="H5" s="3384"/>
      <c r="I5" s="3383" t="s">
        <v>1676</v>
      </c>
      <c r="J5" s="3384"/>
      <c r="K5" s="537"/>
      <c r="L5" s="2484"/>
      <c r="M5" s="2485"/>
      <c r="N5" s="2485"/>
      <c r="O5" s="2485"/>
      <c r="P5" s="3476"/>
      <c r="Q5" s="3372"/>
      <c r="R5" s="3377"/>
      <c r="S5" s="3378"/>
      <c r="T5" s="3377"/>
      <c r="U5" s="3378"/>
      <c r="V5" s="3362"/>
      <c r="W5" s="3362"/>
      <c r="X5" s="1265"/>
      <c r="Y5" s="3377"/>
      <c r="Z5" s="3378"/>
      <c r="AA5" s="3364"/>
      <c r="AB5" s="3364"/>
      <c r="AC5" s="3472"/>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477"/>
      <c r="Q6" s="3374"/>
      <c r="R6" s="3377"/>
      <c r="S6" s="3378"/>
      <c r="T6" s="3379"/>
      <c r="U6" s="3380"/>
      <c r="V6" s="3362"/>
      <c r="W6" s="3362"/>
      <c r="X6" s="1265"/>
      <c r="Y6" s="3379"/>
      <c r="Z6" s="3380"/>
      <c r="AA6" s="3365"/>
      <c r="AB6" s="3365"/>
      <c r="AC6" s="3473"/>
    </row>
    <row r="7" spans="1:29" s="102" customFormat="1" ht="15.75" thickBot="1">
      <c r="A7" s="352" t="s">
        <v>1679</v>
      </c>
      <c r="B7" s="353"/>
      <c r="C7" s="354">
        <f>'数据-取费表'!B2</f>
        <v>45573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1"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1" t="s">
        <v>1683</v>
      </c>
      <c r="Q8" s="3386"/>
      <c r="R8" s="664" t="s">
        <v>14</v>
      </c>
      <c r="S8" s="665">
        <f t="shared" si="0"/>
        <v>100</v>
      </c>
      <c r="T8" s="664" t="s">
        <v>14</v>
      </c>
      <c r="U8" s="665">
        <f t="shared" si="1"/>
        <v>100</v>
      </c>
      <c r="V8" s="664" t="s">
        <v>14</v>
      </c>
      <c r="W8" s="665">
        <f t="shared" si="2"/>
        <v>100</v>
      </c>
      <c r="X8" s="666"/>
      <c r="Y8" s="3385" t="s">
        <v>1683</v>
      </c>
      <c r="Z8" s="338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6"/>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4" t="s">
        <v>1691</v>
      </c>
      <c r="Q15" s="1263" t="str">
        <f t="shared" si="6"/>
        <v>办公集聚程度</v>
      </c>
      <c r="R15" s="667" t="s">
        <v>14</v>
      </c>
      <c r="S15" s="668">
        <f t="shared" si="0"/>
        <v>100</v>
      </c>
      <c r="T15" s="667" t="s">
        <v>14</v>
      </c>
      <c r="U15" s="668">
        <f t="shared" si="1"/>
        <v>100</v>
      </c>
      <c r="V15" s="667" t="s">
        <v>14</v>
      </c>
      <c r="W15" s="668">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5"/>
      <c r="Q16" s="1263"/>
      <c r="R16" s="667"/>
      <c r="S16" s="668"/>
      <c r="T16" s="667"/>
      <c r="U16" s="668"/>
      <c r="V16" s="667"/>
      <c r="W16" s="668"/>
      <c r="X16" s="1265"/>
      <c r="Y16" s="3359"/>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5"/>
      <c r="Q18" s="1263"/>
      <c r="R18" s="667"/>
      <c r="S18" s="668"/>
      <c r="T18" s="667"/>
      <c r="U18" s="668"/>
      <c r="V18" s="667"/>
      <c r="W18" s="668"/>
      <c r="X18" s="1265"/>
      <c r="Y18" s="3359"/>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5"/>
      <c r="Q20" s="1263"/>
      <c r="R20" s="667"/>
      <c r="S20" s="668"/>
      <c r="T20" s="667"/>
      <c r="U20" s="668"/>
      <c r="V20" s="667"/>
      <c r="W20" s="668"/>
      <c r="X20" s="1265"/>
      <c r="Y20" s="3359"/>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5"/>
      <c r="Q22" s="1263"/>
      <c r="R22" s="667"/>
      <c r="S22" s="668"/>
      <c r="T22" s="667"/>
      <c r="U22" s="668"/>
      <c r="V22" s="667"/>
      <c r="W22" s="668"/>
      <c r="X22" s="1265"/>
      <c r="Y22" s="3359"/>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5"/>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5"/>
      <c r="Q24" s="1263"/>
      <c r="R24" s="667"/>
      <c r="S24" s="668"/>
      <c r="T24" s="667"/>
      <c r="U24" s="668"/>
      <c r="V24" s="667"/>
      <c r="W24" s="668"/>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5"/>
      <c r="Q25" s="1263" t="str">
        <f>B25</f>
        <v>毗邻道路的类型与等级</v>
      </c>
      <c r="R25" s="667" t="s">
        <v>14</v>
      </c>
      <c r="S25" s="668">
        <f>F25</f>
        <v>100</v>
      </c>
      <c r="T25" s="667" t="s">
        <v>14</v>
      </c>
      <c r="U25" s="668">
        <f>H25</f>
        <v>100</v>
      </c>
      <c r="V25" s="667" t="s">
        <v>14</v>
      </c>
      <c r="W25" s="668">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5"/>
      <c r="Q26" s="1263"/>
      <c r="R26" s="667"/>
      <c r="S26" s="668"/>
      <c r="T26" s="667"/>
      <c r="U26" s="668"/>
      <c r="V26" s="667"/>
      <c r="W26" s="668"/>
      <c r="X26" s="1265"/>
      <c r="Y26" s="335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5"/>
      <c r="Q27" s="1263" t="str">
        <f t="shared" ref="Q27:Q47" si="11">B27</f>
        <v>楼层</v>
      </c>
      <c r="R27" s="667" t="s">
        <v>14</v>
      </c>
      <c r="S27" s="668">
        <f>F27</f>
        <v>100</v>
      </c>
      <c r="T27" s="667" t="s">
        <v>14</v>
      </c>
      <c r="U27" s="668">
        <f>H27</f>
        <v>100</v>
      </c>
      <c r="V27" s="667" t="s">
        <v>14</v>
      </c>
      <c r="W27" s="668">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5"/>
      <c r="Q28" s="530" t="str">
        <f t="shared" si="11"/>
        <v>朝向</v>
      </c>
      <c r="R28" s="664" t="s">
        <v>14</v>
      </c>
      <c r="S28" s="665">
        <f>F28</f>
        <v>100</v>
      </c>
      <c r="T28" s="664" t="s">
        <v>14</v>
      </c>
      <c r="U28" s="665">
        <f>H28</f>
        <v>100</v>
      </c>
      <c r="V28" s="664" t="s">
        <v>14</v>
      </c>
      <c r="W28" s="665">
        <f>J28</f>
        <v>100</v>
      </c>
      <c r="X28" s="666"/>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5"/>
      <c r="Q32" s="1263">
        <f t="shared" si="11"/>
        <v>111</v>
      </c>
      <c r="R32" s="667" t="s">
        <v>14</v>
      </c>
      <c r="S32" s="668">
        <f t="shared" si="12"/>
        <v>100</v>
      </c>
      <c r="T32" s="667" t="s">
        <v>14</v>
      </c>
      <c r="U32" s="668">
        <f t="shared" si="13"/>
        <v>100</v>
      </c>
      <c r="V32" s="667" t="s">
        <v>14</v>
      </c>
      <c r="W32" s="668">
        <f t="shared" si="14"/>
        <v>100</v>
      </c>
      <c r="X32" s="1265"/>
      <c r="Y32" s="335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0" t="s">
        <v>1696</v>
      </c>
      <c r="Q33" s="1263" t="str">
        <f t="shared" si="11"/>
        <v>建筑类型</v>
      </c>
      <c r="R33" s="667" t="s">
        <v>14</v>
      </c>
      <c r="S33" s="668">
        <f t="shared" si="12"/>
        <v>100</v>
      </c>
      <c r="T33" s="667" t="s">
        <v>14</v>
      </c>
      <c r="U33" s="668">
        <f t="shared" si="13"/>
        <v>100</v>
      </c>
      <c r="V33" s="667" t="s">
        <v>14</v>
      </c>
      <c r="W33" s="668">
        <f t="shared" si="14"/>
        <v>100</v>
      </c>
      <c r="X33" s="1265"/>
      <c r="Y33" s="336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1"/>
      <c r="Q34" s="531" t="str">
        <f t="shared" si="11"/>
        <v>项目建筑规模</v>
      </c>
      <c r="R34" s="669" t="s">
        <v>14</v>
      </c>
      <c r="S34" s="670" t="e">
        <f t="shared" si="12"/>
        <v>#N/A</v>
      </c>
      <c r="T34" s="669" t="s">
        <v>14</v>
      </c>
      <c r="U34" s="670" t="e">
        <f t="shared" si="13"/>
        <v>#N/A</v>
      </c>
      <c r="V34" s="669" t="s">
        <v>14</v>
      </c>
      <c r="W34" s="670" t="e">
        <f t="shared" si="14"/>
        <v>#N/A</v>
      </c>
      <c r="X34" s="671"/>
      <c r="Y34" s="336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1"/>
      <c r="Q35" s="1263" t="str">
        <f t="shared" si="11"/>
        <v>建筑结构</v>
      </c>
      <c r="R35" s="667" t="s">
        <v>14</v>
      </c>
      <c r="S35" s="668">
        <f t="shared" si="12"/>
        <v>100</v>
      </c>
      <c r="T35" s="667" t="s">
        <v>14</v>
      </c>
      <c r="U35" s="668">
        <f t="shared" si="13"/>
        <v>100</v>
      </c>
      <c r="V35" s="667" t="s">
        <v>14</v>
      </c>
      <c r="W35" s="668">
        <f t="shared" si="14"/>
        <v>100</v>
      </c>
      <c r="X35" s="1265"/>
      <c r="Y35" s="336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1"/>
      <c r="Q36" s="1263" t="str">
        <f t="shared" si="11"/>
        <v>公共部分装修</v>
      </c>
      <c r="R36" s="667" t="s">
        <v>14</v>
      </c>
      <c r="S36" s="668">
        <f t="shared" si="12"/>
        <v>100</v>
      </c>
      <c r="T36" s="667" t="s">
        <v>14</v>
      </c>
      <c r="U36" s="668">
        <f t="shared" si="13"/>
        <v>100</v>
      </c>
      <c r="V36" s="667" t="s">
        <v>14</v>
      </c>
      <c r="W36" s="668">
        <f t="shared" si="14"/>
        <v>100</v>
      </c>
      <c r="X36" s="1265"/>
      <c r="Y36" s="336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1"/>
      <c r="Q37" s="1263" t="str">
        <f t="shared" si="11"/>
        <v>成新度</v>
      </c>
      <c r="R37" s="667" t="s">
        <v>14</v>
      </c>
      <c r="S37" s="668" t="e">
        <f t="shared" si="12"/>
        <v>#N/A</v>
      </c>
      <c r="T37" s="667" t="s">
        <v>14</v>
      </c>
      <c r="U37" s="668" t="e">
        <f t="shared" si="13"/>
        <v>#N/A</v>
      </c>
      <c r="V37" s="667" t="s">
        <v>14</v>
      </c>
      <c r="W37" s="668" t="e">
        <f t="shared" si="14"/>
        <v>#N/A</v>
      </c>
      <c r="X37" s="1265"/>
      <c r="Y37" s="336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1"/>
      <c r="Q38" s="530" t="str">
        <f t="shared" si="11"/>
        <v>写字楼等级</v>
      </c>
      <c r="R38" s="664" t="s">
        <v>14</v>
      </c>
      <c r="S38" s="665">
        <f t="shared" si="12"/>
        <v>100</v>
      </c>
      <c r="T38" s="664" t="s">
        <v>14</v>
      </c>
      <c r="U38" s="665">
        <f t="shared" si="13"/>
        <v>100</v>
      </c>
      <c r="V38" s="664" t="s">
        <v>14</v>
      </c>
      <c r="W38" s="665">
        <f t="shared" si="14"/>
        <v>100</v>
      </c>
      <c r="X38" s="666"/>
      <c r="Y38" s="336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1" t="s">
        <v>1696</v>
      </c>
      <c r="Q39" s="1263" t="str">
        <f t="shared" si="11"/>
        <v>物业管理</v>
      </c>
      <c r="R39" s="667" t="s">
        <v>14</v>
      </c>
      <c r="S39" s="668">
        <f t="shared" si="12"/>
        <v>100</v>
      </c>
      <c r="T39" s="667" t="s">
        <v>14</v>
      </c>
      <c r="U39" s="668">
        <f t="shared" si="13"/>
        <v>100</v>
      </c>
      <c r="V39" s="667" t="s">
        <v>14</v>
      </c>
      <c r="W39" s="668">
        <f t="shared" si="14"/>
        <v>100</v>
      </c>
      <c r="X39" s="1265"/>
      <c r="Y39" s="336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1"/>
      <c r="Q40" s="1263" t="str">
        <f t="shared" si="11"/>
        <v>市政基础设施</v>
      </c>
      <c r="R40" s="667" t="s">
        <v>14</v>
      </c>
      <c r="S40" s="668">
        <f t="shared" si="12"/>
        <v>100</v>
      </c>
      <c r="T40" s="667" t="s">
        <v>14</v>
      </c>
      <c r="U40" s="668">
        <f t="shared" si="13"/>
        <v>100</v>
      </c>
      <c r="V40" s="667" t="s">
        <v>14</v>
      </c>
      <c r="W40" s="668">
        <f t="shared" si="14"/>
        <v>100</v>
      </c>
      <c r="X40" s="1265"/>
      <c r="Y40" s="336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1"/>
      <c r="Q41" s="1263" t="str">
        <f t="shared" si="11"/>
        <v>层高</v>
      </c>
      <c r="R41" s="667" t="s">
        <v>14</v>
      </c>
      <c r="S41" s="668">
        <f t="shared" si="12"/>
        <v>100</v>
      </c>
      <c r="T41" s="667" t="s">
        <v>14</v>
      </c>
      <c r="U41" s="668">
        <f t="shared" si="13"/>
        <v>100</v>
      </c>
      <c r="V41" s="667" t="s">
        <v>14</v>
      </c>
      <c r="W41" s="668">
        <f t="shared" si="14"/>
        <v>100</v>
      </c>
      <c r="X41" s="1265"/>
      <c r="Y41" s="336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1"/>
      <c r="Q42" s="531" t="str">
        <f t="shared" si="11"/>
        <v>单套建筑面积</v>
      </c>
      <c r="R42" s="669" t="s">
        <v>14</v>
      </c>
      <c r="S42" s="670">
        <f t="shared" si="12"/>
        <v>100</v>
      </c>
      <c r="T42" s="669" t="s">
        <v>14</v>
      </c>
      <c r="U42" s="670">
        <f t="shared" si="13"/>
        <v>100</v>
      </c>
      <c r="V42" s="669" t="s">
        <v>14</v>
      </c>
      <c r="W42" s="670">
        <f t="shared" si="14"/>
        <v>100</v>
      </c>
      <c r="X42" s="671"/>
      <c r="Y42" s="336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1"/>
      <c r="Q43" s="1263" t="str">
        <f t="shared" si="11"/>
        <v>内部装修</v>
      </c>
      <c r="R43" s="667" t="s">
        <v>14</v>
      </c>
      <c r="S43" s="668">
        <f t="shared" si="12"/>
        <v>100</v>
      </c>
      <c r="T43" s="667" t="s">
        <v>14</v>
      </c>
      <c r="U43" s="668">
        <f t="shared" si="13"/>
        <v>100</v>
      </c>
      <c r="V43" s="667" t="s">
        <v>14</v>
      </c>
      <c r="W43" s="668">
        <f t="shared" si="14"/>
        <v>100</v>
      </c>
      <c r="X43" s="1265"/>
      <c r="Y43" s="336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1"/>
      <c r="Q44" s="1263" t="str">
        <f t="shared" si="11"/>
        <v>内部装修维护情况</v>
      </c>
      <c r="R44" s="667" t="s">
        <v>14</v>
      </c>
      <c r="S44" s="668">
        <f t="shared" si="12"/>
        <v>100</v>
      </c>
      <c r="T44" s="667" t="s">
        <v>14</v>
      </c>
      <c r="U44" s="668">
        <f t="shared" si="13"/>
        <v>100</v>
      </c>
      <c r="V44" s="667" t="s">
        <v>14</v>
      </c>
      <c r="W44" s="668">
        <f t="shared" si="14"/>
        <v>100</v>
      </c>
      <c r="X44" s="1265"/>
      <c r="Y44" s="336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1"/>
      <c r="Q45" s="530">
        <f t="shared" si="11"/>
        <v>111</v>
      </c>
      <c r="R45" s="664" t="s">
        <v>14</v>
      </c>
      <c r="S45" s="665">
        <f t="shared" si="12"/>
        <v>100</v>
      </c>
      <c r="T45" s="664" t="s">
        <v>14</v>
      </c>
      <c r="U45" s="665">
        <f t="shared" si="13"/>
        <v>100</v>
      </c>
      <c r="V45" s="664" t="s">
        <v>14</v>
      </c>
      <c r="W45" s="665">
        <f t="shared" si="14"/>
        <v>100</v>
      </c>
      <c r="X45" s="666"/>
      <c r="Y45" s="336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1"/>
      <c r="Q46" s="1263">
        <f t="shared" si="11"/>
        <v>111</v>
      </c>
      <c r="R46" s="667" t="s">
        <v>14</v>
      </c>
      <c r="S46" s="668">
        <f t="shared" si="12"/>
        <v>100</v>
      </c>
      <c r="T46" s="667" t="s">
        <v>14</v>
      </c>
      <c r="U46" s="668">
        <f t="shared" si="13"/>
        <v>100</v>
      </c>
      <c r="V46" s="667" t="s">
        <v>14</v>
      </c>
      <c r="W46" s="668">
        <f t="shared" si="14"/>
        <v>100</v>
      </c>
      <c r="X46" s="1265"/>
      <c r="Y46" s="336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2"/>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56" t="str">
        <f>A48</f>
        <v>成交单价（元/平方米）</v>
      </c>
      <c r="Q48" s="3357"/>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56" t="str">
        <f>A49</f>
        <v>比较价值（元/平方米）</v>
      </c>
      <c r="Q49" s="3357"/>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1"/>
      <c r="B4" s="3172" t="s">
        <v>917</v>
      </c>
      <c r="C4" s="3172"/>
      <c r="D4" s="3172"/>
      <c r="E4" s="1391"/>
    </row>
    <row r="5" spans="1:5" ht="16.5" thickTop="1">
      <c r="B5" s="3170" t="s">
        <v>909</v>
      </c>
      <c r="C5" s="1392" t="s">
        <v>910</v>
      </c>
      <c r="D5" s="797">
        <f ca="1">结果表!H101</f>
        <v>22431</v>
      </c>
    </row>
    <row r="6" spans="1:5" ht="15.75">
      <c r="B6" s="3170"/>
      <c r="C6" s="1392" t="s">
        <v>911</v>
      </c>
      <c r="D6" s="797" t="str">
        <f ca="1">NUMBERSTRING(INT(D5*10000),2)&amp;"元整"</f>
        <v>贰亿贰仟肆佰叁拾壹万元整</v>
      </c>
    </row>
    <row r="7" spans="1:5" ht="15.75">
      <c r="B7" s="3175"/>
      <c r="C7" s="1393" t="s">
        <v>912</v>
      </c>
      <c r="D7" s="798">
        <f ca="1">结果表!H102</f>
        <v>24824</v>
      </c>
    </row>
    <row r="8" spans="1:5" ht="15.75">
      <c r="B8" s="3176" t="str">
        <f>结果表!E103</f>
        <v>2.估价师知悉的法定优先受偿款</v>
      </c>
      <c r="C8" s="1394" t="s">
        <v>913</v>
      </c>
      <c r="D8" s="798">
        <f>结果表!H103</f>
        <v>0</v>
      </c>
    </row>
    <row r="9" spans="1:5" ht="15.75">
      <c r="B9" s="317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9" t="str">
        <f>结果表!E107</f>
        <v>3.房地产抵押价值</v>
      </c>
      <c r="C13" s="1397" t="s">
        <v>910</v>
      </c>
      <c r="D13" s="800">
        <f ca="1">结果表!H107</f>
        <v>22431</v>
      </c>
    </row>
    <row r="14" spans="1:5" ht="15.75">
      <c r="B14" s="3170"/>
      <c r="C14" s="1392" t="s">
        <v>911</v>
      </c>
      <c r="D14" s="797" t="str">
        <f ca="1">NUMBERSTRING(INT(D13*10000),2)&amp;"元整"</f>
        <v>贰亿贰仟肆佰叁拾壹万元整</v>
      </c>
    </row>
    <row r="15" spans="1:5" ht="15">
      <c r="B15" s="3175"/>
      <c r="C15" s="1393" t="s">
        <v>921</v>
      </c>
      <c r="D15" s="806">
        <f ca="1">结果表!H108</f>
        <v>24824</v>
      </c>
    </row>
    <row r="16" spans="1:5" ht="15">
      <c r="B16" s="3176" t="str">
        <f>结果表!E109</f>
        <v>——</v>
      </c>
      <c r="C16" s="1397" t="s">
        <v>922</v>
      </c>
      <c r="D16" s="1398" t="str">
        <f>结果表!H109</f>
        <v>——</v>
      </c>
    </row>
    <row r="17" spans="1:5" ht="15.75">
      <c r="B17" s="3177"/>
      <c r="C17" s="1392" t="s">
        <v>923</v>
      </c>
      <c r="D17" s="797" t="e">
        <f>NUMBERSTRING(INT(D16*10000),2)&amp;"元整"</f>
        <v>#VALUE!</v>
      </c>
    </row>
    <row r="18" spans="1:5" ht="15">
      <c r="B18" s="3178"/>
      <c r="C18" s="1393" t="s">
        <v>912</v>
      </c>
      <c r="D18" s="806" t="str">
        <f>结果表!H110</f>
        <v>——</v>
      </c>
    </row>
    <row r="19" spans="1:5" ht="15.75">
      <c r="B19" s="3169" t="str">
        <f>结果表!E111</f>
        <v>——</v>
      </c>
      <c r="C19" s="1397" t="s">
        <v>910</v>
      </c>
      <c r="D19" s="798" t="str">
        <f>结果表!H111</f>
        <v>——</v>
      </c>
    </row>
    <row r="20" spans="1:5" ht="15.75">
      <c r="B20" s="3170"/>
      <c r="C20" s="1392" t="s">
        <v>923</v>
      </c>
      <c r="D20" s="797" t="e">
        <f>NUMBERSTRING(INT(D19*10000),2)&amp;"元整"</f>
        <v>#VALUE!</v>
      </c>
    </row>
    <row r="21" spans="1:5" ht="15.75" thickBot="1">
      <c r="B21" s="317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topLeftCell="A28" zoomScale="85" zoomScaleNormal="70" zoomScaleSheetLayoutView="85" workbookViewId="0">
      <selection activeCell="C46" sqref="C4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2125</v>
      </c>
      <c r="C2" s="1289" t="s">
        <v>805</v>
      </c>
      <c r="D2" s="1289"/>
      <c r="E2" s="1295"/>
      <c r="F2" s="1296"/>
      <c r="G2" s="2476"/>
      <c r="H2" s="2466"/>
      <c r="I2" s="2466"/>
      <c r="J2" s="2466"/>
      <c r="K2" s="2467"/>
      <c r="L2" s="2466"/>
      <c r="M2" s="2466"/>
    </row>
    <row r="3" spans="1:37" ht="18" customHeight="1" thickBot="1">
      <c r="A3" s="1297" t="s">
        <v>806</v>
      </c>
      <c r="B3" s="1298">
        <f ca="1">IF(ISERROR(B2*10000/F43),0,ROUND(B2*10000/F43,0))</f>
        <v>14110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294</v>
      </c>
      <c r="K5" s="1273" t="s">
        <v>693</v>
      </c>
      <c r="L5" s="1008"/>
      <c r="M5" s="1009"/>
    </row>
    <row r="6" spans="1:37" ht="18" customHeight="1">
      <c r="A6" s="1006" t="s">
        <v>398</v>
      </c>
      <c r="B6" s="3395" t="s">
        <v>694</v>
      </c>
      <c r="C6" s="1011">
        <f ca="1">ROUND(F6*F8*F7*(1-F9)/10000,0)</f>
        <v>93</v>
      </c>
      <c r="D6" s="147" t="s">
        <v>2109</v>
      </c>
      <c r="E6" s="294" t="s">
        <v>696</v>
      </c>
      <c r="F6" s="295">
        <f ca="1">INDIRECT("'数据-取费表'!u"&amp;$G$1)</f>
        <v>1.69</v>
      </c>
      <c r="G6" s="1292"/>
      <c r="H6" s="1006" t="s">
        <v>398</v>
      </c>
      <c r="I6" s="3395" t="s">
        <v>694</v>
      </c>
      <c r="J6" s="293">
        <f ca="1">ROUND(M6*M8*M7*(1-M9)/10000,0)</f>
        <v>294</v>
      </c>
      <c r="K6" s="147" t="s">
        <v>2108</v>
      </c>
      <c r="L6" s="294" t="s">
        <v>696</v>
      </c>
      <c r="M6" s="295">
        <f ca="1">INDIRECT("'数据-取费表'!z"&amp;$G$1)</f>
        <v>5.95</v>
      </c>
    </row>
    <row r="7" spans="1:37" ht="18" customHeight="1">
      <c r="A7" s="1010"/>
      <c r="B7" s="3396"/>
      <c r="C7" s="1012"/>
      <c r="D7" s="299"/>
      <c r="E7" s="1013" t="s">
        <v>697</v>
      </c>
      <c r="F7" s="295">
        <f ca="1">IF(INDIRECT("'数据-取费表'!ah"&amp;$G$1)="",INDIRECT("'数据-取费表'!k"&amp;$G$1),INDIRECT("'数据-取费表'!ah"&amp;$G$1))</f>
        <v>1505.9849999999999</v>
      </c>
      <c r="G7" s="1292"/>
      <c r="H7" s="296"/>
      <c r="I7" s="3396"/>
      <c r="J7" s="298"/>
      <c r="K7" s="299"/>
      <c r="L7" s="294" t="s">
        <v>697</v>
      </c>
      <c r="M7" s="295">
        <f ca="1">F7</f>
        <v>1505.9849999999999</v>
      </c>
    </row>
    <row r="8" spans="1:37" ht="18" customHeight="1">
      <c r="A8" s="296"/>
      <c r="B8" s="3396"/>
      <c r="C8" s="298"/>
      <c r="D8" s="299"/>
      <c r="E8" s="294" t="s">
        <v>698</v>
      </c>
      <c r="F8" s="295">
        <f ca="1">INDIRECT("'数据-取费表'!ai"&amp;$G$1)</f>
        <v>365</v>
      </c>
      <c r="G8" s="1292"/>
      <c r="H8" s="296"/>
      <c r="I8" s="3396"/>
      <c r="J8" s="298"/>
      <c r="K8" s="299"/>
      <c r="L8" s="294" t="s">
        <v>698</v>
      </c>
      <c r="M8" s="295">
        <f ca="1">INDIRECT("'数据-取费表'!ai"&amp;$G$1)</f>
        <v>365</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3570</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v>
      </c>
      <c r="D13" s="1018" t="s">
        <v>705</v>
      </c>
      <c r="E13" s="1018" t="s">
        <v>706</v>
      </c>
      <c r="F13" s="1019">
        <f ca="1">INDIRECT("'数据-取费表'!y"&amp;$G$1)</f>
        <v>0.85</v>
      </c>
      <c r="G13" s="1292"/>
      <c r="H13" s="1016">
        <v>2</v>
      </c>
      <c r="I13" s="1017" t="s">
        <v>704</v>
      </c>
      <c r="J13" s="1005">
        <f ca="1">ROUND(J14*J15,0)</f>
        <v>1018</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1395</v>
      </c>
      <c r="K14" s="12"/>
      <c r="L14" s="759"/>
      <c r="M14" s="760"/>
    </row>
    <row r="15" spans="1:37" s="1304" customFormat="1" ht="18" customHeight="1" thickBot="1">
      <c r="A15" s="928" t="s">
        <v>399</v>
      </c>
      <c r="B15" s="294" t="s">
        <v>710</v>
      </c>
      <c r="C15" s="21">
        <f ca="1">ROUND(C14*F15,0)</f>
        <v>54</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49.28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15.68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1006</v>
      </c>
      <c r="D19" s="123" t="s">
        <v>726</v>
      </c>
      <c r="E19" s="1269"/>
      <c r="F19" s="23"/>
      <c r="G19" s="1292"/>
      <c r="H19" s="928" t="s">
        <v>399</v>
      </c>
      <c r="I19" s="294" t="s">
        <v>727</v>
      </c>
      <c r="J19" s="21">
        <f ca="1">IF(K19="按租金收入计税",ROUND(J6*M19/(1+'数据-取费表'!C42),2),ROUND(C29*M19*0.7,2))</f>
        <v>33.6</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1.02</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1.47</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235</v>
      </c>
      <c r="K25" s="1032" t="s">
        <v>753</v>
      </c>
      <c r="L25" s="1033"/>
      <c r="M25" s="1034"/>
    </row>
    <row r="26" spans="1:37">
      <c r="A26" s="928" t="s">
        <v>397</v>
      </c>
      <c r="B26" s="294" t="s">
        <v>754</v>
      </c>
      <c r="C26" s="21">
        <f ca="1">ROUND((C19+C20)*F26,0)</f>
        <v>207</v>
      </c>
      <c r="D26" s="315" t="s">
        <v>755</v>
      </c>
      <c r="E26" s="305" t="s">
        <v>756</v>
      </c>
      <c r="F26" s="304">
        <f ca="1">INDIRECT("'数据-取费表'!q"&amp;$G$1)</f>
        <v>0.2</v>
      </c>
      <c r="G26" s="1292"/>
      <c r="H26" s="291" t="s">
        <v>395</v>
      </c>
      <c r="I26" s="292" t="s">
        <v>757</v>
      </c>
      <c r="J26" s="293">
        <f ca="1">IF(J5&lt;&gt;0,ROUND(J25*(1-((1+M28)/(1+M26))^M27)/(M26-M28),0),0)</f>
        <v>2403</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1395</v>
      </c>
      <c r="D29" s="1029"/>
      <c r="E29" s="1027"/>
      <c r="F29" s="1030"/>
      <c r="G29" s="1303"/>
      <c r="H29" s="325" t="s">
        <v>396</v>
      </c>
      <c r="I29" s="326" t="s">
        <v>768</v>
      </c>
      <c r="J29" s="327">
        <f ca="1">ROUND(J26/(1+F40)^F41,0)</f>
        <v>1503</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2.79</v>
      </c>
      <c r="D36" s="1256" t="s">
        <v>771</v>
      </c>
      <c r="E36" s="294" t="s">
        <v>712</v>
      </c>
      <c r="F36" s="3164">
        <v>2E-3</v>
      </c>
      <c r="G36" s="1292"/>
      <c r="H36" s="2471"/>
      <c r="I36" s="1305"/>
      <c r="J36" s="1306"/>
      <c r="K36" s="2329"/>
      <c r="L36" s="2471"/>
      <c r="M36" s="2471"/>
    </row>
    <row r="37" spans="1:18" ht="18" customHeight="1">
      <c r="A37" s="928" t="s">
        <v>437</v>
      </c>
      <c r="B37" s="294" t="s">
        <v>742</v>
      </c>
      <c r="C37" s="21">
        <f ca="1">ROUND(C13*F37,2)</f>
        <v>1.19</v>
      </c>
      <c r="D37" s="1256" t="s">
        <v>743</v>
      </c>
      <c r="E37" s="294" t="s">
        <v>712</v>
      </c>
      <c r="F37" s="3165">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3166">
        <f ca="1">INDIRECT("'数据-取费表'!Am"&amp;$G$1)</f>
        <v>5.0000000000000001E-3</v>
      </c>
      <c r="G38" s="1292"/>
      <c r="H38" s="2471"/>
      <c r="I38" s="1305"/>
      <c r="J38" s="1306"/>
      <c r="K38" s="2469"/>
      <c r="L38" s="2471"/>
      <c r="M38" s="2471"/>
    </row>
    <row r="39" spans="1:18" ht="24.6" customHeight="1" thickTop="1">
      <c r="A39" s="1016" t="s">
        <v>394</v>
      </c>
      <c r="B39" s="1031" t="s">
        <v>752</v>
      </c>
      <c r="C39" s="302">
        <f ca="1">C5-C30</f>
        <v>73</v>
      </c>
      <c r="D39" s="1032" t="s">
        <v>753</v>
      </c>
      <c r="E39" s="1033"/>
      <c r="F39" s="1034"/>
      <c r="G39" s="1292"/>
      <c r="H39" s="2471"/>
      <c r="I39" s="1305">
        <f ca="1">C39/C6</f>
        <v>0.78494623655913975</v>
      </c>
      <c r="J39" s="1306"/>
      <c r="K39" s="2469"/>
      <c r="L39" s="2471"/>
      <c r="M39" s="2471"/>
    </row>
    <row r="40" spans="1:18" ht="18" customHeight="1">
      <c r="A40" s="291" t="s">
        <v>395</v>
      </c>
      <c r="B40" s="292" t="s">
        <v>774</v>
      </c>
      <c r="C40" s="293">
        <f ca="1">ROUND(C39*(1-((1+F42)/(1+F40))^F41)/(F40-F42),0)</f>
        <v>497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3300</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945</v>
      </c>
      <c r="D46" s="1313" t="str">
        <f>C2</f>
        <v>万元</v>
      </c>
      <c r="E46" s="1307"/>
      <c r="F46" s="1307"/>
      <c r="I46" s="1314" t="s">
        <v>810</v>
      </c>
      <c r="J46" s="1315"/>
      <c r="K46" s="1316"/>
      <c r="L46" s="1317">
        <f ca="1">IF(M47="住宅",0,IF(L48&gt;J51,L60,J60))</f>
        <v>125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2000</v>
      </c>
      <c r="R47" s="1327" t="s">
        <v>818</v>
      </c>
    </row>
    <row r="48" spans="1:18" s="1292" customFormat="1" ht="28.5" thickBot="1">
      <c r="A48" s="1047" t="s">
        <v>438</v>
      </c>
      <c r="B48" s="292" t="s">
        <v>692</v>
      </c>
      <c r="C48" s="1268">
        <f ca="1">C49+C53+C55</f>
        <v>247</v>
      </c>
      <c r="D48" s="1049"/>
      <c r="E48" s="1050"/>
      <c r="F48" s="908"/>
      <c r="G48" s="681"/>
      <c r="H48" s="682"/>
      <c r="I48" s="1328" t="s">
        <v>819</v>
      </c>
      <c r="J48" s="1329" t="s">
        <v>3557</v>
      </c>
      <c r="K48" s="1330" t="s">
        <v>820</v>
      </c>
      <c r="L48" s="1331">
        <f ca="1">INDIRECT("'数据-取费表'!f"&amp;$G$1)</f>
        <v>21.9</v>
      </c>
      <c r="O48" s="1325" t="s">
        <v>404</v>
      </c>
      <c r="P48" s="1326" t="s">
        <v>821</v>
      </c>
      <c r="Q48" s="1327">
        <f ca="1">J60</f>
        <v>125</v>
      </c>
      <c r="R48" s="1327" t="s">
        <v>822</v>
      </c>
    </row>
    <row r="49" spans="1:18" s="1292" customFormat="1" ht="13.5" thickBot="1">
      <c r="A49" s="921" t="s">
        <v>439</v>
      </c>
      <c r="B49" s="1279" t="s">
        <v>779</v>
      </c>
      <c r="C49" s="1051">
        <f ca="1">ROUND(F49*F51*F50*(1-F52)/10000,0)</f>
        <v>247</v>
      </c>
      <c r="D49" s="992" t="s">
        <v>2108</v>
      </c>
      <c r="E49" s="1280" t="s">
        <v>780</v>
      </c>
      <c r="F49" s="3163">
        <f>Sheet1!I37</f>
        <v>5</v>
      </c>
      <c r="H49" s="682"/>
      <c r="I49" s="1328" t="s">
        <v>823</v>
      </c>
      <c r="J49" s="1332">
        <f>Sheet1!C18</f>
        <v>2012</v>
      </c>
      <c r="K49" s="1330" t="s">
        <v>824</v>
      </c>
      <c r="L49" s="1333"/>
      <c r="O49" s="1334" t="s">
        <v>405</v>
      </c>
      <c r="P49" s="1326" t="s">
        <v>825</v>
      </c>
      <c r="Q49" s="1327">
        <f ca="1">C29</f>
        <v>1395</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0.435</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-181</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21.9</v>
      </c>
      <c r="K53" s="3398" t="s">
        <v>837</v>
      </c>
      <c r="L53" s="3399"/>
      <c r="O53" s="1325" t="s">
        <v>409</v>
      </c>
      <c r="P53" s="1326" t="s">
        <v>838</v>
      </c>
      <c r="Q53" s="1327">
        <f ca="1">Q47+Q48</f>
        <v>2125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0.435</v>
      </c>
      <c r="K55" s="1350" t="s">
        <v>841</v>
      </c>
      <c r="L55" s="1351"/>
      <c r="O55" s="1318" t="s">
        <v>811</v>
      </c>
      <c r="P55" s="1319" t="s">
        <v>812</v>
      </c>
      <c r="Q55" s="1320" t="s">
        <v>813</v>
      </c>
      <c r="R55" s="1320" t="s">
        <v>814</v>
      </c>
    </row>
    <row r="56" spans="1:18" s="1292" customFormat="1" ht="25.5" thickTop="1" thickBot="1">
      <c r="A56" s="903">
        <v>2</v>
      </c>
      <c r="B56" s="904" t="s">
        <v>704</v>
      </c>
      <c r="C56" s="224">
        <f ca="1">C13</f>
        <v>1186</v>
      </c>
      <c r="D56" s="1352"/>
      <c r="E56" s="1353"/>
      <c r="F56" s="1345"/>
      <c r="I56" s="1354" t="s">
        <v>842</v>
      </c>
      <c r="J56" s="1355" t="s">
        <v>3390</v>
      </c>
      <c r="K56" s="1328" t="s">
        <v>843</v>
      </c>
      <c r="L56" s="1331" t="str">
        <f ca="1">IF(L48&lt;J51,"——",L48-J53)</f>
        <v>——</v>
      </c>
      <c r="O56" s="1325" t="s">
        <v>403</v>
      </c>
      <c r="P56" s="1326" t="s">
        <v>817</v>
      </c>
      <c r="Q56" s="1327">
        <f ca="1">C40+J29</f>
        <v>2000</v>
      </c>
      <c r="R56" s="1327" t="s">
        <v>818</v>
      </c>
    </row>
    <row r="57" spans="1:18" s="1292" customFormat="1" ht="24.75" thickBot="1">
      <c r="A57" s="1356"/>
      <c r="B57" s="896" t="s">
        <v>767</v>
      </c>
      <c r="C57" s="230">
        <f ca="1">C29</f>
        <v>1395</v>
      </c>
      <c r="D57" s="1357"/>
      <c r="E57" s="1358"/>
      <c r="F57" s="1359"/>
      <c r="I57" s="1360" t="s">
        <v>844</v>
      </c>
      <c r="J57" s="1361">
        <f ca="1">IF(OR(M47="住宅",J51&lt;L48,J56="是"),"——",J51-L48)</f>
        <v>26.1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50</v>
      </c>
      <c r="D58" s="906" t="s">
        <v>715</v>
      </c>
      <c r="E58" s="907"/>
      <c r="F58" s="908"/>
      <c r="I58" s="1360" t="s">
        <v>848</v>
      </c>
      <c r="J58" s="1362">
        <f ca="1">IF(J55&lt;0.4,0.4,J55)</f>
        <v>0.435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13.17</v>
      </c>
      <c r="D60" s="910" t="s">
        <v>724</v>
      </c>
      <c r="E60" s="896" t="s">
        <v>712</v>
      </c>
      <c r="F60" s="322">
        <f t="shared" ref="F60:F63" si="0">F32</f>
        <v>5.6000000000000001E-2</v>
      </c>
      <c r="I60" s="1363" t="s">
        <v>853</v>
      </c>
      <c r="J60" s="1364">
        <f ca="1">IF(OR(M47="住宅",J51&lt;L48,J56="是"),"0",ROUND(J59/(1+J52)^J53,0))</f>
        <v>125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28.23</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2000</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6.98</v>
      </c>
      <c r="D64" s="910" t="s">
        <v>771</v>
      </c>
      <c r="E64" s="896" t="s">
        <v>712</v>
      </c>
      <c r="F64" s="3167">
        <f ca="1">M22</f>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1.19</v>
      </c>
      <c r="D65" s="910" t="s">
        <v>743</v>
      </c>
      <c r="E65" s="896" t="s">
        <v>712</v>
      </c>
      <c r="F65" s="3167">
        <f t="shared" ref="F65:F66" ca="1" si="1">M23</f>
        <v>1E-3</v>
      </c>
      <c r="I65" s="1367" t="s">
        <v>867</v>
      </c>
      <c r="J65" s="610">
        <v>40</v>
      </c>
      <c r="K65" s="610">
        <v>30</v>
      </c>
      <c r="L65" s="610">
        <v>50</v>
      </c>
      <c r="M65" s="1369">
        <v>0.02</v>
      </c>
      <c r="O65" s="1325" t="s">
        <v>403</v>
      </c>
      <c r="P65" s="1326" t="s">
        <v>817</v>
      </c>
      <c r="Q65" s="1327">
        <f ca="1">C40+J29</f>
        <v>2000</v>
      </c>
      <c r="R65" s="1327" t="s">
        <v>818</v>
      </c>
    </row>
    <row r="66" spans="1:18" s="1292" customFormat="1" ht="16.5" thickBot="1">
      <c r="A66" s="928" t="s">
        <v>793</v>
      </c>
      <c r="B66" s="896" t="s">
        <v>728</v>
      </c>
      <c r="C66" s="21">
        <f ca="1">ROUND(C48*F66,2)</f>
        <v>1.24</v>
      </c>
      <c r="D66" s="910" t="s">
        <v>748</v>
      </c>
      <c r="E66" s="896" t="s">
        <v>712</v>
      </c>
      <c r="F66" s="3167">
        <f t="shared" ca="1" si="1"/>
        <v>5.0000000000000001E-3</v>
      </c>
      <c r="O66" s="1325" t="s">
        <v>404</v>
      </c>
      <c r="P66" s="1326" t="s">
        <v>846</v>
      </c>
      <c r="Q66" s="1327">
        <f ca="1">L60</f>
        <v>0</v>
      </c>
      <c r="R66" s="1327" t="s">
        <v>869</v>
      </c>
    </row>
    <row r="67" spans="1:18" s="1292" customFormat="1" ht="16.5" thickBot="1">
      <c r="A67" s="903" t="s">
        <v>394</v>
      </c>
      <c r="B67" s="913" t="s">
        <v>752</v>
      </c>
      <c r="C67" s="308">
        <f ca="1">C48-C58</f>
        <v>197</v>
      </c>
      <c r="D67" s="909" t="s">
        <v>753</v>
      </c>
      <c r="E67" s="914"/>
      <c r="F67" s="915"/>
      <c r="O67" s="1334" t="s">
        <v>405</v>
      </c>
      <c r="P67" s="1326" t="s">
        <v>850</v>
      </c>
      <c r="Q67" s="1370">
        <f ca="1">L51</f>
        <v>-181</v>
      </c>
      <c r="R67" s="1327" t="s">
        <v>870</v>
      </c>
    </row>
    <row r="68" spans="1:18" s="1292" customFormat="1" ht="16.5" thickBot="1">
      <c r="A68" s="893" t="s">
        <v>395</v>
      </c>
      <c r="B68" s="894" t="s">
        <v>774</v>
      </c>
      <c r="C68" s="293">
        <f ca="1">ROUND(C67*(1-((1+F70)/(1+F68))^F69)/(F68-F70),0)</f>
        <v>1442</v>
      </c>
      <c r="D68" s="911" t="s">
        <v>758</v>
      </c>
      <c r="E68" s="896" t="s">
        <v>759</v>
      </c>
      <c r="F68" s="304">
        <f ca="1">F40</f>
        <v>5.5E-2</v>
      </c>
      <c r="O68" s="1334" t="s">
        <v>406</v>
      </c>
      <c r="P68" s="1371" t="s">
        <v>871</v>
      </c>
      <c r="Q68" s="1327">
        <f ca="1">ROUND(Q69-Q70*Q71,0)</f>
        <v>-10</v>
      </c>
      <c r="R68" s="1327" t="s">
        <v>414</v>
      </c>
    </row>
    <row r="69" spans="1:18" s="1292" customFormat="1" ht="13.5" thickBot="1">
      <c r="A69" s="897"/>
      <c r="B69" s="898"/>
      <c r="C69" s="298"/>
      <c r="D69" s="916" t="s">
        <v>762</v>
      </c>
      <c r="E69" s="896" t="s">
        <v>763</v>
      </c>
      <c r="F69" s="324">
        <f ca="1">F41</f>
        <v>8.77</v>
      </c>
      <c r="O69" s="1334" t="s">
        <v>411</v>
      </c>
      <c r="P69" s="1371" t="s">
        <v>872</v>
      </c>
      <c r="Q69" s="1327">
        <f ca="1">C39</f>
        <v>73</v>
      </c>
      <c r="R69" s="1327" t="s">
        <v>818</v>
      </c>
    </row>
    <row r="70" spans="1:18" s="1292" customFormat="1" ht="13.5" thickBot="1">
      <c r="A70" s="900"/>
      <c r="B70" s="901"/>
      <c r="C70" s="302"/>
      <c r="D70" s="912"/>
      <c r="E70" s="896" t="s">
        <v>766</v>
      </c>
      <c r="F70" s="991">
        <v>0.02</v>
      </c>
      <c r="O70" s="1334" t="s">
        <v>412</v>
      </c>
      <c r="P70" s="1371" t="s">
        <v>873</v>
      </c>
      <c r="Q70" s="1327">
        <f ca="1">C13</f>
        <v>1186</v>
      </c>
      <c r="R70" s="1327" t="s">
        <v>818</v>
      </c>
    </row>
    <row r="71" spans="1:18" s="1292" customFormat="1" ht="13.5" thickBot="1">
      <c r="A71" s="917" t="s">
        <v>396</v>
      </c>
      <c r="B71" s="918" t="s">
        <v>776</v>
      </c>
      <c r="C71" s="327">
        <f ca="1">ROUND(C68*10000/F71,0)</f>
        <v>9575</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83</v>
      </c>
      <c r="D75" s="1292"/>
      <c r="E75" s="1292"/>
      <c r="F75" s="1292"/>
      <c r="K75" s="1309"/>
      <c r="L75" s="1292"/>
      <c r="O75" s="1325" t="s">
        <v>409</v>
      </c>
      <c r="P75" s="1326" t="s">
        <v>838</v>
      </c>
      <c r="Q75" s="1327">
        <f ca="1">Q65+Q66</f>
        <v>2000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-0.13700000000000001</v>
      </c>
    </row>
    <row r="80" spans="1:18">
      <c r="B80" s="331" t="s">
        <v>800</v>
      </c>
      <c r="C80" s="266">
        <f ca="1">ROUND(C75/C39,3)</f>
        <v>1.137</v>
      </c>
    </row>
    <row r="81" spans="2:3">
      <c r="B81" s="262" t="s">
        <v>801</v>
      </c>
      <c r="C81" s="230"/>
    </row>
    <row r="82" spans="2:3">
      <c r="B82" s="265" t="s">
        <v>802</v>
      </c>
      <c r="C82" s="267">
        <f ca="1">1-C83</f>
        <v>-1.3860000000000001</v>
      </c>
    </row>
    <row r="83" spans="2:3">
      <c r="B83" s="265" t="s">
        <v>803</v>
      </c>
      <c r="C83" s="266">
        <f ca="1">ROUND(C13/C40,3)</f>
        <v>2.3860000000000001</v>
      </c>
    </row>
  </sheetData>
  <sheetProtection algorithmName="SHA-512" hashValue="7m4NLdNsrfVvYu+BP6oEeJmV0AiUED+57BVNzMXYqRq0jkB+BzKXmI8W0TMhO6s/da6ruXNGvoDixqvZ4x+j7A==" saltValue="lIFj3DDkkNqShKkyZRGr3w==" spinCount="100000"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00000000-0002-0000-2700-000000000000}">
      <formula1>"在建（套用方法）,土地（套用方法）,——"</formula1>
    </dataValidation>
    <dataValidation type="list" allowBlank="1" showInputMessage="1" showErrorMessage="1" sqref="M10 F10 F53" xr:uid="{00000000-0002-0000-2700-000001000000}">
      <formula1>"押一,押二,押三,自定义"</formula1>
    </dataValidation>
    <dataValidation type="list" allowBlank="1" showInputMessage="1" showErrorMessage="1" sqref="L55" xr:uid="{00000000-0002-0000-2700-000002000000}">
      <formula1>"比较法,基准地价,收益还原"</formula1>
    </dataValidation>
    <dataValidation type="list" allowBlank="1" showInputMessage="1" showErrorMessage="1" sqref="J56" xr:uid="{00000000-0002-0000-2700-000003000000}">
      <formula1>估价范围判定</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47" xr:uid="{00000000-0002-0000-2700-000005000000}">
      <formula1>"钢,钢混,砖混"</formula1>
    </dataValidation>
    <dataValidation type="list" allowBlank="1" showInputMessage="1" showErrorMessage="1" sqref="C1" xr:uid="{00000000-0002-0000-2700-000006000000}">
      <formula1>项目类型</formula1>
    </dataValidation>
    <dataValidation type="list" allowBlank="1" showInputMessage="1" showErrorMessage="1" sqref="D33 D61" xr:uid="{00000000-0002-0000-2700-000007000000}">
      <formula1>"按租金收入计税,按房产原值计税,按票据"</formula1>
    </dataValidation>
    <dataValidation type="list" allowBlank="1" showInputMessage="1" showErrorMessage="1" sqref="K19" xr:uid="{00000000-0002-0000-2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sheetPr>
  <dimension ref="A1:AK83"/>
  <sheetViews>
    <sheetView view="pageBreakPreview" topLeftCell="A40" zoomScale="85" zoomScaleNormal="70" zoomScaleSheetLayoutView="85" workbookViewId="0">
      <selection activeCell="B71" sqref="B7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10265</v>
      </c>
      <c r="C2" s="1289" t="s">
        <v>805</v>
      </c>
      <c r="D2" s="1289"/>
      <c r="E2" s="1295"/>
      <c r="F2" s="1296"/>
      <c r="G2" s="2476"/>
      <c r="H2" s="2466"/>
      <c r="I2" s="2466"/>
      <c r="J2" s="2466"/>
      <c r="K2" s="2467"/>
      <c r="L2" s="2466"/>
      <c r="M2" s="2466"/>
    </row>
    <row r="3" spans="1:37" ht="18" customHeight="1" thickBot="1">
      <c r="A3" s="1297" t="s">
        <v>806</v>
      </c>
      <c r="B3" s="1298">
        <f ca="1">IF(ISERROR(B2*10000/F43),0,ROUND(B2*10000/F43,0))</f>
        <v>13632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401</v>
      </c>
      <c r="D5" s="1273" t="s">
        <v>693</v>
      </c>
      <c r="E5" s="1008"/>
      <c r="F5" s="1009"/>
      <c r="G5" s="1292"/>
      <c r="H5" s="291">
        <v>1</v>
      </c>
      <c r="I5" s="292" t="s">
        <v>692</v>
      </c>
      <c r="J5" s="1007">
        <f ca="1">J6+J10+J12</f>
        <v>1030</v>
      </c>
      <c r="K5" s="1273" t="s">
        <v>693</v>
      </c>
      <c r="L5" s="1008"/>
      <c r="M5" s="1009"/>
    </row>
    <row r="6" spans="1:37" ht="18" customHeight="1">
      <c r="A6" s="1006" t="s">
        <v>398</v>
      </c>
      <c r="B6" s="3395" t="s">
        <v>694</v>
      </c>
      <c r="C6" s="1011">
        <f ca="1">ROUND(F6*F8*F7*(1-F9)/10000,0)</f>
        <v>401</v>
      </c>
      <c r="D6" s="147" t="s">
        <v>2109</v>
      </c>
      <c r="E6" s="294" t="s">
        <v>696</v>
      </c>
      <c r="F6" s="295">
        <f ca="1">INDIRECT("'数据-取费表'!u"&amp;$G$1)</f>
        <v>1.46</v>
      </c>
      <c r="G6" s="1292"/>
      <c r="H6" s="1006" t="s">
        <v>398</v>
      </c>
      <c r="I6" s="3395" t="s">
        <v>694</v>
      </c>
      <c r="J6" s="293">
        <f ca="1">ROUND(M6*M8*M7*(1-M9)/10000,0)</f>
        <v>1029</v>
      </c>
      <c r="K6" s="147" t="s">
        <v>2108</v>
      </c>
      <c r="L6" s="294" t="s">
        <v>696</v>
      </c>
      <c r="M6" s="295">
        <f ca="1">INDIRECT("'数据-取费表'!z"&amp;$G$1)</f>
        <v>4.16</v>
      </c>
    </row>
    <row r="7" spans="1:37" ht="18" customHeight="1">
      <c r="A7" s="1010"/>
      <c r="B7" s="3396"/>
      <c r="C7" s="1012"/>
      <c r="D7" s="299"/>
      <c r="E7" s="1013" t="s">
        <v>697</v>
      </c>
      <c r="F7" s="295">
        <f ca="1">IF(INDIRECT("'数据-取费表'!ah"&amp;$G$1)="",INDIRECT("'数据-取费表'!k"&amp;$G$1),INDIRECT("'数据-取费表'!ah"&amp;$G$1))</f>
        <v>7529.9250000000002</v>
      </c>
      <c r="G7" s="1292"/>
      <c r="H7" s="296"/>
      <c r="I7" s="3396"/>
      <c r="J7" s="298"/>
      <c r="K7" s="299"/>
      <c r="L7" s="294" t="s">
        <v>697</v>
      </c>
      <c r="M7" s="295">
        <f ca="1">F7</f>
        <v>7529.9250000000002</v>
      </c>
    </row>
    <row r="8" spans="1:37" ht="18" customHeight="1">
      <c r="A8" s="296"/>
      <c r="B8" s="3396"/>
      <c r="C8" s="298"/>
      <c r="D8" s="299"/>
      <c r="E8" s="294" t="s">
        <v>698</v>
      </c>
      <c r="F8" s="295">
        <f ca="1">INDIRECT("'数据-取费表'!ai"&amp;$G$1)</f>
        <v>365</v>
      </c>
      <c r="G8" s="1292"/>
      <c r="H8" s="296"/>
      <c r="I8" s="3396"/>
      <c r="J8" s="298"/>
      <c r="K8" s="299"/>
      <c r="L8" s="294" t="s">
        <v>698</v>
      </c>
      <c r="M8" s="295">
        <f ca="1">INDIRECT("'数据-取费表'!ai"&amp;$G$1)</f>
        <v>365</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3570</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5929</v>
      </c>
      <c r="D13" s="1018" t="s">
        <v>705</v>
      </c>
      <c r="E13" s="1018" t="s">
        <v>706</v>
      </c>
      <c r="F13" s="1019">
        <f ca="1">INDIRECT("'数据-取费表'!y"&amp;$G$1)</f>
        <v>0.85</v>
      </c>
      <c r="G13" s="1292"/>
      <c r="H13" s="1016">
        <v>2</v>
      </c>
      <c r="I13" s="1017" t="s">
        <v>704</v>
      </c>
      <c r="J13" s="1005">
        <f ca="1">ROUND(J14*J15,0)</f>
        <v>5092</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6975</v>
      </c>
      <c r="K14" s="12"/>
      <c r="L14" s="759"/>
      <c r="M14" s="760"/>
    </row>
    <row r="15" spans="1:37" s="1304" customFormat="1" ht="18" customHeight="1" thickBot="1">
      <c r="A15" s="928" t="s">
        <v>399</v>
      </c>
      <c r="B15" s="294" t="s">
        <v>710</v>
      </c>
      <c r="C15" s="21">
        <f ca="1">ROUND(C14*F15,0)</f>
        <v>271</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218</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172.48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54.88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5030</v>
      </c>
      <c r="D19" s="123" t="s">
        <v>726</v>
      </c>
      <c r="E19" s="1269"/>
      <c r="F19" s="23"/>
      <c r="G19" s="1292"/>
      <c r="H19" s="928" t="s">
        <v>399</v>
      </c>
      <c r="I19" s="294" t="s">
        <v>727</v>
      </c>
      <c r="J19" s="21">
        <f ca="1">IF(K19="按租金收入计税",ROUND(J6*M19/(1+'数据-取费表'!C42),2),ROUND(C29*M19*0.7,2))</f>
        <v>117.6</v>
      </c>
      <c r="K19" s="1278" t="s">
        <v>3334</v>
      </c>
      <c r="L19" s="294" t="s">
        <v>712</v>
      </c>
      <c r="M19" s="314">
        <f>IF(K19="按租金收入计税",'数据-取费表'!B51,'数据-取费表'!B50)</f>
        <v>0.12</v>
      </c>
    </row>
    <row r="20" spans="1:37" s="1304" customFormat="1" ht="18" customHeight="1">
      <c r="A20" s="928" t="s">
        <v>402</v>
      </c>
      <c r="B20" s="294" t="s">
        <v>728</v>
      </c>
      <c r="C20" s="21">
        <f ca="1">ROUND(C19*F20,0)</f>
        <v>151</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34.880000000000003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5.15</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812</v>
      </c>
      <c r="K25" s="1032" t="s">
        <v>753</v>
      </c>
      <c r="L25" s="1033"/>
      <c r="M25" s="1034"/>
    </row>
    <row r="26" spans="1:37">
      <c r="A26" s="928" t="s">
        <v>397</v>
      </c>
      <c r="B26" s="294" t="s">
        <v>754</v>
      </c>
      <c r="C26" s="21">
        <f ca="1">ROUND((C19+C20)*F26,0)</f>
        <v>1036</v>
      </c>
      <c r="D26" s="315" t="s">
        <v>755</v>
      </c>
      <c r="E26" s="305" t="s">
        <v>756</v>
      </c>
      <c r="F26" s="304">
        <f ca="1">INDIRECT("'数据-取费表'!q"&amp;$G$1)</f>
        <v>0.2</v>
      </c>
      <c r="G26" s="1292"/>
      <c r="H26" s="291" t="s">
        <v>395</v>
      </c>
      <c r="I26" s="292" t="s">
        <v>757</v>
      </c>
      <c r="J26" s="293">
        <f ca="1">IF(J5&lt;&gt;0,ROUND(J25*(1-((1+M28)/(1+M26))^M27)/(M26-M28),0),0)</f>
        <v>12572</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6975</v>
      </c>
      <c r="D29" s="1029"/>
      <c r="E29" s="1027"/>
      <c r="F29" s="1030"/>
      <c r="G29" s="1303"/>
      <c r="H29" s="325" t="s">
        <v>396</v>
      </c>
      <c r="I29" s="326" t="s">
        <v>768</v>
      </c>
      <c r="J29" s="327">
        <f ca="1">ROUND(J26/(1+F40)^F41,0)</f>
        <v>7861</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89</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13.95</v>
      </c>
      <c r="D36" s="1256" t="s">
        <v>771</v>
      </c>
      <c r="E36" s="294" t="s">
        <v>712</v>
      </c>
      <c r="F36" s="3164">
        <f>收益法商!F36</f>
        <v>2E-3</v>
      </c>
      <c r="G36" s="1292"/>
      <c r="H36" s="2471"/>
      <c r="I36" s="1305"/>
      <c r="J36" s="1306"/>
      <c r="K36" s="2329"/>
      <c r="L36" s="2471"/>
      <c r="M36" s="2471"/>
    </row>
    <row r="37" spans="1:18" ht="18" customHeight="1">
      <c r="A37" s="928" t="s">
        <v>437</v>
      </c>
      <c r="B37" s="294" t="s">
        <v>742</v>
      </c>
      <c r="C37" s="21">
        <f ca="1">ROUND(C13*F37,2)</f>
        <v>5.93</v>
      </c>
      <c r="D37" s="1256" t="s">
        <v>743</v>
      </c>
      <c r="E37" s="294" t="s">
        <v>744</v>
      </c>
      <c r="F37" s="3165">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3166">
        <f ca="1">INDIRECT("'数据-取费表'!Am"&amp;$G$1)</f>
        <v>5.0000000000000001E-3</v>
      </c>
      <c r="G38" s="1292"/>
      <c r="H38" s="2471"/>
      <c r="I38" s="1305"/>
      <c r="J38" s="1306"/>
      <c r="K38" s="2469"/>
      <c r="L38" s="2471"/>
      <c r="M38" s="2471"/>
    </row>
    <row r="39" spans="1:18" ht="24.6" customHeight="1" thickTop="1">
      <c r="A39" s="1016" t="s">
        <v>394</v>
      </c>
      <c r="B39" s="1031" t="s">
        <v>772</v>
      </c>
      <c r="C39" s="302">
        <f ca="1">C5-C30</f>
        <v>312</v>
      </c>
      <c r="D39" s="1032" t="s">
        <v>773</v>
      </c>
      <c r="E39" s="1033"/>
      <c r="F39" s="1034"/>
      <c r="G39" s="1292"/>
      <c r="H39" s="2471"/>
      <c r="I39" s="1305"/>
      <c r="J39" s="1306"/>
      <c r="K39" s="2469"/>
      <c r="L39" s="2471"/>
      <c r="M39" s="2471"/>
    </row>
    <row r="40" spans="1:18" ht="18" customHeight="1">
      <c r="A40" s="291" t="s">
        <v>395</v>
      </c>
      <c r="B40" s="292" t="s">
        <v>774</v>
      </c>
      <c r="C40" s="293">
        <f ca="1">ROUND(C39*(1-((1+F42)/(1+F40))^F41)/(F40-F42),0)</f>
        <v>2126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2823</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2828</v>
      </c>
      <c r="D46" s="1313" t="str">
        <f>C2</f>
        <v>万元</v>
      </c>
      <c r="E46" s="1307"/>
      <c r="F46" s="1307"/>
      <c r="I46" s="1314" t="s">
        <v>810</v>
      </c>
      <c r="J46" s="1315"/>
      <c r="K46" s="1316"/>
      <c r="L46" s="1317">
        <f ca="1">IF(M47="住宅",0,IF(L48&gt;J51,L60,J60))</f>
        <v>278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9987</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31.91</v>
      </c>
      <c r="O48" s="1325" t="s">
        <v>404</v>
      </c>
      <c r="P48" s="1326" t="s">
        <v>821</v>
      </c>
      <c r="Q48" s="1327">
        <f ca="1">J60</f>
        <v>278</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6975</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-1862</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31.91</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31.91</v>
      </c>
      <c r="K53" s="3398" t="s">
        <v>837</v>
      </c>
      <c r="L53" s="3399"/>
      <c r="O53" s="1325" t="s">
        <v>409</v>
      </c>
      <c r="P53" s="1326" t="s">
        <v>838</v>
      </c>
      <c r="Q53" s="1327">
        <f ca="1">Q47+Q48</f>
        <v>10265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5929</v>
      </c>
      <c r="D56" s="1352"/>
      <c r="E56" s="1353"/>
      <c r="F56" s="1345"/>
      <c r="I56" s="1354" t="s">
        <v>842</v>
      </c>
      <c r="J56" s="1355" t="s">
        <v>3390</v>
      </c>
      <c r="K56" s="1328" t="s">
        <v>843</v>
      </c>
      <c r="L56" s="1331" t="str">
        <f ca="1">IF(L48&lt;J51,"——",L48-J53)</f>
        <v>——</v>
      </c>
      <c r="O56" s="1325" t="s">
        <v>403</v>
      </c>
      <c r="P56" s="1326" t="s">
        <v>817</v>
      </c>
      <c r="Q56" s="1327">
        <f ca="1">C40+J29</f>
        <v>9987</v>
      </c>
      <c r="R56" s="1327" t="s">
        <v>818</v>
      </c>
    </row>
    <row r="57" spans="1:18" s="1292" customFormat="1" ht="24.75" thickBot="1">
      <c r="A57" s="1356"/>
      <c r="B57" s="896" t="s">
        <v>767</v>
      </c>
      <c r="C57" s="230">
        <f ca="1">C29</f>
        <v>6975</v>
      </c>
      <c r="D57" s="1357"/>
      <c r="E57" s="1358"/>
      <c r="F57" s="1359"/>
      <c r="I57" s="1360" t="s">
        <v>844</v>
      </c>
      <c r="J57" s="1361">
        <f ca="1">IF(OR(M47="住宅",J51&lt;L48,J56="是"),"——",J51-L48)</f>
        <v>16.09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3" si="0">F32</f>
        <v>5.6000000000000001E-2</v>
      </c>
      <c r="I60" s="1363" t="s">
        <v>853</v>
      </c>
      <c r="J60" s="1364">
        <f ca="1">IF(OR(M47="住宅",J51&lt;L48,J56="是"),"0",ROUND(J59/(1+J52)^J53,0))</f>
        <v>278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9987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34.880000000000003</v>
      </c>
      <c r="D64" s="910" t="s">
        <v>791</v>
      </c>
      <c r="E64" s="896" t="s">
        <v>783</v>
      </c>
      <c r="F64" s="3167">
        <f ca="1">M22</f>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5.93</v>
      </c>
      <c r="D65" s="910" t="s">
        <v>743</v>
      </c>
      <c r="E65" s="896" t="s">
        <v>744</v>
      </c>
      <c r="F65" s="3167">
        <f t="shared" ref="F65:F66" ca="1" si="1">M23</f>
        <v>1E-3</v>
      </c>
      <c r="I65" s="1367" t="s">
        <v>867</v>
      </c>
      <c r="J65" s="610">
        <v>40</v>
      </c>
      <c r="K65" s="610">
        <v>30</v>
      </c>
      <c r="L65" s="610">
        <v>50</v>
      </c>
      <c r="M65" s="1369">
        <v>0.02</v>
      </c>
      <c r="O65" s="1325" t="s">
        <v>403</v>
      </c>
      <c r="P65" s="1326" t="s">
        <v>868</v>
      </c>
      <c r="Q65" s="1327">
        <f ca="1">C40+J29</f>
        <v>9987</v>
      </c>
      <c r="R65" s="1327" t="s">
        <v>818</v>
      </c>
    </row>
    <row r="66" spans="1:18" s="1292" customFormat="1" ht="16.5" thickBot="1">
      <c r="A66" s="928" t="s">
        <v>793</v>
      </c>
      <c r="B66" s="896" t="s">
        <v>728</v>
      </c>
      <c r="C66" s="21">
        <f ca="1">ROUND(C48*F66,2)</f>
        <v>4.34</v>
      </c>
      <c r="D66" s="910" t="s">
        <v>794</v>
      </c>
      <c r="E66" s="896" t="s">
        <v>712</v>
      </c>
      <c r="F66" s="3167">
        <f t="shared" ca="1" si="1"/>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-1862</v>
      </c>
      <c r="R67" s="1327" t="s">
        <v>870</v>
      </c>
    </row>
    <row r="68" spans="1:18" s="1292" customFormat="1" ht="16.5" thickBot="1">
      <c r="A68" s="893" t="s">
        <v>395</v>
      </c>
      <c r="B68" s="894" t="s">
        <v>774</v>
      </c>
      <c r="C68" s="293">
        <f ca="1">ROUND(C67*(1-((1+F70)/(1+F68))^F69)/(F68-F70),0)</f>
        <v>4954</v>
      </c>
      <c r="D68" s="911" t="s">
        <v>758</v>
      </c>
      <c r="E68" s="896" t="s">
        <v>759</v>
      </c>
      <c r="F68" s="304">
        <f ca="1">F40</f>
        <v>5.5E-2</v>
      </c>
      <c r="O68" s="1334" t="s">
        <v>406</v>
      </c>
      <c r="P68" s="1371" t="s">
        <v>871</v>
      </c>
      <c r="Q68" s="1327">
        <f ca="1">ROUND(Q69-Q70*Q71,0)</f>
        <v>-103</v>
      </c>
      <c r="R68" s="1327" t="s">
        <v>414</v>
      </c>
    </row>
    <row r="69" spans="1:18" s="1292" customFormat="1" ht="13.5" thickBot="1">
      <c r="A69" s="897"/>
      <c r="B69" s="898"/>
      <c r="C69" s="298"/>
      <c r="D69" s="916" t="s">
        <v>762</v>
      </c>
      <c r="E69" s="896" t="s">
        <v>763</v>
      </c>
      <c r="F69" s="324">
        <f ca="1">F41</f>
        <v>8.77</v>
      </c>
      <c r="O69" s="1334" t="s">
        <v>411</v>
      </c>
      <c r="P69" s="1371" t="s">
        <v>872</v>
      </c>
      <c r="Q69" s="1327">
        <f ca="1">C39</f>
        <v>312</v>
      </c>
      <c r="R69" s="1327" t="s">
        <v>818</v>
      </c>
    </row>
    <row r="70" spans="1:18" s="1292" customFormat="1" ht="13.5" thickBot="1">
      <c r="A70" s="900"/>
      <c r="B70" s="901"/>
      <c r="C70" s="302"/>
      <c r="D70" s="912"/>
      <c r="E70" s="896" t="s">
        <v>766</v>
      </c>
      <c r="F70" s="991">
        <v>0.02</v>
      </c>
      <c r="O70" s="1334" t="s">
        <v>412</v>
      </c>
      <c r="P70" s="1371" t="s">
        <v>873</v>
      </c>
      <c r="Q70" s="1327">
        <f ca="1">C13</f>
        <v>5929</v>
      </c>
      <c r="R70" s="1327" t="s">
        <v>818</v>
      </c>
    </row>
    <row r="71" spans="1:18" s="1292" customFormat="1" ht="13.5" thickBot="1">
      <c r="A71" s="917" t="s">
        <v>396</v>
      </c>
      <c r="B71" s="918" t="s">
        <v>776</v>
      </c>
      <c r="C71" s="327">
        <f ca="1">ROUND(C68*10000/F71,0)</f>
        <v>6579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415</v>
      </c>
      <c r="D75" s="1292"/>
      <c r="E75" s="1292"/>
      <c r="F75" s="1292"/>
      <c r="K75" s="1309"/>
      <c r="L75" s="1292"/>
      <c r="O75" s="1325" t="s">
        <v>409</v>
      </c>
      <c r="P75" s="1326" t="s">
        <v>838</v>
      </c>
      <c r="Q75" s="1327">
        <f ca="1">Q65+Q66</f>
        <v>9987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-0.33000000000000007</v>
      </c>
    </row>
    <row r="80" spans="1:18">
      <c r="B80" s="331" t="s">
        <v>800</v>
      </c>
      <c r="C80" s="266">
        <f ca="1">ROUND(C75/C39,3)</f>
        <v>1.33</v>
      </c>
    </row>
    <row r="81" spans="2:3">
      <c r="B81" s="262" t="s">
        <v>801</v>
      </c>
      <c r="C81" s="230"/>
    </row>
    <row r="82" spans="2:3">
      <c r="B82" s="265" t="s">
        <v>802</v>
      </c>
      <c r="C82" s="267">
        <f ca="1">1-C83</f>
        <v>-1.7890000000000001</v>
      </c>
    </row>
    <row r="83" spans="2:3">
      <c r="B83" s="265" t="s">
        <v>803</v>
      </c>
      <c r="C83" s="266">
        <f ca="1">ROUND(C13/C40,3)</f>
        <v>2.7890000000000001</v>
      </c>
    </row>
  </sheetData>
  <sheetProtection algorithmName="SHA-512" hashValue="qjhBAvclxITaA2dbpIhjQDyzPn/QM/FKlKPcwGaH3gL6d+GWK5TdWRPYAyN9VCJo3npsKFNEu3V6v/KUZufUiQ==" saltValue="SE44creMAy+ZXbQSm8u55w==" spinCount="100000"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800-000000000000}">
      <formula1>"按租金收入计税,按房产原值计税"</formula1>
    </dataValidation>
    <dataValidation type="list" allowBlank="1" showInputMessage="1" showErrorMessage="1" sqref="D33 D61" xr:uid="{00000000-0002-0000-2800-000001000000}">
      <formula1>"按租金收入计税,按房产原值计税,按票据"</formula1>
    </dataValidation>
    <dataValidation type="list" allowBlank="1" showInputMessage="1" showErrorMessage="1" sqref="C1" xr:uid="{00000000-0002-0000-2800-000002000000}">
      <formula1>项目类型</formula1>
    </dataValidation>
    <dataValidation type="list" allowBlank="1" showInputMessage="1" showErrorMessage="1" sqref="J47" xr:uid="{00000000-0002-0000-2800-000003000000}">
      <formula1>"钢,钢混,砖混"</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56" xr:uid="{00000000-0002-0000-2800-000005000000}">
      <formula1>估价范围判定</formula1>
    </dataValidation>
    <dataValidation type="list" allowBlank="1" showInputMessage="1" showErrorMessage="1" sqref="L55" xr:uid="{00000000-0002-0000-2800-000006000000}">
      <formula1>"比较法,基准地价,收益还原"</formula1>
    </dataValidation>
    <dataValidation type="list" allowBlank="1" showInputMessage="1" showErrorMessage="1" sqref="M10 F10 F53"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12390</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13712</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83" t="s">
        <v>1654</v>
      </c>
      <c r="C5" s="3484"/>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10265</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2125</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9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7" t="s">
        <v>2837</v>
      </c>
      <c r="B1" s="3487"/>
      <c r="C1" s="3487"/>
      <c r="D1" s="3487"/>
      <c r="E1" s="3487"/>
      <c r="F1" s="3487"/>
      <c r="G1" s="3488"/>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85"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6"/>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9" t="s">
        <v>3179</v>
      </c>
      <c r="B1" s="3489"/>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1"/>
  </cols>
  <sheetData>
    <row r="1" spans="1:6">
      <c r="A1" s="3490" t="s">
        <v>3230</v>
      </c>
      <c r="B1" s="3490"/>
      <c r="C1" s="3490"/>
      <c r="D1" s="3490"/>
      <c r="E1" s="3490"/>
      <c r="F1" s="3491"/>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45573</v>
      </c>
      <c r="B1" s="2927" t="s">
        <v>3369</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92" t="s">
        <v>2825</v>
      </c>
      <c r="S26" s="3493"/>
      <c r="T26" s="3493"/>
      <c r="U26" s="3493"/>
      <c r="V26" s="3493"/>
      <c r="W26" s="3493"/>
      <c r="X26" s="2894"/>
      <c r="Y26" s="3492" t="s">
        <v>2826</v>
      </c>
      <c r="Z26" s="3493"/>
      <c r="AA26" s="3493"/>
      <c r="AB26" s="3493"/>
      <c r="AC26" s="3493"/>
      <c r="AD26" s="3493"/>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17205</v>
      </c>
      <c r="E4" s="801">
        <f ca="1">结果表!E118</f>
        <v>19040</v>
      </c>
      <c r="F4" s="801">
        <f ca="1">结果表!F118</f>
        <v>5226</v>
      </c>
      <c r="G4" s="801">
        <f ca="1">结果表!G118</f>
        <v>5784</v>
      </c>
      <c r="H4" s="801">
        <f ca="1">结果表!H118</f>
        <v>22431</v>
      </c>
      <c r="I4" s="801">
        <f ca="1">结果表!I118</f>
        <v>24824</v>
      </c>
    </row>
    <row r="5" spans="1:9" ht="30" customHeight="1">
      <c r="A5" s="3182" t="s">
        <v>927</v>
      </c>
      <c r="B5" s="3182"/>
      <c r="C5" s="3182"/>
      <c r="D5" s="3182" t="str">
        <f ca="1">结果表!D119</f>
        <v>壹亿柒仟贰佰零伍万元整</v>
      </c>
      <c r="E5" s="3182"/>
      <c r="F5" s="3182" t="str">
        <f ca="1">结果表!F119</f>
        <v>伍仟贰佰贰拾陆万元整</v>
      </c>
      <c r="G5" s="3182"/>
      <c r="H5" s="3182" t="str">
        <f ca="1">结果表!H119</f>
        <v>贰亿贰仟肆佰叁拾壹万元整</v>
      </c>
      <c r="I5" s="3182"/>
    </row>
    <row r="6" spans="1:9" ht="15.75">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75">
      <c r="A8" s="3181" t="str">
        <f>结果表!A122</f>
        <v>房地产抵押价值</v>
      </c>
      <c r="B8" s="3181"/>
      <c r="C8" s="3181"/>
      <c r="D8" s="3181">
        <f ca="1">结果表!D122</f>
        <v>22431</v>
      </c>
      <c r="E8" s="3181"/>
      <c r="F8" s="3181"/>
      <c r="G8" s="3181"/>
      <c r="H8" s="3181"/>
      <c r="I8" s="3181"/>
    </row>
    <row r="9" spans="1:9" ht="15">
      <c r="A9" s="3182" t="s">
        <v>927</v>
      </c>
      <c r="B9" s="3182"/>
      <c r="C9" s="3182"/>
      <c r="D9" s="3182" t="str">
        <f ca="1">结果表!D123</f>
        <v>贰亿贰仟肆佰叁拾壹万元整</v>
      </c>
      <c r="E9" s="3182"/>
      <c r="F9" s="3182"/>
      <c r="G9" s="3182"/>
      <c r="H9" s="3182"/>
      <c r="I9" s="3182"/>
    </row>
    <row r="10" spans="1:9" ht="15.75">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75">
      <c r="A12" s="3181" t="str">
        <f>结果表!A126</f>
        <v/>
      </c>
      <c r="B12" s="3181"/>
      <c r="C12" s="3181"/>
      <c r="D12" s="3181" t="str">
        <f>结果表!D126</f>
        <v>——</v>
      </c>
      <c r="E12" s="3181"/>
      <c r="F12" s="3181"/>
      <c r="G12" s="3181"/>
      <c r="H12" s="3181"/>
      <c r="I12" s="3181"/>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（1）根据估价对象《房屋所有权证》复印件、《国有土地使用权》复印件，截至价值时点，估价对象抵押权未见登记。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2" t="s">
        <v>956</v>
      </c>
      <c r="B15" s="3197" t="s">
        <v>109</v>
      </c>
      <c r="C15" s="3198"/>
    </row>
    <row r="16" spans="1:7" ht="13.5">
      <c r="A16" s="3203"/>
      <c r="B16" s="3197" t="s">
        <v>42</v>
      </c>
      <c r="C16" s="3198"/>
    </row>
    <row r="17" spans="1:3" ht="13.5">
      <c r="A17" s="3203"/>
      <c r="B17" s="3200" t="s">
        <v>957</v>
      </c>
      <c r="C17" s="1429" t="s">
        <v>956</v>
      </c>
    </row>
    <row r="18" spans="1:3" ht="13.5">
      <c r="A18" s="3203"/>
      <c r="B18" s="3200"/>
      <c r="C18" s="1429" t="s">
        <v>958</v>
      </c>
    </row>
    <row r="19" spans="1:3" ht="13.5">
      <c r="A19" s="3203"/>
      <c r="B19" s="3200"/>
      <c r="C19" s="1429" t="s">
        <v>959</v>
      </c>
    </row>
    <row r="20" spans="1:3" ht="13.5">
      <c r="A20" s="3204"/>
      <c r="B20" s="3199" t="s">
        <v>960</v>
      </c>
      <c r="C20" s="3198"/>
    </row>
    <row r="21" spans="1:3" ht="13.5">
      <c r="A21" s="1430" t="s">
        <v>961</v>
      </c>
      <c r="B21" s="1431"/>
      <c r="C21" s="1432"/>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9" t="s">
        <v>967</v>
      </c>
    </row>
    <row r="26" spans="1:3" ht="13.5">
      <c r="A26" s="3201"/>
      <c r="B26" s="3200"/>
      <c r="C26" s="1429" t="s">
        <v>968</v>
      </c>
    </row>
    <row r="27" spans="1:3" ht="13.5">
      <c r="A27" s="3201"/>
      <c r="B27" s="3200"/>
      <c r="C27" s="1429" t="s">
        <v>969</v>
      </c>
    </row>
    <row r="28" spans="1:3" ht="13.5">
      <c r="A28" s="3201"/>
      <c r="B28" s="3200"/>
      <c r="C28" s="1429" t="s">
        <v>970</v>
      </c>
    </row>
    <row r="29" spans="1:3" ht="13.5">
      <c r="A29" s="3201"/>
      <c r="B29" s="3200"/>
      <c r="C29" s="1429" t="s">
        <v>971</v>
      </c>
    </row>
    <row r="30" spans="1:3" ht="13.5">
      <c r="A30" s="3201"/>
      <c r="B30" s="3200"/>
      <c r="C30" s="1429" t="s">
        <v>972</v>
      </c>
    </row>
    <row r="31" spans="1:3" ht="13.5">
      <c r="A31" s="3201"/>
      <c r="B31" s="3200"/>
      <c r="C31" s="1429" t="s">
        <v>973</v>
      </c>
    </row>
    <row r="32" spans="1:3" ht="13.5">
      <c r="A32" s="3201"/>
      <c r="B32" s="3200"/>
      <c r="C32" s="1429" t="s">
        <v>974</v>
      </c>
    </row>
    <row r="33" spans="1:3" ht="13.5">
      <c r="A33" s="3201"/>
      <c r="B33" s="320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45583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2024-10-18T14:02:01Z</dcterms:modified>
</cp:coreProperties>
</file>