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周彤\报告\2024年\2024-1-0822-靛厂路11号楼\"/>
    </mc:Choice>
  </mc:AlternateContent>
  <xr:revisionPtr revIDLastSave="0" documentId="13_ncr:1_{18063F19-B456-468B-9436-BCED29ADC2D3}" xr6:coauthVersionLast="47" xr6:coauthVersionMax="47" xr10:uidLastSave="{00000000-0000-0000-0000-000000000000}"/>
  <bookViews>
    <workbookView xWindow="-120" yWindow="-120" windowWidth="21840" windowHeight="1314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土地比较法-住宅、综合" sheetId="39" r:id="rId20"/>
    <sheet name="成本法 (元)" sheetId="69" state="hidden" r:id="rId21"/>
    <sheet name="假设开发法" sheetId="12" state="hidden" r:id="rId22"/>
    <sheet name="收益法 (元)" sheetId="67" state="hidden" r:id="rId23"/>
    <sheet name="收益法-酒店模型" sheetId="77"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工业" sheetId="40" state="hidden" r:id="rId30"/>
    <sheet name="典型户型修正" sheetId="31" state="hidden" r:id="rId31"/>
    <sheet name="基准地价修正" sheetId="43" state="hidden" r:id="rId32"/>
    <sheet name="基准地价（汇总）" sheetId="76" state="hidden" r:id="rId33"/>
    <sheet name="修正" sheetId="45" state="hidden" r:id="rId34"/>
    <sheet name="容积率修正" sheetId="46" state="hidden" r:id="rId35"/>
    <sheet name="成本法（废）" sheetId="11" state="hidden" r:id="rId36"/>
    <sheet name="土地案例" sheetId="82" r:id="rId37"/>
    <sheet name="成本法" sheetId="68" r:id="rId38"/>
    <sheet name="比较法-办公" sheetId="34" state="hidden" r:id="rId39"/>
    <sheet name="收益法商" sheetId="83" r:id="rId40"/>
    <sheet name="收益法" sheetId="15" r:id="rId41"/>
    <sheet name="收益法（汇总）" sheetId="70"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 r:id="rId51"/>
  </externalReferences>
  <definedNames>
    <definedName name="_xlnm._FilterDatabase" localSheetId="3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7">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31">基准地价修正!$A$1:$J$44,基准地价修正!$A$47:$H$101,基准地价修正!$R$1:$V$16</definedName>
    <definedName name="_xlnm.Print_Area" localSheetId="21">假设开发法!$A$1:$K$32</definedName>
    <definedName name="_xlnm.Print_Area" localSheetId="18">结果表!$A$1:$I$127</definedName>
    <definedName name="_xlnm.Print_Area" localSheetId="40">收益法!$A$1:$F$43,收益法!$H$3:$M$29,收益法!$A$46:$F$71,收益法!$I$46:$N$65</definedName>
    <definedName name="_xlnm.Print_Area" localSheetId="22">'收益法 (元)'!$A$1:$F$43,'收益法 (元)'!$H$3:$M$29,'收益法 (元)'!$A$45:$F$71,'收益法 (元)'!$I$46:$N$65</definedName>
    <definedName name="_xlnm.Print_Area" localSheetId="41">'收益法（汇总）'!$A$1:$F$13</definedName>
    <definedName name="_xlnm.Print_Area" localSheetId="39">收益法商!$A$1:$F$43,收益法商!$H$3:$M$29,收益法商!$A$46:$F$71,收益法商!$I$46:$N$65</definedName>
    <definedName name="_xlnm.Print_Area" localSheetId="13">'数据-汇总表'!$A$1:$P$32</definedName>
    <definedName name="_xlnm.Print_Area" localSheetId="29">'土地比较法-工业'!$A$1:$K$61,'土地比较法-工业'!$A$64:$M$121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36">'[2]比较法-办公'!$B$119:$M$119</definedName>
    <definedName name="办公层高">'比较法-办公'!$B$119:$M$119</definedName>
    <definedName name="办公朝向" localSheetId="14">'[1]比较法-办公'!$B$91:$M$91</definedName>
    <definedName name="办公朝向" localSheetId="36">'[2]比较法-办公'!$B$91:$M$91</definedName>
    <definedName name="办公朝向">'比较法-办公'!$B$91:$M$91</definedName>
    <definedName name="办公道路级别" localSheetId="14">'[1]比较法-办公'!$B$87:$M$87</definedName>
    <definedName name="办公道路级别" localSheetId="36">'[2]比较法-办公'!$B$87:$M$87</definedName>
    <definedName name="办公道路级别">'比较法-办公'!$B$87:$M$87</definedName>
    <definedName name="办公公共部分装修" localSheetId="14">'[1]比较法-办公'!$B$108:$M$108</definedName>
    <definedName name="办公公共部分装修" localSheetId="36">'[2]比较法-办公'!$B$108:$M$108</definedName>
    <definedName name="办公公共部分装修">'比较法-办公'!$B$108:$M$108</definedName>
    <definedName name="办公基础设施水平" localSheetId="14">'[1]比较法-办公'!$B$117:$M$117</definedName>
    <definedName name="办公基础设施水平" localSheetId="36">'[2]比较法-办公'!$B$117:$M$117</definedName>
    <definedName name="办公基础设施水平">'比较法-办公'!$B$117:$M$117</definedName>
    <definedName name="办公集聚程度" localSheetId="14">[1]定义!$M$1:$M$6</definedName>
    <definedName name="办公集聚程度" localSheetId="36">[2]定义!$M$1:$M$6</definedName>
    <definedName name="办公集聚程度">定义!$M$1:$M$6</definedName>
    <definedName name="办公建筑结构" localSheetId="14">'[1]比较法-办公'!$B$106:$M$106</definedName>
    <definedName name="办公建筑结构" localSheetId="36">'[2]比较法-办公'!$B$106:$M$106</definedName>
    <definedName name="办公建筑结构">'比较法-办公'!$B$106:$M$106</definedName>
    <definedName name="办公建筑类型" localSheetId="14">'[1]比较法-办公'!$B$101:$M$101</definedName>
    <definedName name="办公建筑类型" localSheetId="36">'[2]比较法-办公'!$B$101:$M$101</definedName>
    <definedName name="办公建筑类型">'比较法-办公'!$B$101:$M$101</definedName>
    <definedName name="办公交易情况" localSheetId="14">'[1]比较法-办公'!$A$62:$M$62</definedName>
    <definedName name="办公交易情况" localSheetId="36">'[2]比较法-办公'!$A$62:$M$62</definedName>
    <definedName name="办公交易情况">'比较法-办公'!$A$62:$M$62</definedName>
    <definedName name="办公楼层" localSheetId="14">'[1]比较法-办公'!$B$89:$M$89</definedName>
    <definedName name="办公楼层" localSheetId="36">'[2]比较法-办公'!$B$89:$M$89</definedName>
    <definedName name="办公楼层">'比较法-办公'!$B$89:$M$89</definedName>
    <definedName name="办公内部装修" localSheetId="14">'[1]比较法-办公'!$B$123:$M$123</definedName>
    <definedName name="办公内部装修" localSheetId="36">'[2]比较法-办公'!$B$123:$M$123</definedName>
    <definedName name="办公内部装修">'比较法-办公'!$B$123:$M$123</definedName>
    <definedName name="办公物业管理" localSheetId="14">'[1]比较法-办公'!$B$115:$M$115</definedName>
    <definedName name="办公物业管理" localSheetId="36">'[2]比较法-办公'!$B$115:$M$115</definedName>
    <definedName name="办公物业管理">'比较法-办公'!$B$115:$M$115</definedName>
    <definedName name="办公用途" localSheetId="14">'[1]比较法-办公'!$B$64:$M$64</definedName>
    <definedName name="办公用途" localSheetId="36">'[2]比较法-办公'!$B$64:$M$64</definedName>
    <definedName name="办公用途">'比较法-办公'!$B$64:$M$64</definedName>
    <definedName name="仓储公共部分装修" localSheetId="14">'[1]比较法-仓储'!$B$77:$M$77</definedName>
    <definedName name="仓储公共部分装修" localSheetId="36">'[2]比较法-仓储'!$B$77:$M$77</definedName>
    <definedName name="仓储公共部分装修">'比较法-仓储'!$B$77:$M$77</definedName>
    <definedName name="仓储交易情况" localSheetId="14">'[1]比较法-仓储'!$A$49:$M$49</definedName>
    <definedName name="仓储交易情况" localSheetId="36">'[2]比较法-仓储'!$A$49:$M$49</definedName>
    <definedName name="仓储交易情况">'比较法-仓储'!$A$49:$M$49</definedName>
    <definedName name="仓储楼层" localSheetId="14">'[1]比较法-仓储'!$B$69:$M$69</definedName>
    <definedName name="仓储楼层" localSheetId="36">'[2]比较法-仓储'!$B$69:$M$69</definedName>
    <definedName name="仓储楼层">'比较法-仓储'!$B$69:$M$69</definedName>
    <definedName name="仓储物业等级" localSheetId="14">'[1]比较法-仓储'!$B$82:$M$82</definedName>
    <definedName name="仓储物业等级" localSheetId="36">'[2]比较法-仓储'!$B$82:$M$82</definedName>
    <definedName name="仓储物业等级">'比较法-仓储'!$B$82:$M$82</definedName>
    <definedName name="仓储用途" localSheetId="14">'[1]比较法-仓储'!$B$51:$M$51</definedName>
    <definedName name="仓储用途" localSheetId="36">'[2]比较法-仓储'!$B$51:$M$51</definedName>
    <definedName name="仓储用途">'比较法-仓储'!$B$51:$M$51</definedName>
    <definedName name="产业集聚程度" localSheetId="14">[1]定义!$N$1:$N$6</definedName>
    <definedName name="产业集聚程度" localSheetId="36">[2]定义!$N$1:$N$6</definedName>
    <definedName name="产业集聚程度">定义!$N$1:$N$6</definedName>
    <definedName name="车位公共部分装修" localSheetId="14">'[1]比较法-车位'!$B$83:$M$83</definedName>
    <definedName name="车位公共部分装修" localSheetId="36">'[2]比较法-车位'!$B$83:$M$83</definedName>
    <definedName name="车位公共部分装修">'比较法-车位'!$B$83:$M$83</definedName>
    <definedName name="车位交易情况" localSheetId="14">'[1]比较法-车位'!$A$51:$M$51</definedName>
    <definedName name="车位交易情况" localSheetId="36">'[2]比较法-车位'!$A$51:$M$51</definedName>
    <definedName name="车位交易情况">'比较法-车位'!$A$51:$M$51</definedName>
    <definedName name="车位类型" localSheetId="14">'[1]比较法-车位'!$B$93:$M$93</definedName>
    <definedName name="车位类型" localSheetId="36">'[2]比较法-车位'!$B$93:$M$93</definedName>
    <definedName name="车位类型">'比较法-车位'!$B$93:$M$93</definedName>
    <definedName name="车位楼层" localSheetId="14">'[1]比较法-车位'!$B$71:$M$71</definedName>
    <definedName name="车位楼层" localSheetId="36">'[2]比较法-车位'!$B$71:$M$71</definedName>
    <definedName name="车位楼层">'比较法-车位'!$B$71:$M$71</definedName>
    <definedName name="车位配套类型" localSheetId="14">'[1]比较法-车位'!$B$79:$M$79</definedName>
    <definedName name="车位配套类型" localSheetId="36">'[2]比较法-车位'!$B$79:$M$79</definedName>
    <definedName name="车位配套类型">'比较法-车位'!$B$79:$M$79</definedName>
    <definedName name="车位物业等级" localSheetId="14">'[1]比较法-车位'!$B$88:$M$88</definedName>
    <definedName name="车位物业等级" localSheetId="36">'[2]比较法-车位'!$B$88:$M$88</definedName>
    <definedName name="车位物业等级">'比较法-车位'!$B$88:$M$88</definedName>
    <definedName name="车位用途" localSheetId="14">'[1]比较法-车位'!$B$53:$M$53</definedName>
    <definedName name="车位用途" localSheetId="36">'[2]比较法-车位'!$B$53:$M$53</definedName>
    <definedName name="车位用途">'比较法-车位'!$B$53:$M$53</definedName>
    <definedName name="城镇土地纳税等级分级范围" localSheetId="14">'[1]数据-取费表'!$A$53:$A$63</definedName>
    <definedName name="城镇土地纳税等级分级范围" localSheetId="36">'[2]数据-取费表'!$A$53:$A$63</definedName>
    <definedName name="城镇土地纳税等级分级范围">'数据-取费表'!$A$53:$A$63</definedName>
    <definedName name="单价内涵" localSheetId="14">[1]定义!$V$1:$V$3</definedName>
    <definedName name="单价内涵" localSheetId="36">[2]定义!$V$1:$V$3</definedName>
    <definedName name="单价内涵">定义!$V$1:$V$3</definedName>
    <definedName name="地类判定" localSheetId="14">[1]定义!$H$1:$H$9</definedName>
    <definedName name="地类判定" localSheetId="36">[2]定义!$H$1:$H$9</definedName>
    <definedName name="地类判定">定义!$H$1:$H$9</definedName>
    <definedName name="二级">区片价!$J$1:$J$21</definedName>
    <definedName name="二级分类" localSheetId="14">[1]修正!$C$19:$C$51</definedName>
    <definedName name="二级分类" localSheetId="36">[2]修正!$C$19:$C$51</definedName>
    <definedName name="二级分类">修正!$C$19:$C$51</definedName>
    <definedName name="法定最高年限" localSheetId="14">[1]定义!$G$1:$G$6</definedName>
    <definedName name="法定最高年限" localSheetId="36">[2]定义!$G$1:$G$6</definedName>
    <definedName name="法定最高年限">定义!$G$1:$G$6</definedName>
    <definedName name="工业公共部分装修" localSheetId="14">'[1]比较法-工业'!$B$95:$M$95</definedName>
    <definedName name="工业公共部分装修" localSheetId="36">'[2]比较法-工业'!$B$95:$M$95</definedName>
    <definedName name="工业公共部分装修">'比较法-工业'!$B$95:$M$95</definedName>
    <definedName name="工业基础设施水平" localSheetId="14">'[1]比较法-工业'!$B$102:$M$102</definedName>
    <definedName name="工业基础设施水平" localSheetId="36">'[2]比较法-工业'!$B$102:$M$102</definedName>
    <definedName name="工业基础设施水平">'比较法-工业'!$B$102:$M$102</definedName>
    <definedName name="工业建筑结构" localSheetId="14">'[1]比较法-工业'!$B$93:$M$93</definedName>
    <definedName name="工业建筑结构" localSheetId="36">'[2]比较法-工业'!$B$93:$M$93</definedName>
    <definedName name="工业建筑结构">'比较法-工业'!$B$93:$M$93</definedName>
    <definedName name="工业建筑类型" localSheetId="14">'[1]比较法-工业'!$B$88:$M$88</definedName>
    <definedName name="工业建筑类型" localSheetId="36">'[2]比较法-工业'!$B$88:$M$88</definedName>
    <definedName name="工业建筑类型">'比较法-工业'!$B$88:$M$88</definedName>
    <definedName name="工业交易情况" localSheetId="14">'[1]比较法-工业'!$A$55:$M$55</definedName>
    <definedName name="工业交易情况" localSheetId="36">'[2]比较法-工业'!$A$55:$M$55</definedName>
    <definedName name="工业交易情况">'比较法-工业'!$A$55:$M$55</definedName>
    <definedName name="工业内部装修" localSheetId="14">'[1]比较法-工业'!$B$104:$M$104</definedName>
    <definedName name="工业内部装修" localSheetId="36">'[2]比较法-工业'!$B$104:$M$104</definedName>
    <definedName name="工业内部装修">'比较法-工业'!$B$104:$M$104</definedName>
    <definedName name="工业物业管理" localSheetId="14">'[1]比较法-工业'!$B$100:$M$100</definedName>
    <definedName name="工业物业管理" localSheetId="36">'[2]比较法-工业'!$B$100:$M$100</definedName>
    <definedName name="工业物业管理">'比较法-工业'!$B$100:$M$100</definedName>
    <definedName name="工业用途" localSheetId="14">'[1]比较法-工业'!$B$57:$M$57</definedName>
    <definedName name="工业用途" localSheetId="36">'[2]比较法-工业'!$B$57:$M$57</definedName>
    <definedName name="工业用途">'比较法-工业'!$B$57:$M$57</definedName>
    <definedName name="公共配套设施" localSheetId="14">[1]定义!$Q$1:$Q$6</definedName>
    <definedName name="公共配套设施" localSheetId="36">[2]定义!$Q$1:$Q$6</definedName>
    <definedName name="公共配套设施">定义!$Q$1:$Q$6</definedName>
    <definedName name="估价范围判定" localSheetId="14">[1]定义!$D$1:$D$4</definedName>
    <definedName name="估价范围判定" localSheetId="36">[2]定义!$D$1:$D$4</definedName>
    <definedName name="估价范围判定">定义!$D$1:$D$4</definedName>
    <definedName name="估价方法" localSheetId="14">[1]定义!$B$1:$B$50</definedName>
    <definedName name="估价方法" localSheetId="36">[2]定义!$B$1:$B$50</definedName>
    <definedName name="估价方法">定义!$B$1:$B$50</definedName>
    <definedName name="环境" localSheetId="14">[1]定义!$S$1:$S$6</definedName>
    <definedName name="环境" localSheetId="36">[2]定义!$S$1:$S$6</definedName>
    <definedName name="环境">定义!$S$1:$S$6</definedName>
    <definedName name="基础设施水平" localSheetId="14">[1]定义!$R$1:$R$6</definedName>
    <definedName name="基础设施水平" localSheetId="36">[2]定义!$R$1:$R$6</definedName>
    <definedName name="基础设施水平">定义!$R$1:$R$6</definedName>
    <definedName name="季度">基准地价修正!$Q$19:$AD$19</definedName>
    <definedName name="价值类型2" localSheetId="14">[1]定义!$B$54:$B$56</definedName>
    <definedName name="价值类型2" localSheetId="36">[2]定义!$B$54:$B$56</definedName>
    <definedName name="价值类型2">定义!$B$54:$B$56</definedName>
    <definedName name="交通便捷度" localSheetId="14">[1]定义!$O$1:$O$6</definedName>
    <definedName name="交通便捷度" localSheetId="36">[2]定义!$O$1:$O$6</definedName>
    <definedName name="交通便捷度">定义!$O$1:$O$6</definedName>
    <definedName name="九级">区片价!$Q$1:$Q$51</definedName>
    <definedName name="居住社区成熟度" localSheetId="14">[1]定义!$K$1:$K$6</definedName>
    <definedName name="居住社区成熟度" localSheetId="36">[2]定义!$K$1:$K$6</definedName>
    <definedName name="居住社区成熟度">定义!$K$1:$K$6</definedName>
    <definedName name="类别" localSheetId="14">[1]定义!$J$1:$J$3</definedName>
    <definedName name="类别" localSheetId="36">[2]定义!$J$1:$J$3</definedName>
    <definedName name="类别">定义!$J$1:$J$3</definedName>
    <definedName name="临街状况" localSheetId="14">[1]定义!$T$1:$T$5</definedName>
    <definedName name="临街状况" localSheetId="36">[2]定义!$T$1:$T$5</definedName>
    <definedName name="临街状况">定义!$T$1:$T$5</definedName>
    <definedName name="六级">区片价!$N$1:$N$64</definedName>
    <definedName name="内部装修维护情况" localSheetId="14">[1]定义!$U$1:$U$6</definedName>
    <definedName name="内部装修维护情况" localSheetId="36">[2]定义!$U$1:$U$6</definedName>
    <definedName name="内部装修维护情况">定义!$U$1:$U$6</definedName>
    <definedName name="七级">区片价!$O$1:$O$45</definedName>
    <definedName name="七通一平" localSheetId="14">[1]修正!$A$8:$A$16</definedName>
    <definedName name="七通一平" localSheetId="36">[2]修正!$A$8:$A$16</definedName>
    <definedName name="七通一平">修正!$A$8:$A$16</definedName>
    <definedName name="区域土地利用方向" localSheetId="14">[1]定义!$P$1:$P$6</definedName>
    <definedName name="区域土地利用方向" localSheetId="36">[2]定义!$P$1:$P$6</definedName>
    <definedName name="区域土地利用方向">定义!$P$1:$P$6</definedName>
    <definedName name="三级">区片价!$K$1:$K$26</definedName>
    <definedName name="商业层高" localSheetId="14">'[1]比较法-商业'!$B$116:$M$116</definedName>
    <definedName name="商业层高" localSheetId="36">'[2]比较法-商业'!$B$116:$M$116</definedName>
    <definedName name="商业层高">'比较法-商业'!$B$116:$M$116</definedName>
    <definedName name="商业成新度">'比较法-商业'!$B$109:$M$109</definedName>
    <definedName name="商业繁华度" localSheetId="14">[1]定义!$L$1:$L$6</definedName>
    <definedName name="商业繁华度" localSheetId="36">[2]定义!$L$1:$L$6</definedName>
    <definedName name="商业繁华度">定义!$L$1:$L$6</definedName>
    <definedName name="商业公共部分装修" localSheetId="14">'[1]比较法-商业'!$B$107:$M$107</definedName>
    <definedName name="商业公共部分装修" localSheetId="36">'[2]比较法-商业'!$B$107:$M$107</definedName>
    <definedName name="商业公共部分装修">'比较法-商业'!$B$107:$M$107</definedName>
    <definedName name="商业基础设施水平" localSheetId="14">'[1]比较法-商业'!$B$112:$M$112</definedName>
    <definedName name="商业基础设施水平" localSheetId="36">'[2]比较法-商业'!$B$112:$M$112</definedName>
    <definedName name="商业基础设施水平">'比较法-商业'!$B$112:$M$112</definedName>
    <definedName name="商业建筑结构" localSheetId="14">'[1]比较法-商业'!$B$105:$M$105</definedName>
    <definedName name="商业建筑结构" localSheetId="36">'[2]比较法-商业'!$B$105:$M$105</definedName>
    <definedName name="商业建筑结构">'比较法-商业'!$B$105:$M$105</definedName>
    <definedName name="商业交易情况" localSheetId="14">'[1]比较法-商业'!$A$61:$M$61</definedName>
    <definedName name="商业交易情况" localSheetId="36">'[2]比较法-商业'!$A$61:$M$61</definedName>
    <definedName name="商业交易情况">'比较法-商业'!$A$61:$M$61</definedName>
    <definedName name="商业街名称" localSheetId="14">[1]修正!$C$71:$C$138</definedName>
    <definedName name="商业街名称" localSheetId="36">[2]修正!$C$71:$C$138</definedName>
    <definedName name="商业街名称">修正!$C$71:$C$138</definedName>
    <definedName name="商业进深比" localSheetId="14">'[1]比较法-商业'!$B$120:$M$120</definedName>
    <definedName name="商业进深比" localSheetId="36">'[2]比较法-商业'!$B$120:$M$120</definedName>
    <definedName name="商业进深比">'比较法-商业'!$B$120:$M$120</definedName>
    <definedName name="商业类型" localSheetId="14">'[1]比较法-商业'!$B$100:$M$100</definedName>
    <definedName name="商业类型" localSheetId="36">'[2]比较法-商业'!$B$100:$M$100</definedName>
    <definedName name="商业类型">'比较法-商业'!$B$100:$M$100</definedName>
    <definedName name="商业临街状况" localSheetId="14">'[1]比较法-商业'!$B$86:$M$86</definedName>
    <definedName name="商业临街状况" localSheetId="36">'[2]比较法-商业'!$B$86:$M$86</definedName>
    <definedName name="商业临街状况">'比较法-商业'!$B$86:$M$86</definedName>
    <definedName name="商业楼层" localSheetId="14">'[1]比较法-商业'!$B$92:$M$92</definedName>
    <definedName name="商业楼层" localSheetId="36">'[2]比较法-商业'!$B$92:$M$92</definedName>
    <definedName name="商业楼层">'比较法-商业'!$B$92:$M$92</definedName>
    <definedName name="商业内部装修" localSheetId="14">'[1]比较法-商业'!$B$122:$M$122</definedName>
    <definedName name="商业内部装修" localSheetId="36">'[2]比较法-商业'!$B$122:$M$122</definedName>
    <definedName name="商业内部装修">'比较法-商业'!$B$122:$M$122</definedName>
    <definedName name="商业人流量" localSheetId="14">'[1]比较法-商业'!$B$90:$M$90</definedName>
    <definedName name="商业人流量" localSheetId="36">'[2]比较法-商业'!$B$90:$M$90</definedName>
    <definedName name="商业人流量">'比较法-商业'!$B$90:$M$90</definedName>
    <definedName name="商业业态" localSheetId="14">'[1]比较法-商业'!$B$114:$M$114</definedName>
    <definedName name="商业业态" localSheetId="36">'[2]比较法-商业'!$B$114:$M$114</definedName>
    <definedName name="商业业态">'比较法-商业'!$B$114:$M$114</definedName>
    <definedName name="商业用途" localSheetId="14">'[1]比较法-商业'!$B$63:$M$63</definedName>
    <definedName name="商业用途" localSheetId="3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36">'[2]比较法-仓储'!$B$89:$M$89</definedName>
    <definedName name="是否封闭">'比较法-仓储'!$B$89:$M$89</definedName>
    <definedName name="是否直接入户" localSheetId="14">'[1]比较法-车位'!$B$95:$M$95</definedName>
    <definedName name="是否直接入户" localSheetId="36">'[2]比较法-车位'!$B$95:$M$95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36">'[2]土地比较法-工业'!$B$97:$M$97</definedName>
    <definedName name="套工道路等级">'土地比较法-工业'!$B$97:$M$97</definedName>
    <definedName name="套工地质条件" localSheetId="14">'[1]土地比较法-工业'!$B$114:$M$114</definedName>
    <definedName name="套工地质条件" localSheetId="36">'[2]土地比较法-工业'!$B$114:$M$114</definedName>
    <definedName name="套工地质条件">'土地比较法-工业'!$B$114:$M$114</definedName>
    <definedName name="套工交易情况" localSheetId="14">'[1]土地比较法-住宅、综合'!$A$72:$M$72</definedName>
    <definedName name="套工交易情况" localSheetId="36">'[2]土地比较法-住宅、综合'!$A$72:$M$72</definedName>
    <definedName name="套工交易情况">'土地比较法-住宅、综合'!$A$72:$M$72</definedName>
    <definedName name="套工土地级别" localSheetId="14">'[1]土地比较法-工业'!$B$99:$M$99</definedName>
    <definedName name="套工土地级别" localSheetId="36">'[2]土地比较法-工业'!$B$99:$M$99</definedName>
    <definedName name="套工土地级别">'土地比较法-工业'!$B$99:$M$99</definedName>
    <definedName name="套工用途" localSheetId="14">'[1]土地比较法-工业'!$B$70:$M$70</definedName>
    <definedName name="套工用途" localSheetId="36">'[2]土地比较法-工业'!$B$70:$M$70</definedName>
    <definedName name="套工用途">'土地比较法-工业'!$B$70:$M$70</definedName>
    <definedName name="套工宗地开发程度" localSheetId="14">'[1]土地比较法-工业'!$B$112:$M$112</definedName>
    <definedName name="套工宗地开发程度" localSheetId="36">'[2]土地比较法-工业'!$B$112:$M$112</definedName>
    <definedName name="套工宗地开发程度">'土地比较法-工业'!$B$112:$M$112</definedName>
    <definedName name="套工宗地形状" localSheetId="14">'[1]土地比较法-工业'!$B$110:$M$110</definedName>
    <definedName name="套工宗地形状" localSheetId="36">'[2]土地比较法-工业'!$B$110:$M$110</definedName>
    <definedName name="套工宗地形状">'土地比较法-工业'!$B$110:$M$110</definedName>
    <definedName name="套综道路等级" localSheetId="14">'[1]土地比较法-住宅、综合'!$B$105:$M$105</definedName>
    <definedName name="套综道路等级" localSheetId="36">'[2]土地比较法-住宅、综合'!$B$105:$M$105</definedName>
    <definedName name="套综道路等级">'土地比较法-住宅、综合'!$B$105:$M$105</definedName>
    <definedName name="套综工程地质条件" localSheetId="14">'[1]土地比较法-住宅、综合'!$B$124:$M$124</definedName>
    <definedName name="套综工程地质条件" localSheetId="36">'[2]土地比较法-住宅、综合'!$B$124:$M$124</definedName>
    <definedName name="套综工程地质条件">'土地比较法-住宅、综合'!$B$124:$M$124</definedName>
    <definedName name="套综交易情况" localSheetId="14">'[1]土地比较法-住宅、综合'!$A$72:$M$72</definedName>
    <definedName name="套综交易情况" localSheetId="36">'[2]土地比较法-住宅、综合'!$A$72:$M$72</definedName>
    <definedName name="套综交易情况">'土地比较法-住宅、综合'!$A$72:$M$72</definedName>
    <definedName name="套综临街宽度及深度" localSheetId="14">'[1]土地比较法-住宅、综合'!$B$120:$M$120</definedName>
    <definedName name="套综临街宽度及深度" localSheetId="36">'[2]土地比较法-住宅、综合'!$B$120:$M$120</definedName>
    <definedName name="套综临街宽度及深度">'土地比较法-住宅、综合'!$B$120:$M$120</definedName>
    <definedName name="套综土地级别" localSheetId="14">'[1]土地比较法-住宅、综合'!$B$107:$M$107</definedName>
    <definedName name="套综土地级别" localSheetId="36">'[2]土地比较法-住宅、综合'!$B$107:$M$107</definedName>
    <definedName name="套综土地级别">'土地比较法-住宅、综合'!$B$107:$M$107</definedName>
    <definedName name="套综用途" localSheetId="14">'[1]土地比较法-住宅、综合'!$B$74:$M$74</definedName>
    <definedName name="套综用途" localSheetId="36">'[2]土地比较法-住宅、综合'!$B$74:$M$74</definedName>
    <definedName name="套综用途">'土地比较法-住宅、综合'!$B$74:$M$74</definedName>
    <definedName name="套综宗地内开发程度" localSheetId="14">'[1]土地比较法-住宅、综合'!$B$122:$M$122</definedName>
    <definedName name="套综宗地内开发程度" localSheetId="36">'[2]土地比较法-住宅、综合'!$B$122:$M$122</definedName>
    <definedName name="套综宗地内开发程度">'土地比较法-住宅、综合'!$B$122:$M$122</definedName>
    <definedName name="套综宗地形状" localSheetId="14">'[1]土地比较法-住宅、综合'!$B$118:$M$118</definedName>
    <definedName name="套综宗地形状" localSheetId="36">'[2]土地比较法-住宅、综合'!$B$118:$M$118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 localSheetId="36">[2]定义!$C$1:$C$14</definedName>
    <definedName name="土地级别">定义!$C$1:$C$14</definedName>
    <definedName name="土地利用方向">定义!$P$1:$P$6</definedName>
    <definedName name="土地年限区间">定义!$I$1:$I$16</definedName>
    <definedName name="位置" localSheetId="14">[1]定义!$E$2:$E$4</definedName>
    <definedName name="位置" localSheetId="36">[2]定义!$E$2:$E$4</definedName>
    <definedName name="位置">定义!$E$2:$E$4</definedName>
    <definedName name="五等判定" localSheetId="14">[1]定义!$W$1:$W$6</definedName>
    <definedName name="五等判定" localSheetId="36">[2]定义!$W$1:$W$6</definedName>
    <definedName name="五等判定">定义!$W$1:$W$6</definedName>
    <definedName name="五级">区片价!$M$1:$M$41</definedName>
    <definedName name="项目类型" localSheetId="14">'[1]数据-汇总表'!$C$17:$C$26</definedName>
    <definedName name="项目类型" localSheetId="23">'[3]数据-汇总表'!$C$17:$C$26</definedName>
    <definedName name="项目类型" localSheetId="36">'[2]数据-汇总表'!$C$17:$C$26</definedName>
    <definedName name="项目类型">'数据-汇总表'!$C$17:$C$26</definedName>
    <definedName name="写字楼等级" localSheetId="14">'[1]比较法-办公'!$B$113:$M$113</definedName>
    <definedName name="写字楼等级" localSheetId="36">'[2]比较法-办公'!$B$113:$M$113</definedName>
    <definedName name="写字楼等级">'比较法-办公'!$B$113:$M$113</definedName>
    <definedName name="一级">区片价!$I$1:$I$6</definedName>
    <definedName name="一修多修正项2" localSheetId="14">[1]典型户型修正!$5:$5</definedName>
    <definedName name="一修多修正项2" localSheetId="36">[2]典型户型修正!$5:$5</definedName>
    <definedName name="一修多修正项2">典型户型修正!$5:$5</definedName>
    <definedName name="一修多修正项3" localSheetId="14">[1]典型户型修正!$7:$7</definedName>
    <definedName name="一修多修正项3" localSheetId="36">[2]典型户型修正!$7:$7</definedName>
    <definedName name="一修多修正项3">典型户型修正!$7:$7</definedName>
    <definedName name="一修多修正项4" localSheetId="14">[1]典型户型修正!$9:$9</definedName>
    <definedName name="一修多修正项4" localSheetId="36">[2]典型户型修正!$9:$9</definedName>
    <definedName name="一修多修正项4">典型户型修正!$9:$9</definedName>
    <definedName name="一修多修正项5" localSheetId="14">[1]典型户型修正!$11:$11</definedName>
    <definedName name="一修多修正项5" localSheetId="36">[2]典型户型修正!$11:$11</definedName>
    <definedName name="一修多修正项5">典型户型修正!$11:$11</definedName>
    <definedName name="一修多修正项6" localSheetId="14">[1]典型户型修正!$13:$13</definedName>
    <definedName name="一修多修正项6" localSheetId="36">[2]典型户型修正!$13:$13</definedName>
    <definedName name="一修多修正项6">典型户型修正!$13:$13</definedName>
    <definedName name="一修多修正项7" localSheetId="14">[1]典型户型修正!$15:$15</definedName>
    <definedName name="一修多修正项7" localSheetId="36">[2]典型户型修正!$15:$15</definedName>
    <definedName name="一修多修正项7">典型户型修正!$15:$15</definedName>
    <definedName name="一修多修正项8" localSheetId="14">[1]典型户型修正!$17:$17</definedName>
    <definedName name="一修多修正项8" localSheetId="36">[2]典型户型修正!$17:$17</definedName>
    <definedName name="一修多修正项8">典型户型修正!$17:$17</definedName>
    <definedName name="用途明细" localSheetId="14">[1]定义!$A$1:$A$50</definedName>
    <definedName name="用途明细" localSheetId="36">[2]定义!$A$1:$A$50</definedName>
    <definedName name="用途明细">定义!$A$1:$A$50</definedName>
    <definedName name="有无电梯" localSheetId="14">'[1]比较法-仓储'!$B$84:$M$84</definedName>
    <definedName name="有无电梯" localSheetId="36">'[2]比较法-仓储'!$B$84:$M$84</definedName>
    <definedName name="有无电梯">'比较法-仓储'!$B$84:$M$84</definedName>
    <definedName name="主用途" localSheetId="14">[1]定义!$F$1:$F$12</definedName>
    <definedName name="主用途" localSheetId="36">[2]定义!$F$1:$F$12</definedName>
    <definedName name="主用途">定义!$F$1:$F$12</definedName>
    <definedName name="住宅朝向" localSheetId="14">'[1]比较法-住宅'!$B$88:$M$88</definedName>
    <definedName name="住宅朝向" localSheetId="36">'[2]比较法-住宅'!$B$88:$M$88</definedName>
    <definedName name="住宅朝向">'比较法-住宅'!$B$88:$M$88</definedName>
    <definedName name="住宅房型" localSheetId="14">'[1]比较法-住宅'!$B$118:$M$118</definedName>
    <definedName name="住宅房型" localSheetId="36">'[2]比较法-住宅'!$B$118:$M$118</definedName>
    <definedName name="住宅房型">'比较法-住宅'!$B$118:$M$118</definedName>
    <definedName name="住宅公共部分装修" localSheetId="14">'[1]比较法-住宅'!$B$109:$M$109</definedName>
    <definedName name="住宅公共部分装修" localSheetId="36">'[2]比较法-住宅'!$B$109:$M$109</definedName>
    <definedName name="住宅公共部分装修">'比较法-住宅'!$B$109:$M$109</definedName>
    <definedName name="住宅基础设施水平" localSheetId="14">'[1]比较法-住宅'!$B$116:$M$116</definedName>
    <definedName name="住宅基础设施水平" localSheetId="36">'[2]比较法-住宅'!$B$116:$M$116</definedName>
    <definedName name="住宅基础设施水平">'比较法-住宅'!$B$116:$M$116</definedName>
    <definedName name="住宅建筑结构" localSheetId="14">'[1]比较法-住宅'!$B$105:$M$105</definedName>
    <definedName name="住宅建筑结构" localSheetId="36">'[2]比较法-住宅'!$B$105:$M$105</definedName>
    <definedName name="住宅建筑结构">'比较法-住宅'!$B$105:$M$105</definedName>
    <definedName name="住宅建筑类型" localSheetId="14">'[1]比较法-住宅'!$B$100:$M$100</definedName>
    <definedName name="住宅建筑类型" localSheetId="36">'[2]比较法-住宅'!$B$100:$M$100</definedName>
    <definedName name="住宅建筑类型">'比较法-住宅'!$B$100:$M$100</definedName>
    <definedName name="住宅建筑品质" localSheetId="14">'[1]比较法-住宅'!$B$107:$M$107</definedName>
    <definedName name="住宅建筑品质" localSheetId="36">'[2]比较法-住宅'!$B$107:$M$107</definedName>
    <definedName name="住宅建筑品质">'比较法-住宅'!$B$107:$M$107</definedName>
    <definedName name="住宅交易情况" localSheetId="14">'[1]比较法-住宅'!$A$61:$M$61</definedName>
    <definedName name="住宅交易情况" localSheetId="36">'[2]比较法-住宅'!$A$61:$M$61</definedName>
    <definedName name="住宅交易情况">'比较法-住宅'!$A$61:$M$61</definedName>
    <definedName name="住宅楼层" localSheetId="14">'[1]比较法-住宅'!$B$86:$M$86</definedName>
    <definedName name="住宅楼层" localSheetId="36">'[2]比较法-住宅'!$B$86:$M$86</definedName>
    <definedName name="住宅楼层">'比较法-住宅'!$B$86:$M$86</definedName>
    <definedName name="住宅内部装修" localSheetId="14">'[1]比较法-住宅'!$B$122:$M$122</definedName>
    <definedName name="住宅内部装修" localSheetId="36">'[2]比较法-住宅'!$B$122:$M$122</definedName>
    <definedName name="住宅内部装修">'比较法-住宅'!$B$122:$M$122</definedName>
    <definedName name="住宅物业管理" localSheetId="14">'[1]比较法-住宅'!$B$114:$M$114</definedName>
    <definedName name="住宅物业管理" localSheetId="36">'[2]比较法-住宅'!$B$114:$M$114</definedName>
    <definedName name="住宅物业管理">'比较法-住宅'!$B$114:$M$114</definedName>
    <definedName name="住宅用途" localSheetId="14">'[1]比较法-住宅'!$B$63:$M$63</definedName>
    <definedName name="住宅用途" localSheetId="36">'[2]比较法-住宅'!$B$63:$M$63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36">[2]估价师及机构信息!$A$3:$A$16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F49" i="15" l="1"/>
  <c r="Z7" i="1"/>
  <c r="F49" i="83" s="1"/>
  <c r="Z6" i="1"/>
  <c r="B14" i="74"/>
  <c r="AD7" i="1"/>
  <c r="AD6" i="1"/>
  <c r="N6" i="1"/>
  <c r="H23" i="80"/>
  <c r="H25" i="80" s="1"/>
  <c r="D37" i="80"/>
  <c r="E37" i="80"/>
  <c r="F37" i="80"/>
  <c r="G37" i="80"/>
  <c r="C37" i="80"/>
  <c r="J49" i="15"/>
  <c r="J49" i="83"/>
  <c r="Q72" i="83"/>
  <c r="F60" i="83"/>
  <c r="Q59" i="83"/>
  <c r="K59" i="83"/>
  <c r="P74" i="83" s="1"/>
  <c r="F59" i="83"/>
  <c r="Q58" i="83"/>
  <c r="Q51" i="83"/>
  <c r="J50" i="83"/>
  <c r="M47" i="83"/>
  <c r="D46" i="83"/>
  <c r="F34" i="83"/>
  <c r="F62" i="83" s="1"/>
  <c r="F33" i="83"/>
  <c r="F61" i="83" s="1"/>
  <c r="F32" i="83"/>
  <c r="F31" i="83"/>
  <c r="F28" i="83"/>
  <c r="C28" i="83"/>
  <c r="F23" i="83"/>
  <c r="D24" i="83" s="1"/>
  <c r="D23" i="83"/>
  <c r="D22" i="83"/>
  <c r="F21" i="83"/>
  <c r="M20" i="83"/>
  <c r="F20" i="83"/>
  <c r="M19" i="83"/>
  <c r="M18" i="83"/>
  <c r="F18" i="83"/>
  <c r="M17" i="83"/>
  <c r="F17" i="83"/>
  <c r="F15" i="83"/>
  <c r="G1" i="83"/>
  <c r="D70" i="39"/>
  <c r="E70" i="39" s="1"/>
  <c r="F70" i="39" s="1"/>
  <c r="G70" i="39" s="1"/>
  <c r="H70" i="39" s="1"/>
  <c r="I70" i="39" s="1"/>
  <c r="J70" i="39" s="1"/>
  <c r="K70" i="39" s="1"/>
  <c r="L70" i="39" s="1"/>
  <c r="M70" i="39" s="1"/>
  <c r="I46" i="39"/>
  <c r="I38" i="39"/>
  <c r="G46" i="39"/>
  <c r="G38" i="39"/>
  <c r="G11" i="39"/>
  <c r="E46" i="39"/>
  <c r="E38" i="39"/>
  <c r="I7" i="39"/>
  <c r="G7" i="39"/>
  <c r="E7" i="39"/>
  <c r="I5" i="39"/>
  <c r="G5" i="39"/>
  <c r="E5" i="39"/>
  <c r="J15" i="83"/>
  <c r="C76" i="83"/>
  <c r="L48" i="83"/>
  <c r="M23" i="83"/>
  <c r="F40" i="83"/>
  <c r="F8" i="83"/>
  <c r="M9" i="83"/>
  <c r="F43" i="83"/>
  <c r="L47" i="83"/>
  <c r="F37" i="83"/>
  <c r="F26" i="83"/>
  <c r="J51" i="83" l="1"/>
  <c r="Q71" i="83"/>
  <c r="F51" i="83"/>
  <c r="F68" i="83"/>
  <c r="N59" i="83"/>
  <c r="L58" i="83"/>
  <c r="M59" i="83"/>
  <c r="L59" i="83"/>
  <c r="F65" i="83"/>
  <c r="F71" i="83"/>
  <c r="I54" i="83"/>
  <c r="C27" i="83"/>
  <c r="P61" i="83"/>
  <c r="J53" i="83"/>
  <c r="L56" i="83" s="1"/>
  <c r="J57" i="83"/>
  <c r="J55" i="83" s="1"/>
  <c r="J58" i="83" s="1"/>
  <c r="Q50" i="83" s="1"/>
  <c r="C17" i="83"/>
  <c r="F42" i="83"/>
  <c r="F7" i="83"/>
  <c r="M8" i="83"/>
  <c r="F41" i="83"/>
  <c r="M28" i="83"/>
  <c r="M26" i="83"/>
  <c r="M29" i="83"/>
  <c r="F9" i="83"/>
  <c r="M6" i="83"/>
  <c r="F16" i="83"/>
  <c r="F50" i="83" l="1"/>
  <c r="C49" i="83" s="1"/>
  <c r="M7" i="83"/>
  <c r="J6" i="83" s="1"/>
  <c r="F69" i="83"/>
  <c r="Q74" i="83"/>
  <c r="Q61" i="83"/>
  <c r="Q52" i="83"/>
  <c r="F1" i="83"/>
  <c r="Q73" i="83"/>
  <c r="Q60" i="83"/>
  <c r="J19" i="83" l="1"/>
  <c r="J18" i="83"/>
  <c r="C61" i="83"/>
  <c r="AM7" i="1" l="1"/>
  <c r="AL7" i="1"/>
  <c r="AK7" i="1"/>
  <c r="AF7" i="1"/>
  <c r="F38" i="83"/>
  <c r="M22" i="83"/>
  <c r="M24" i="83"/>
  <c r="F36" i="83"/>
  <c r="F66" i="83" l="1"/>
  <c r="F64" i="83"/>
  <c r="E33" i="80"/>
  <c r="F33" i="80" s="1"/>
  <c r="G33" i="80" s="1"/>
  <c r="U7" i="1" s="1"/>
  <c r="E34" i="80"/>
  <c r="F34" i="80" s="1"/>
  <c r="G34" i="80" s="1"/>
  <c r="D34" i="80"/>
  <c r="D33" i="80"/>
  <c r="B34" i="80"/>
  <c r="B33" i="80"/>
  <c r="B21" i="1"/>
  <c r="L7" i="1"/>
  <c r="C8" i="80"/>
  <c r="C7" i="80"/>
  <c r="H18" i="80"/>
  <c r="H20" i="80" s="1"/>
  <c r="D11" i="80"/>
  <c r="E11" i="80" s="1"/>
  <c r="E8" i="80"/>
  <c r="E7" i="80"/>
  <c r="F20" i="6"/>
  <c r="G19" i="6"/>
  <c r="F19" i="6"/>
  <c r="I13" i="3"/>
  <c r="D3" i="4"/>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F6" i="83"/>
  <c r="C6" i="83" l="1"/>
  <c r="I35" i="80"/>
  <c r="G35" i="80"/>
  <c r="U6" i="1" s="1"/>
  <c r="B35" i="80"/>
  <c r="C35" i="80" s="1"/>
  <c r="E6" i="80"/>
  <c r="C6" i="80"/>
  <c r="K13" i="3"/>
  <c r="M13" i="3" s="1"/>
  <c r="G14" i="73"/>
  <c r="F14" i="73"/>
  <c r="E14" i="73"/>
  <c r="G15" i="73"/>
  <c r="F15" i="73"/>
  <c r="E15" i="73"/>
  <c r="N7" i="1" l="1"/>
  <c r="Y6" i="1"/>
  <c r="Y7" i="1" s="1"/>
  <c r="C33" i="83"/>
  <c r="C32" i="83"/>
  <c r="C12" i="80"/>
  <c r="C10" i="80"/>
  <c r="E10" i="80" s="1"/>
  <c r="C9" i="80"/>
  <c r="E9" i="80" s="1"/>
  <c r="D6" i="80"/>
  <c r="AB32" i="79"/>
  <c r="AA32" i="79"/>
  <c r="Z32" i="79"/>
  <c r="N32" i="79"/>
  <c r="M32" i="79"/>
  <c r="P32" i="79" s="1"/>
  <c r="L32" i="79"/>
  <c r="I32" i="79"/>
  <c r="AD32" i="79" s="1"/>
  <c r="AC7" i="79"/>
  <c r="AB7" i="79"/>
  <c r="AA7" i="79"/>
  <c r="AD7" i="79" s="1"/>
  <c r="Z7" i="79"/>
  <c r="Y7" i="79"/>
  <c r="O7" i="79"/>
  <c r="N7" i="79"/>
  <c r="M7" i="79"/>
  <c r="P7" i="79" s="1"/>
  <c r="L7" i="79"/>
  <c r="K7" i="79"/>
  <c r="I7" i="79"/>
  <c r="F13" i="83"/>
  <c r="E12" i="80" l="1"/>
  <c r="D12" i="80" s="1"/>
  <c r="I10" i="79"/>
  <c r="G12" i="80" l="1"/>
  <c r="I35" i="79"/>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AA36" i="71" s="1"/>
  <c r="O37" i="71"/>
  <c r="Y37" i="71" s="1"/>
  <c r="Z37" i="71" s="1"/>
  <c r="N37" i="71"/>
  <c r="B38" i="71" s="1"/>
  <c r="D37" i="71"/>
  <c r="Q36" i="71"/>
  <c r="AB36" i="71" s="1"/>
  <c r="P36" i="71"/>
  <c r="AA35" i="71" s="1"/>
  <c r="O36" i="71"/>
  <c r="N36" i="71"/>
  <c r="X35" i="71" s="1"/>
  <c r="Q35" i="71"/>
  <c r="AB31" i="71" s="1"/>
  <c r="P35" i="71"/>
  <c r="O35" i="71"/>
  <c r="Y35" i="71"/>
  <c r="Z35" i="71" s="1"/>
  <c r="N35" i="71"/>
  <c r="Q34" i="71"/>
  <c r="AB34" i="71"/>
  <c r="P34" i="71"/>
  <c r="O34" i="71"/>
  <c r="N34" i="71"/>
  <c r="F36" i="71"/>
  <c r="V36" i="71" s="1"/>
  <c r="Q33" i="71"/>
  <c r="F34" i="71" s="1"/>
  <c r="F35" i="71" s="1"/>
  <c r="P33" i="71"/>
  <c r="O33" i="71"/>
  <c r="C34"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7" i="71"/>
  <c r="D47" i="71" s="1"/>
  <c r="D46" i="71"/>
  <c r="D50" i="71"/>
  <c r="P28" i="71"/>
  <c r="E28" i="71" s="1"/>
  <c r="U68" i="71"/>
  <c r="E67" i="71"/>
  <c r="Q28" i="71"/>
  <c r="D58" i="71"/>
  <c r="C63" i="71"/>
  <c r="C64" i="71" s="1"/>
  <c r="D62" i="71"/>
  <c r="T68" i="71"/>
  <c r="O68" i="71"/>
  <c r="D68" i="71"/>
  <c r="C67" i="71"/>
  <c r="D67" i="71" s="1"/>
  <c r="E71" i="71"/>
  <c r="E70" i="71"/>
  <c r="D72" i="71"/>
  <c r="C75" i="71"/>
  <c r="E75" i="71"/>
  <c r="E74" i="71"/>
  <c r="D76" i="71"/>
  <c r="C79" i="71"/>
  <c r="D80" i="71"/>
  <c r="C83" i="71"/>
  <c r="C87" i="71"/>
  <c r="C86" i="71" s="1"/>
  <c r="D86" i="71" s="1"/>
  <c r="F28" i="71"/>
  <c r="F27" i="71"/>
  <c r="F26" i="71" s="1"/>
  <c r="AB28" i="71"/>
  <c r="D63" i="71"/>
  <c r="D83" i="71"/>
  <c r="C82" i="71"/>
  <c r="D82" i="71"/>
  <c r="D75" i="71"/>
  <c r="C74" i="71"/>
  <c r="D74" i="71" s="1"/>
  <c r="D87" i="71"/>
  <c r="D79" i="71"/>
  <c r="C78" i="71"/>
  <c r="D78" i="71" s="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S21" i="33" s="1"/>
  <c r="E83" i="21"/>
  <c r="F83" i="21" s="1"/>
  <c r="H1" i="69"/>
  <c r="AC25" i="40"/>
  <c r="W25" i="40"/>
  <c r="W18" i="36"/>
  <c r="U21" i="37"/>
  <c r="U21" i="34"/>
  <c r="AA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A15" i="62" s="1"/>
  <c r="B61" i="72" s="1"/>
  <c r="F19" i="4"/>
  <c r="F2" i="52"/>
  <c r="B50" i="72" s="1"/>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F30" i="37"/>
  <c r="AA30" i="37" s="1"/>
  <c r="Q29" i="37"/>
  <c r="Z29" i="37" s="1"/>
  <c r="H29" i="37"/>
  <c r="AB29" i="37" s="1"/>
  <c r="Q28" i="37"/>
  <c r="Z28" i="37"/>
  <c r="Q27" i="37"/>
  <c r="Z27" i="37" s="1"/>
  <c r="Q26" i="37"/>
  <c r="Z26" i="37" s="1"/>
  <c r="H26" i="37"/>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B57" i="35"/>
  <c r="B61" i="35"/>
  <c r="B59" i="35"/>
  <c r="B131" i="34"/>
  <c r="B129" i="34"/>
  <c r="B127" i="34"/>
  <c r="B99" i="34"/>
  <c r="H32" i="34" s="1"/>
  <c r="B97" i="34"/>
  <c r="B95" i="34"/>
  <c r="B93" i="34"/>
  <c r="B75" i="34"/>
  <c r="B73" i="34"/>
  <c r="B71" i="34"/>
  <c r="J12" i="34" s="1"/>
  <c r="W12" i="34" s="1"/>
  <c r="B130" i="33"/>
  <c r="B128" i="33"/>
  <c r="H45" i="33" s="1"/>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B98" i="21"/>
  <c r="H31" i="21"/>
  <c r="B96" i="21"/>
  <c r="B94" i="21"/>
  <c r="B92" i="21"/>
  <c r="B90" i="21"/>
  <c r="J27" i="21" s="1"/>
  <c r="W27"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J45" i="39"/>
  <c r="W45" i="39" s="1"/>
  <c r="J44" i="39"/>
  <c r="AC44" i="39" s="1"/>
  <c r="H36" i="39"/>
  <c r="AB36" i="39" s="1"/>
  <c r="J35" i="39"/>
  <c r="AC35" i="39" s="1"/>
  <c r="F35" i="39"/>
  <c r="AA35" i="39" s="1"/>
  <c r="J36" i="39"/>
  <c r="AC36" i="39" s="1"/>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F36" i="34"/>
  <c r="J35" i="34"/>
  <c r="H39" i="33"/>
  <c r="AB39" i="33"/>
  <c r="F26" i="33"/>
  <c r="AA26" i="33" s="1"/>
  <c r="U33" i="33"/>
  <c r="U35" i="33"/>
  <c r="S40" i="33"/>
  <c r="W33" i="33"/>
  <c r="H39" i="37"/>
  <c r="S27" i="35"/>
  <c r="F11" i="40"/>
  <c r="AA11" i="40"/>
  <c r="H11" i="40"/>
  <c r="AB11" i="40" s="1"/>
  <c r="W8" i="40"/>
  <c r="AB39" i="40"/>
  <c r="AA9" i="40"/>
  <c r="U9" i="40"/>
  <c r="S34" i="40"/>
  <c r="U38" i="40"/>
  <c r="S38" i="40"/>
  <c r="F42" i="39"/>
  <c r="H40" i="39"/>
  <c r="AB40" i="39" s="1"/>
  <c r="H39" i="39"/>
  <c r="U39" i="39" s="1"/>
  <c r="S34" i="39"/>
  <c r="H34" i="39"/>
  <c r="U34" i="39" s="1"/>
  <c r="E108" i="39"/>
  <c r="F31" i="39"/>
  <c r="E100" i="39"/>
  <c r="H17" i="39"/>
  <c r="AB17" i="39" s="1"/>
  <c r="J23" i="40"/>
  <c r="AC23" i="40"/>
  <c r="F21" i="40"/>
  <c r="J21" i="40"/>
  <c r="W21" i="40"/>
  <c r="H42" i="39"/>
  <c r="AB42" i="39" s="1"/>
  <c r="J34" i="39"/>
  <c r="AC34" i="39" s="1"/>
  <c r="F108" i="39"/>
  <c r="G108" i="39" s="1"/>
  <c r="H108" i="39" s="1"/>
  <c r="I108" i="39" s="1"/>
  <c r="J108" i="39" s="1"/>
  <c r="K108" i="39" s="1"/>
  <c r="L108" i="39" s="1"/>
  <c r="M108" i="39" s="1"/>
  <c r="J31" i="39"/>
  <c r="W31" i="39" s="1"/>
  <c r="F100" i="39"/>
  <c r="G100" i="39" s="1"/>
  <c r="H27" i="39"/>
  <c r="U27" i="39" s="1"/>
  <c r="J19" i="39"/>
  <c r="AC19" i="39" s="1"/>
  <c r="J27" i="39"/>
  <c r="AC27" i="39" s="1"/>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J28" i="34"/>
  <c r="W28" i="34" s="1"/>
  <c r="F41" i="33"/>
  <c r="AA41" i="33" s="1"/>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c r="M113" i="33" s="1"/>
  <c r="H37" i="33"/>
  <c r="AB37" i="33" s="1"/>
  <c r="H15" i="33"/>
  <c r="AB15" i="33" s="1"/>
  <c r="H11" i="33"/>
  <c r="AB11" i="33" s="1"/>
  <c r="F28" i="40"/>
  <c r="AA28" i="40" s="1"/>
  <c r="AA42" i="34"/>
  <c r="S42" i="34"/>
  <c r="AC38" i="34"/>
  <c r="AA38" i="34"/>
  <c r="J37" i="34"/>
  <c r="AC37" i="34" s="1"/>
  <c r="J11" i="33"/>
  <c r="W11" i="33" s="1"/>
  <c r="M123" i="21"/>
  <c r="J42" i="21"/>
  <c r="AC42" i="21" s="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4" i="21"/>
  <c r="U44"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J31" i="21"/>
  <c r="AC31" i="21" s="1"/>
  <c r="F31" i="21"/>
  <c r="S31" i="21" s="1"/>
  <c r="F45" i="21"/>
  <c r="AA45" i="21" s="1"/>
  <c r="F27" i="33"/>
  <c r="AA27" i="33" s="1"/>
  <c r="J13" i="33"/>
  <c r="H13" i="33"/>
  <c r="U13" i="33" s="1"/>
  <c r="F13" i="33"/>
  <c r="F29" i="33"/>
  <c r="S29" i="33" s="1"/>
  <c r="J31" i="33"/>
  <c r="W31" i="33" s="1"/>
  <c r="H31" i="33"/>
  <c r="F31" i="33"/>
  <c r="J45" i="33"/>
  <c r="W45" i="33" s="1"/>
  <c r="F45" i="33"/>
  <c r="F14" i="34"/>
  <c r="S14" i="34"/>
  <c r="H30" i="34"/>
  <c r="F30" i="34"/>
  <c r="S30" i="34" s="1"/>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H37" i="37"/>
  <c r="U37" i="37" s="1"/>
  <c r="H40" i="37"/>
  <c r="U40" i="37" s="1"/>
  <c r="J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AA14" i="39" s="1"/>
  <c r="H14" i="39"/>
  <c r="AB14" i="39" s="1"/>
  <c r="F12" i="40"/>
  <c r="S12" i="40" s="1"/>
  <c r="H12" i="40"/>
  <c r="H30" i="40"/>
  <c r="AB30" i="40" s="1"/>
  <c r="F33" i="40"/>
  <c r="AA33" i="40"/>
  <c r="H33" i="40"/>
  <c r="J35" i="40"/>
  <c r="AC35" i="40"/>
  <c r="J37" i="40"/>
  <c r="AC37" i="40" s="1"/>
  <c r="H13" i="40"/>
  <c r="U13" i="40"/>
  <c r="J13" i="40"/>
  <c r="W13" i="40" s="1"/>
  <c r="F13" i="40"/>
  <c r="AA13" i="40" s="1"/>
  <c r="F14" i="37"/>
  <c r="S14" i="37" s="1"/>
  <c r="F27" i="37"/>
  <c r="AA27" i="37"/>
  <c r="F13" i="39"/>
  <c r="J13" i="39"/>
  <c r="W13" i="39" s="1"/>
  <c r="H13" i="39"/>
  <c r="U13" i="39" s="1"/>
  <c r="H14" i="40"/>
  <c r="AB14" i="40" s="1"/>
  <c r="J14" i="40"/>
  <c r="W14" i="40" s="1"/>
  <c r="F14" i="40"/>
  <c r="AA14" i="40"/>
  <c r="J14" i="37"/>
  <c r="J27" i="37"/>
  <c r="AC27" i="37"/>
  <c r="AA44" i="33"/>
  <c r="AA14" i="33"/>
  <c r="J36" i="37"/>
  <c r="AC36" i="37"/>
  <c r="J10" i="36"/>
  <c r="AC10" i="36" s="1"/>
  <c r="AB30" i="21"/>
  <c r="AA14" i="37"/>
  <c r="W31" i="34"/>
  <c r="AB46" i="34"/>
  <c r="AA14" i="34"/>
  <c r="AC28" i="21"/>
  <c r="S44" i="34"/>
  <c r="BA586" i="3"/>
  <c r="F17" i="21"/>
  <c r="AA17" i="21" s="1"/>
  <c r="H17" i="21"/>
  <c r="AB17" i="21" s="1"/>
  <c r="F15" i="21"/>
  <c r="S15" i="21"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2" i="3"/>
  <c r="BL544" i="3"/>
  <c r="BL540" i="3"/>
  <c r="AZ540" i="3" s="1"/>
  <c r="BL536" i="3"/>
  <c r="G533" i="3"/>
  <c r="BL532" i="3"/>
  <c r="AZ532" i="3" s="1"/>
  <c r="G529" i="3"/>
  <c r="BL528" i="3"/>
  <c r="G525" i="3"/>
  <c r="BL524" i="3"/>
  <c r="BL518" i="3"/>
  <c r="BL514" i="3"/>
  <c r="BL510" i="3"/>
  <c r="BL504" i="3"/>
  <c r="AZ504" i="3" s="1"/>
  <c r="BL500" i="3"/>
  <c r="AZ500" i="3" s="1"/>
  <c r="BL496" i="3"/>
  <c r="G493" i="3"/>
  <c r="BA584" i="3"/>
  <c r="AZ584" i="3" s="1"/>
  <c r="BA582" i="3"/>
  <c r="AZ582" i="3" s="1"/>
  <c r="BA580" i="3"/>
  <c r="BA578" i="3"/>
  <c r="BA576" i="3"/>
  <c r="AZ576" i="3" s="1"/>
  <c r="BA574" i="3"/>
  <c r="AZ574" i="3" s="1"/>
  <c r="BA572" i="3"/>
  <c r="AZ572" i="3" s="1"/>
  <c r="BA570" i="3"/>
  <c r="BA568" i="3"/>
  <c r="AZ568" i="3" s="1"/>
  <c r="BA566" i="3"/>
  <c r="AZ566" i="3" s="1"/>
  <c r="BA562" i="3"/>
  <c r="BA560" i="3"/>
  <c r="BA558" i="3"/>
  <c r="BA556" i="3"/>
  <c r="BA554" i="3"/>
  <c r="AZ554" i="3" s="1"/>
  <c r="BA552" i="3"/>
  <c r="AZ552" i="3"/>
  <c r="BA548" i="3"/>
  <c r="BA546" i="3"/>
  <c r="BA544" i="3"/>
  <c r="AZ544" i="3"/>
  <c r="BA542" i="3"/>
  <c r="BA540" i="3"/>
  <c r="BA538" i="3"/>
  <c r="AZ538" i="3"/>
  <c r="BA536" i="3"/>
  <c r="AZ536" i="3"/>
  <c r="BA534" i="3"/>
  <c r="AZ534" i="3"/>
  <c r="BA532" i="3"/>
  <c r="BA530" i="3"/>
  <c r="BA528" i="3"/>
  <c r="AZ528" i="3" s="1"/>
  <c r="BA526" i="3"/>
  <c r="BA524" i="3"/>
  <c r="BA522" i="3"/>
  <c r="AZ522" i="3" s="1"/>
  <c r="BA520" i="3"/>
  <c r="AZ520" i="3" s="1"/>
  <c r="BA518" i="3"/>
  <c r="BA516" i="3"/>
  <c r="AZ516" i="3" s="1"/>
  <c r="BA514" i="3"/>
  <c r="BA512" i="3"/>
  <c r="AZ512" i="3" s="1"/>
  <c r="BA510" i="3"/>
  <c r="AZ510" i="3"/>
  <c r="BA508" i="3"/>
  <c r="BA506" i="3"/>
  <c r="BA504" i="3"/>
  <c r="BA502" i="3"/>
  <c r="BA500" i="3"/>
  <c r="BA498" i="3"/>
  <c r="AZ498" i="3"/>
  <c r="BA496" i="3"/>
  <c r="AZ496" i="3" s="1"/>
  <c r="BA494" i="3"/>
  <c r="BA587" i="3"/>
  <c r="BA583" i="3"/>
  <c r="BA581" i="3"/>
  <c r="BA579" i="3"/>
  <c r="BA577" i="3"/>
  <c r="BA575" i="3"/>
  <c r="AZ575" i="3" s="1"/>
  <c r="BA573" i="3"/>
  <c r="BA571" i="3"/>
  <c r="BA569" i="3"/>
  <c r="BA567"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1" i="3"/>
  <c r="BL558" i="3"/>
  <c r="BA557" i="3"/>
  <c r="AC557" i="3"/>
  <c r="BQ557" i="3"/>
  <c r="BL557" i="3" s="1"/>
  <c r="BQ583" i="3"/>
  <c r="BL583" i="3" s="1"/>
  <c r="AZ583" i="3" s="1"/>
  <c r="BQ581" i="3"/>
  <c r="BL581" i="3" s="1"/>
  <c r="BQ579" i="3"/>
  <c r="BL579" i="3"/>
  <c r="BQ577" i="3"/>
  <c r="BL577" i="3" s="1"/>
  <c r="AZ577" i="3" s="1"/>
  <c r="BQ575" i="3"/>
  <c r="BL575" i="3"/>
  <c r="BQ573" i="3"/>
  <c r="BL573" i="3" s="1"/>
  <c r="AZ573" i="3" s="1"/>
  <c r="BQ571" i="3"/>
  <c r="BL571" i="3" s="1"/>
  <c r="BQ569" i="3"/>
  <c r="BL569" i="3" s="1"/>
  <c r="BQ567" i="3"/>
  <c r="BL567" i="3"/>
  <c r="BQ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BQ537" i="3"/>
  <c r="BL537" i="3"/>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c r="S28" i="31"/>
  <c r="S27" i="31"/>
  <c r="S26" i="31"/>
  <c r="W47" i="34"/>
  <c r="AC36" i="34"/>
  <c r="AC45" i="33"/>
  <c r="W44" i="33"/>
  <c r="U11" i="33"/>
  <c r="U19" i="21"/>
  <c r="AB38" i="21"/>
  <c r="F43" i="33"/>
  <c r="AA43" i="33" s="1"/>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19" i="40"/>
  <c r="S19" i="40" s="1"/>
  <c r="S14" i="40"/>
  <c r="AC13" i="40"/>
  <c r="AC43" i="39"/>
  <c r="W43" i="39"/>
  <c r="U45" i="39"/>
  <c r="AB45" i="39"/>
  <c r="AB44" i="39"/>
  <c r="U44" i="39"/>
  <c r="H37" i="39"/>
  <c r="AB37" i="39" s="1"/>
  <c r="H25" i="39"/>
  <c r="J25" i="39"/>
  <c r="F25" i="39"/>
  <c r="AA25" i="39" s="1"/>
  <c r="F15" i="39"/>
  <c r="AA15" i="39" s="1"/>
  <c r="H15" i="39"/>
  <c r="U15" i="39" s="1"/>
  <c r="J15" i="39"/>
  <c r="W15" i="39" s="1"/>
  <c r="AB34" i="39"/>
  <c r="W8" i="39"/>
  <c r="J19" i="40"/>
  <c r="AC19" i="40" s="1"/>
  <c r="J50" i="40"/>
  <c r="H103" i="9"/>
  <c r="D8" i="53" s="1"/>
  <c r="B16" i="53"/>
  <c r="B33" i="72" s="1"/>
  <c r="C7" i="37"/>
  <c r="C7" i="34"/>
  <c r="C7" i="36"/>
  <c r="C46" i="36" s="1"/>
  <c r="D46" i="36" s="1"/>
  <c r="E46" i="36" s="1"/>
  <c r="F46" i="36" s="1"/>
  <c r="G46" i="36" s="1"/>
  <c r="H46" i="36" s="1"/>
  <c r="I46" i="36" s="1"/>
  <c r="W35" i="40"/>
  <c r="A118" i="9"/>
  <c r="J11" i="39"/>
  <c r="F11" i="39"/>
  <c r="S11" i="39" s="1"/>
  <c r="G4" i="4"/>
  <c r="I4" i="4"/>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AZ339" i="3"/>
  <c r="G340" i="3"/>
  <c r="BL343" i="3"/>
  <c r="G344" i="3"/>
  <c r="G348" i="3"/>
  <c r="G355" i="3"/>
  <c r="AZ33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29" i="3"/>
  <c r="AZ245" i="3"/>
  <c r="AZ257" i="3"/>
  <c r="AZ265" i="3"/>
  <c r="BA379" i="3"/>
  <c r="AZ379" i="3" s="1"/>
  <c r="BL380" i="3"/>
  <c r="G381" i="3"/>
  <c r="BA383" i="3"/>
  <c r="AZ383" i="3" s="1"/>
  <c r="BL384" i="3"/>
  <c r="AZ384" i="3" s="1"/>
  <c r="G385" i="3"/>
  <c r="BA387" i="3"/>
  <c r="BL388" i="3"/>
  <c r="G389" i="3"/>
  <c r="BA391" i="3"/>
  <c r="AZ391" i="3" s="1"/>
  <c r="BL392" i="3"/>
  <c r="G393" i="3"/>
  <c r="AZ283" i="3"/>
  <c r="BO5" i="3"/>
  <c r="BH5" i="3"/>
  <c r="BF5" i="3"/>
  <c r="AC5" i="3"/>
  <c r="AZ506" i="3"/>
  <c r="G548" i="3"/>
  <c r="G538" i="3"/>
  <c r="G520" i="3"/>
  <c r="G502" i="3"/>
  <c r="BS5" i="3"/>
  <c r="BP5" i="3"/>
  <c r="BN5" i="3"/>
  <c r="BI5" i="3"/>
  <c r="BG5" i="3"/>
  <c r="BE5" i="3"/>
  <c r="G17" i="3"/>
  <c r="BA17" i="3"/>
  <c r="BA15" i="3"/>
  <c r="BR5" i="3"/>
  <c r="AZ380" i="3"/>
  <c r="AZ509" i="3"/>
  <c r="G509" i="3"/>
  <c r="BL493" i="3"/>
  <c r="AZ493" i="3" s="1"/>
  <c r="U36" i="40"/>
  <c r="F83" i="43"/>
  <c r="H85" i="43" s="1"/>
  <c r="F50" i="43"/>
  <c r="H54" i="43" s="1"/>
  <c r="F72" i="43"/>
  <c r="H75" i="43" s="1"/>
  <c r="S14" i="35"/>
  <c r="U43" i="21"/>
  <c r="U35" i="21"/>
  <c r="AC35" i="21"/>
  <c r="G8" i="1"/>
  <c r="G10" i="1"/>
  <c r="AZ563" i="3"/>
  <c r="AZ501" i="3"/>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W29" i="35"/>
  <c r="H35" i="37"/>
  <c r="U35" i="37" s="1"/>
  <c r="AC14" i="35"/>
  <c r="H20" i="35"/>
  <c r="U20" i="35"/>
  <c r="F20" i="35"/>
  <c r="AB29" i="36"/>
  <c r="U29" i="36"/>
  <c r="H32" i="37"/>
  <c r="AB32" i="37" s="1"/>
  <c r="F96" i="37"/>
  <c r="H27" i="40"/>
  <c r="AB27" i="40" s="1"/>
  <c r="J27" i="40"/>
  <c r="AC27" i="40" s="1"/>
  <c r="F27" i="40"/>
  <c r="AA27" i="40" s="1"/>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40" i="3"/>
  <c r="AZ280" i="3"/>
  <c r="AZ133"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C12" i="39"/>
  <c r="W12" i="39"/>
  <c r="AC39" i="40"/>
  <c r="W39" i="40"/>
  <c r="AZ465" i="3"/>
  <c r="W12" i="33"/>
  <c r="AC12" i="33"/>
  <c r="AA32" i="36"/>
  <c r="S32" i="36"/>
  <c r="BL14" i="3"/>
  <c r="U30" i="33"/>
  <c r="AC13" i="34"/>
  <c r="AA47" i="34"/>
  <c r="W28" i="37"/>
  <c r="F12" i="33"/>
  <c r="H12" i="39"/>
  <c r="U12" i="39" s="1"/>
  <c r="AB12" i="39"/>
  <c r="F39" i="40"/>
  <c r="BA14"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A19" i="40"/>
  <c r="S28" i="40"/>
  <c r="U21" i="40"/>
  <c r="AB19" i="40"/>
  <c r="U35" i="39"/>
  <c r="F32" i="39"/>
  <c r="AA32" i="39" s="1"/>
  <c r="F106" i="39"/>
  <c r="G106" i="39" s="1"/>
  <c r="H106" i="39" s="1"/>
  <c r="I106" i="39" s="1"/>
  <c r="J106" i="39" s="1"/>
  <c r="K106" i="39" s="1"/>
  <c r="L106" i="39" s="1"/>
  <c r="M106" i="39" s="1"/>
  <c r="J21" i="39"/>
  <c r="W21" i="39" s="1"/>
  <c r="F21" i="39"/>
  <c r="AA21" i="39" s="1"/>
  <c r="H21" i="39"/>
  <c r="AB21" i="39" s="1"/>
  <c r="AA12" i="39"/>
  <c r="AC13" i="39"/>
  <c r="S23" i="36"/>
  <c r="U13" i="36"/>
  <c r="U26" i="36"/>
  <c r="AA26" i="36"/>
  <c r="AA34" i="36"/>
  <c r="AC26" i="36"/>
  <c r="W14" i="36"/>
  <c r="AB14" i="36"/>
  <c r="U22" i="36"/>
  <c r="S16" i="36"/>
  <c r="S24" i="36"/>
  <c r="U24" i="36"/>
  <c r="U23" i="36"/>
  <c r="AB20" i="36"/>
  <c r="U16" i="36"/>
  <c r="S14" i="36"/>
  <c r="AA25" i="35"/>
  <c r="W24" i="35"/>
  <c r="AB13" i="35"/>
  <c r="U29" i="35"/>
  <c r="AB27" i="35"/>
  <c r="U36" i="35"/>
  <c r="U32"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G13" i="3"/>
  <c r="BA13" i="3"/>
  <c r="BL17" i="3"/>
  <c r="AZ17" i="3"/>
  <c r="J56" i="9"/>
  <c r="J57" i="9" s="1"/>
  <c r="J59" i="9" s="1"/>
  <c r="J61" i="9" s="1"/>
  <c r="A24" i="51"/>
  <c r="B18" i="72" s="1"/>
  <c r="U29" i="34"/>
  <c r="E5" i="6"/>
  <c r="E32" i="6"/>
  <c r="G1" i="68"/>
  <c r="K1" i="12"/>
  <c r="E19" i="69"/>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AB13" i="39"/>
  <c r="AA13" i="39"/>
  <c r="S13" i="39"/>
  <c r="U43" i="39"/>
  <c r="AB43" i="39"/>
  <c r="AB11" i="39"/>
  <c r="U11" i="39"/>
  <c r="AA27" i="39"/>
  <c r="S27" i="39"/>
  <c r="AC31" i="39"/>
  <c r="AB39" i="39"/>
  <c r="W34" i="39"/>
  <c r="U38" i="39"/>
  <c r="S8" i="39"/>
  <c r="S20"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U27" i="21"/>
  <c r="AB25" i="21"/>
  <c r="AB44" i="21"/>
  <c r="AA30" i="21"/>
  <c r="W13" i="21"/>
  <c r="W42" i="21"/>
  <c r="AC45" i="21"/>
  <c r="F10" i="21"/>
  <c r="AA10" i="21" s="1"/>
  <c r="K145" i="21"/>
  <c r="W25" i="21"/>
  <c r="W31" i="21"/>
  <c r="S27" i="21"/>
  <c r="S17" i="21"/>
  <c r="AA15" i="21"/>
  <c r="AC27" i="21"/>
  <c r="AC26" i="21"/>
  <c r="S28" i="21"/>
  <c r="AC34" i="21"/>
  <c r="AB36" i="21"/>
  <c r="W30" i="40"/>
  <c r="C19" i="39"/>
  <c r="C15" i="40"/>
  <c r="C17" i="40"/>
  <c r="C23" i="40"/>
  <c r="C21" i="40"/>
  <c r="U30" i="40"/>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AB23" i="33"/>
  <c r="F23" i="33"/>
  <c r="G85" i="33"/>
  <c r="AA19" i="33"/>
  <c r="H19" i="33"/>
  <c r="H17" i="33"/>
  <c r="U17" i="33" s="1"/>
  <c r="F17" i="33"/>
  <c r="S17" i="33" s="1"/>
  <c r="AC17" i="33"/>
  <c r="S37" i="21"/>
  <c r="AA23" i="21"/>
  <c r="AB15" i="21"/>
  <c r="J23" i="21"/>
  <c r="F85" i="21"/>
  <c r="G85" i="21" s="1"/>
  <c r="H23" i="21"/>
  <c r="AB23" i="21" s="1"/>
  <c r="AP7" i="1"/>
  <c r="AB45" i="21"/>
  <c r="AA32" i="21"/>
  <c r="S32" i="21"/>
  <c r="AB32" i="21"/>
  <c r="U32" i="21"/>
  <c r="J63" i="37"/>
  <c r="K63" i="37" s="1"/>
  <c r="L63" i="37" s="1"/>
  <c r="M63" i="37" s="1"/>
  <c r="J11" i="37"/>
  <c r="AC11" i="37" s="1"/>
  <c r="J11" i="34"/>
  <c r="W11" i="34" s="1"/>
  <c r="AB36" i="33"/>
  <c r="W25" i="33"/>
  <c r="AC25" i="33"/>
  <c r="AB19" i="33"/>
  <c r="U19" i="33"/>
  <c r="AC23" i="21"/>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6" i="67"/>
  <c r="F13" i="15"/>
  <c r="F6" i="15"/>
  <c r="M9" i="67"/>
  <c r="F20" i="31"/>
  <c r="M24" i="67"/>
  <c r="E2" i="69"/>
  <c r="F36" i="67"/>
  <c r="M29" i="67"/>
  <c r="B7" i="76"/>
  <c r="F13" i="67"/>
  <c r="F6" i="67"/>
  <c r="F5" i="73"/>
  <c r="F8" i="67"/>
  <c r="F16" i="15"/>
  <c r="F36" i="15"/>
  <c r="E13" i="76"/>
  <c r="E7" i="76"/>
  <c r="F42" i="15"/>
  <c r="B10" i="76"/>
  <c r="C16" i="83"/>
  <c r="M24" i="15"/>
  <c r="L47" i="67"/>
  <c r="J15" i="67"/>
  <c r="M23" i="67"/>
  <c r="F6" i="73"/>
  <c r="J15" i="15"/>
  <c r="F7" i="67"/>
  <c r="C76" i="15"/>
  <c r="B11" i="76"/>
  <c r="F38" i="67"/>
  <c r="M26" i="15"/>
  <c r="E8" i="76"/>
  <c r="F40" i="67"/>
  <c r="F37" i="67"/>
  <c r="B9" i="76"/>
  <c r="F26" i="15"/>
  <c r="F43" i="67"/>
  <c r="M8" i="67"/>
  <c r="F16" i="67"/>
  <c r="F43" i="15"/>
  <c r="M6" i="67"/>
  <c r="C76" i="67"/>
  <c r="M29" i="15"/>
  <c r="M22" i="15"/>
  <c r="F7" i="15"/>
  <c r="B13" i="76"/>
  <c r="AO13" i="1"/>
  <c r="F9" i="67"/>
  <c r="D6" i="73"/>
  <c r="C14" i="83"/>
  <c r="E11" i="76"/>
  <c r="F4" i="73"/>
  <c r="B12" i="76"/>
  <c r="L47" i="15"/>
  <c r="B8" i="76"/>
  <c r="E9" i="76"/>
  <c r="M6" i="15"/>
  <c r="E10" i="76"/>
  <c r="E12" i="76"/>
  <c r="M28" i="67"/>
  <c r="F3" i="73"/>
  <c r="F7" i="73"/>
  <c r="F42" i="67"/>
  <c r="M22" i="67"/>
  <c r="F26" i="67"/>
  <c r="L48" i="67"/>
  <c r="C40" i="68" l="1"/>
  <c r="C40" i="69"/>
  <c r="C21" i="68"/>
  <c r="C40" i="11"/>
  <c r="F19" i="39"/>
  <c r="H19" i="39"/>
  <c r="AB19" i="39" s="1"/>
  <c r="C15" i="83"/>
  <c r="C18" i="83"/>
  <c r="C19" i="83" s="1"/>
  <c r="O7" i="1"/>
  <c r="P7" i="1" s="1"/>
  <c r="A2" i="9"/>
  <c r="A4" i="52"/>
  <c r="B41" i="72" s="1"/>
  <c r="H123" i="39"/>
  <c r="I123" i="39" s="1"/>
  <c r="J123" i="39" s="1"/>
  <c r="K123" i="39" s="1"/>
  <c r="L123" i="39" s="1"/>
  <c r="M123" i="39" s="1"/>
  <c r="F41" i="39"/>
  <c r="S41" i="39" s="1"/>
  <c r="H41" i="39"/>
  <c r="AB41" i="39" s="1"/>
  <c r="J41" i="39"/>
  <c r="W41" i="39" s="1"/>
  <c r="W27" i="39"/>
  <c r="J17" i="39"/>
  <c r="AC17" i="39" s="1"/>
  <c r="F17" i="39"/>
  <c r="AA17" i="39" s="1"/>
  <c r="S38" i="39"/>
  <c r="U40" i="39"/>
  <c r="W32" i="39"/>
  <c r="W23" i="39"/>
  <c r="W17" i="39"/>
  <c r="W19" i="39"/>
  <c r="B67" i="43"/>
  <c r="B56" i="43"/>
  <c r="W29" i="39"/>
  <c r="U31" i="39"/>
  <c r="U32" i="39"/>
  <c r="AB27" i="39"/>
  <c r="U37" i="39"/>
  <c r="U29" i="39"/>
  <c r="U14" i="39"/>
  <c r="U17" i="39"/>
  <c r="S21" i="39"/>
  <c r="S23" i="39"/>
  <c r="S14" i="39"/>
  <c r="S17" i="39"/>
  <c r="S43" i="39"/>
  <c r="AA11" i="39"/>
  <c r="S40" i="39"/>
  <c r="S32" i="39"/>
  <c r="AA39" i="39"/>
  <c r="AA41" i="39"/>
  <c r="S15" i="39"/>
  <c r="W9" i="39"/>
  <c r="U9" i="39"/>
  <c r="S9" i="39"/>
  <c r="F34" i="15"/>
  <c r="F62" i="15" s="1"/>
  <c r="M20" i="67"/>
  <c r="E19" i="11"/>
  <c r="D23" i="15"/>
  <c r="BL13" i="3"/>
  <c r="S27" i="40"/>
  <c r="AZ365" i="3"/>
  <c r="U25" i="39"/>
  <c r="AB25" i="39"/>
  <c r="U14" i="40"/>
  <c r="AZ527" i="3"/>
  <c r="AC16" i="35"/>
  <c r="W16" i="35"/>
  <c r="AA17" i="33"/>
  <c r="AA20" i="35"/>
  <c r="S20" i="35"/>
  <c r="AZ314" i="3"/>
  <c r="AC11" i="39"/>
  <c r="W11" i="39"/>
  <c r="AA45" i="33"/>
  <c r="S45" i="33"/>
  <c r="S36" i="39"/>
  <c r="AA36" i="39"/>
  <c r="AC9" i="21"/>
  <c r="D6" i="52"/>
  <c r="AB27" i="33"/>
  <c r="U21" i="39"/>
  <c r="S22" i="36"/>
  <c r="AA22" i="36"/>
  <c r="S33" i="35"/>
  <c r="AA33" i="35"/>
  <c r="AA38" i="33"/>
  <c r="S38" i="33"/>
  <c r="AB28" i="35"/>
  <c r="U28" i="35"/>
  <c r="U34" i="35"/>
  <c r="AB34" i="35"/>
  <c r="J25" i="36"/>
  <c r="F25" i="36"/>
  <c r="H33" i="36"/>
  <c r="J33" i="36"/>
  <c r="AC33" i="36" s="1"/>
  <c r="F33" i="36"/>
  <c r="AB31" i="36"/>
  <c r="U31" i="36"/>
  <c r="U23" i="21"/>
  <c r="AC27" i="33"/>
  <c r="AC23" i="37"/>
  <c r="U9" i="21"/>
  <c r="AA23" i="37"/>
  <c r="S17" i="37"/>
  <c r="S13" i="21"/>
  <c r="AC17" i="37"/>
  <c r="AB35" i="37"/>
  <c r="U27" i="40"/>
  <c r="AZ313" i="3"/>
  <c r="AB12" i="40"/>
  <c r="U12" i="40"/>
  <c r="S13" i="33"/>
  <c r="AA13" i="33"/>
  <c r="AA21" i="40"/>
  <c r="S21" i="40"/>
  <c r="AA31" i="39"/>
  <c r="S31" i="39"/>
  <c r="AA42" i="39"/>
  <c r="S42" i="39"/>
  <c r="AB39" i="37"/>
  <c r="U39" i="37"/>
  <c r="F29" i="6"/>
  <c r="E29" i="6" s="1"/>
  <c r="K15" i="1" s="1"/>
  <c r="AZ318" i="3"/>
  <c r="AZ327" i="3"/>
  <c r="AA25" i="21"/>
  <c r="AZ547" i="3"/>
  <c r="AZ569" i="3"/>
  <c r="AZ557" i="3"/>
  <c r="AZ497" i="3"/>
  <c r="AZ571" i="3"/>
  <c r="AZ579" i="3"/>
  <c r="AZ542" i="3"/>
  <c r="AZ502" i="3"/>
  <c r="U46" i="33"/>
  <c r="U33" i="40"/>
  <c r="AB33" i="40"/>
  <c r="AB26" i="37"/>
  <c r="U26" i="37"/>
  <c r="AB30" i="37"/>
  <c r="U30" i="37"/>
  <c r="AC31" i="37"/>
  <c r="W31" i="37"/>
  <c r="AC40" i="39"/>
  <c r="W40" i="39"/>
  <c r="J37" i="39"/>
  <c r="F37" i="39"/>
  <c r="AB34" i="40"/>
  <c r="U34" i="40"/>
  <c r="AZ521" i="3"/>
  <c r="AZ535" i="3"/>
  <c r="AZ558" i="3"/>
  <c r="AC37" i="37"/>
  <c r="W37" i="37"/>
  <c r="AA28" i="34"/>
  <c r="S28" i="34"/>
  <c r="AC8" i="34"/>
  <c r="W8" i="34"/>
  <c r="J23" i="35"/>
  <c r="F23" i="35"/>
  <c r="H23" i="35"/>
  <c r="AC31" i="40"/>
  <c r="W31" i="40"/>
  <c r="BA565" i="3"/>
  <c r="AZ565" i="3" s="1"/>
  <c r="BA564" i="3"/>
  <c r="AZ564" i="3" s="1"/>
  <c r="BK5" i="3"/>
  <c r="BC5" i="3"/>
  <c r="BJ5" i="3"/>
  <c r="BB5" i="3"/>
  <c r="BL556" i="3"/>
  <c r="AZ556" i="3" s="1"/>
  <c r="AC36" i="40"/>
  <c r="AZ14" i="3"/>
  <c r="AZ357" i="3"/>
  <c r="AZ334" i="3"/>
  <c r="AZ394" i="3"/>
  <c r="AZ325" i="3"/>
  <c r="AZ513" i="3"/>
  <c r="AZ524" i="3"/>
  <c r="AZ570" i="3"/>
  <c r="AC40" i="37"/>
  <c r="W40" i="37"/>
  <c r="AA11" i="36"/>
  <c r="S11" i="36"/>
  <c r="BL585" i="3"/>
  <c r="BA585" i="3"/>
  <c r="AZ585" i="3" s="1"/>
  <c r="J29" i="21"/>
  <c r="H29" i="21"/>
  <c r="F44" i="21"/>
  <c r="J44" i="21"/>
  <c r="B97" i="43"/>
  <c r="B75" i="43"/>
  <c r="W39" i="33"/>
  <c r="AC39" i="33"/>
  <c r="J29" i="33"/>
  <c r="H29" i="33"/>
  <c r="U45" i="33"/>
  <c r="AB45" i="33"/>
  <c r="H14" i="34"/>
  <c r="J14" i="34"/>
  <c r="F12" i="35"/>
  <c r="J12" i="35"/>
  <c r="H12" i="35"/>
  <c r="AZ387" i="3"/>
  <c r="AZ370" i="3"/>
  <c r="AZ362" i="3"/>
  <c r="AZ338" i="3"/>
  <c r="AZ390" i="3"/>
  <c r="AZ371" i="3"/>
  <c r="AZ351" i="3"/>
  <c r="AZ336" i="3"/>
  <c r="AZ305" i="3"/>
  <c r="AZ187" i="3"/>
  <c r="AZ360" i="3"/>
  <c r="AC31" i="33"/>
  <c r="AZ539" i="3"/>
  <c r="BL565" i="3"/>
  <c r="G557" i="3"/>
  <c r="AZ529" i="3"/>
  <c r="AZ537" i="3"/>
  <c r="AZ518" i="3"/>
  <c r="AZ526" i="3"/>
  <c r="AZ546" i="3"/>
  <c r="AZ580" i="3"/>
  <c r="AB26" i="33"/>
  <c r="AA29" i="35"/>
  <c r="AB17" i="34"/>
  <c r="H25" i="37"/>
  <c r="F25" i="37"/>
  <c r="AZ419" i="3"/>
  <c r="AZ469" i="3"/>
  <c r="AZ228" i="3"/>
  <c r="U34" i="34"/>
  <c r="F45" i="39"/>
  <c r="G585" i="3"/>
  <c r="BL587" i="3"/>
  <c r="AZ587" i="3" s="1"/>
  <c r="BL586" i="3"/>
  <c r="AZ586" i="3" s="1"/>
  <c r="J9" i="33"/>
  <c r="J9" i="34"/>
  <c r="J25" i="37"/>
  <c r="AZ458" i="3"/>
  <c r="AZ462"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AZ450" i="3" s="1"/>
  <c r="BA453" i="3"/>
  <c r="AZ453" i="3" s="1"/>
  <c r="BA455" i="3"/>
  <c r="AZ455" i="3" s="1"/>
  <c r="BL457" i="3"/>
  <c r="BL460" i="3"/>
  <c r="BL461" i="3"/>
  <c r="BL463" i="3"/>
  <c r="G465" i="3"/>
  <c r="BA471" i="3"/>
  <c r="AZ471" i="3" s="1"/>
  <c r="G486" i="3"/>
  <c r="G488" i="3"/>
  <c r="BL317" i="3"/>
  <c r="G318" i="3"/>
  <c r="BL340" i="3"/>
  <c r="AZ340" i="3" s="1"/>
  <c r="BL346" i="3"/>
  <c r="AZ346" i="3" s="1"/>
  <c r="G349" i="3"/>
  <c r="G364" i="3"/>
  <c r="BA367" i="3"/>
  <c r="AZ367" i="3" s="1"/>
  <c r="BA370" i="3"/>
  <c r="BL385" i="3"/>
  <c r="BA212" i="3"/>
  <c r="AZ212" i="3" s="1"/>
  <c r="BA218" i="3"/>
  <c r="BL218" i="3"/>
  <c r="BA225" i="3"/>
  <c r="BA227" i="3"/>
  <c r="AZ227" i="3" s="1"/>
  <c r="BL230" i="3"/>
  <c r="BL231" i="3"/>
  <c r="BA251" i="3"/>
  <c r="BL251" i="3"/>
  <c r="BL15" i="3"/>
  <c r="AZ15" i="3" s="1"/>
  <c r="BA398" i="3"/>
  <c r="AZ398" i="3" s="1"/>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G439" i="3"/>
  <c r="BL441" i="3"/>
  <c r="BL442" i="3"/>
  <c r="BL444" i="3"/>
  <c r="AZ444" i="3" s="1"/>
  <c r="G446" i="3"/>
  <c r="BL448" i="3"/>
  <c r="AZ448" i="3" s="1"/>
  <c r="G450" i="3"/>
  <c r="BA454" i="3"/>
  <c r="AZ454" i="3" s="1"/>
  <c r="BA457" i="3"/>
  <c r="BA459" i="3"/>
  <c r="AZ459" i="3" s="1"/>
  <c r="BA460" i="3"/>
  <c r="BA461" i="3"/>
  <c r="AZ461" i="3" s="1"/>
  <c r="BL464" i="3"/>
  <c r="BL466" i="3"/>
  <c r="AZ466" i="3" s="1"/>
  <c r="G468" i="3"/>
  <c r="BL476" i="3"/>
  <c r="AZ476" i="3" s="1"/>
  <c r="BL477" i="3"/>
  <c r="BL478" i="3"/>
  <c r="G479" i="3"/>
  <c r="G480" i="3"/>
  <c r="BL480" i="3"/>
  <c r="AZ480" i="3" s="1"/>
  <c r="G482" i="3"/>
  <c r="BA483" i="3"/>
  <c r="BL483" i="3"/>
  <c r="AZ483" i="3" s="1"/>
  <c r="BA486" i="3"/>
  <c r="BL489" i="3"/>
  <c r="BL491" i="3"/>
  <c r="AZ491" i="3" s="1"/>
  <c r="BL492" i="3"/>
  <c r="G307" i="3"/>
  <c r="BA315" i="3"/>
  <c r="AZ315" i="3" s="1"/>
  <c r="BA333" i="3"/>
  <c r="BA354" i="3"/>
  <c r="BA366" i="3"/>
  <c r="AZ366" i="3" s="1"/>
  <c r="BL375" i="3"/>
  <c r="AZ375" i="3" s="1"/>
  <c r="BA392" i="3"/>
  <c r="AZ392" i="3" s="1"/>
  <c r="BA395" i="3"/>
  <c r="AZ395" i="3" s="1"/>
  <c r="BA208" i="3"/>
  <c r="AZ208" i="3" s="1"/>
  <c r="BA211" i="3"/>
  <c r="AZ211" i="3" s="1"/>
  <c r="BL215" i="3"/>
  <c r="BA220" i="3"/>
  <c r="AZ220" i="3" s="1"/>
  <c r="BA222" i="3"/>
  <c r="AZ222" i="3" s="1"/>
  <c r="BA224" i="3"/>
  <c r="AZ224" i="3" s="1"/>
  <c r="G229" i="3"/>
  <c r="BA235" i="3"/>
  <c r="AZ235" i="3" s="1"/>
  <c r="BA237" i="3"/>
  <c r="AZ237" i="3" s="1"/>
  <c r="BA249" i="3"/>
  <c r="AZ249" i="3" s="1"/>
  <c r="BL249" i="3"/>
  <c r="BA551" i="3"/>
  <c r="AZ551" i="3" s="1"/>
  <c r="BA550" i="3"/>
  <c r="AZ550" i="3" s="1"/>
  <c r="BL548" i="3"/>
  <c r="AZ548" i="3" s="1"/>
  <c r="BL16" i="3"/>
  <c r="AZ16" i="3" s="1"/>
  <c r="BA401" i="3"/>
  <c r="AZ401" i="3" s="1"/>
  <c r="BA403" i="3"/>
  <c r="AZ403" i="3" s="1"/>
  <c r="BA404" i="3"/>
  <c r="AZ404" i="3" s="1"/>
  <c r="BA405" i="3"/>
  <c r="AZ405" i="3" s="1"/>
  <c r="BL410" i="3"/>
  <c r="AZ410" i="3" s="1"/>
  <c r="G412" i="3"/>
  <c r="G418" i="3"/>
  <c r="BA422" i="3"/>
  <c r="AZ422" i="3" s="1"/>
  <c r="G429" i="3"/>
  <c r="BL431" i="3"/>
  <c r="G433" i="3"/>
  <c r="BL434" i="3"/>
  <c r="G436" i="3"/>
  <c r="BL438" i="3"/>
  <c r="BL439" i="3"/>
  <c r="BA441" i="3"/>
  <c r="AZ441" i="3" s="1"/>
  <c r="BL445" i="3"/>
  <c r="AZ445" i="3" s="1"/>
  <c r="BL446" i="3"/>
  <c r="BL449" i="3"/>
  <c r="BL450" i="3"/>
  <c r="BL452" i="3"/>
  <c r="G454"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G315" i="3"/>
  <c r="BA332" i="3"/>
  <c r="AZ332" i="3" s="1"/>
  <c r="BL332" i="3"/>
  <c r="G339" i="3"/>
  <c r="BA348" i="3"/>
  <c r="BA350" i="3"/>
  <c r="AZ350" i="3" s="1"/>
  <c r="BA385" i="3"/>
  <c r="BA214" i="3"/>
  <c r="BL219" i="3"/>
  <c r="BA233" i="3"/>
  <c r="AZ233" i="3" s="1"/>
  <c r="BL243" i="3"/>
  <c r="BA247" i="3"/>
  <c r="AZ247" i="3" s="1"/>
  <c r="BL247" i="3"/>
  <c r="BL252" i="3"/>
  <c r="C52" i="71"/>
  <c r="D51" i="71"/>
  <c r="V24" i="71"/>
  <c r="E23" i="71"/>
  <c r="E22" i="71" s="1"/>
  <c r="E21" i="71" s="1"/>
  <c r="E20" i="71" s="1"/>
  <c r="V20" i="71" s="1"/>
  <c r="BA253" i="3"/>
  <c r="BL260" i="3"/>
  <c r="BL263" i="3"/>
  <c r="BL270" i="3"/>
  <c r="AZ270" i="3" s="1"/>
  <c r="BA272" i="3"/>
  <c r="AZ272" i="3" s="1"/>
  <c r="BL275" i="3"/>
  <c r="AZ275" i="3" s="1"/>
  <c r="BL285" i="3"/>
  <c r="BL287" i="3"/>
  <c r="BA290" i="3"/>
  <c r="BL299" i="3"/>
  <c r="BL113" i="3"/>
  <c r="BL115" i="3"/>
  <c r="AZ115" i="3" s="1"/>
  <c r="BA118" i="3"/>
  <c r="BL118" i="3"/>
  <c r="BA128" i="3"/>
  <c r="AZ128" i="3" s="1"/>
  <c r="BA150" i="3"/>
  <c r="AZ150" i="3" s="1"/>
  <c r="BA397" i="3"/>
  <c r="BL397" i="3"/>
  <c r="BA210" i="3"/>
  <c r="BL210" i="3"/>
  <c r="BL212" i="3"/>
  <c r="BL214" i="3"/>
  <c r="BL225" i="3"/>
  <c r="BL226" i="3"/>
  <c r="BA239" i="3"/>
  <c r="BL239" i="3"/>
  <c r="BA241" i="3"/>
  <c r="BL241" i="3"/>
  <c r="BA244" i="3"/>
  <c r="BL244" i="3"/>
  <c r="BA246" i="3"/>
  <c r="BA252" i="3"/>
  <c r="BA254" i="3"/>
  <c r="AZ254" i="3" s="1"/>
  <c r="BA256" i="3"/>
  <c r="AZ256" i="3" s="1"/>
  <c r="BL256" i="3"/>
  <c r="BA258" i="3"/>
  <c r="BL264" i="3"/>
  <c r="BL266" i="3"/>
  <c r="BA268" i="3"/>
  <c r="BL273" i="3"/>
  <c r="AZ273" i="3" s="1"/>
  <c r="BA277" i="3"/>
  <c r="BL277" i="3"/>
  <c r="BA282" i="3"/>
  <c r="BL282" i="3"/>
  <c r="BA284" i="3"/>
  <c r="AZ284" i="3" s="1"/>
  <c r="BL290" i="3"/>
  <c r="AZ290" i="3" s="1"/>
  <c r="BL291" i="3"/>
  <c r="AZ291" i="3" s="1"/>
  <c r="BL293" i="3"/>
  <c r="BL294" i="3"/>
  <c r="AZ294" i="3" s="1"/>
  <c r="BA297" i="3"/>
  <c r="AZ297" i="3" s="1"/>
  <c r="BL297" i="3"/>
  <c r="BL300" i="3"/>
  <c r="BA302" i="3"/>
  <c r="AZ302" i="3" s="1"/>
  <c r="BL123" i="3"/>
  <c r="AZ123" i="3" s="1"/>
  <c r="BL34" i="3"/>
  <c r="BA62" i="3"/>
  <c r="AZ62" i="3" s="1"/>
  <c r="BA349" i="3"/>
  <c r="AZ349" i="3" s="1"/>
  <c r="BA353" i="3"/>
  <c r="AZ353" i="3" s="1"/>
  <c r="BL353" i="3"/>
  <c r="BA358" i="3"/>
  <c r="AZ358" i="3" s="1"/>
  <c r="G362" i="3"/>
  <c r="BL365" i="3"/>
  <c r="G366" i="3"/>
  <c r="BA368" i="3"/>
  <c r="AZ368" i="3" s="1"/>
  <c r="BL368" i="3"/>
  <c r="BA374" i="3"/>
  <c r="AZ374" i="3" s="1"/>
  <c r="BA388" i="3"/>
  <c r="AZ388" i="3" s="1"/>
  <c r="BA396" i="3"/>
  <c r="BA209" i="3"/>
  <c r="BL217" i="3"/>
  <c r="AZ217" i="3" s="1"/>
  <c r="BA219" i="3"/>
  <c r="AZ219" i="3" s="1"/>
  <c r="BA221" i="3"/>
  <c r="AZ221" i="3" s="1"/>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6" i="3"/>
  <c r="BA134" i="3"/>
  <c r="AZ134" i="3" s="1"/>
  <c r="BL137" i="3"/>
  <c r="BA146" i="3"/>
  <c r="AZ146" i="3" s="1"/>
  <c r="BL154" i="3"/>
  <c r="G156" i="3"/>
  <c r="BL166" i="3"/>
  <c r="G170" i="3"/>
  <c r="AZ38" i="3"/>
  <c r="G42" i="3"/>
  <c r="BA95" i="3"/>
  <c r="BL125" i="3"/>
  <c r="AZ125" i="3" s="1"/>
  <c r="BL126" i="3"/>
  <c r="BA144" i="3"/>
  <c r="AZ144" i="3" s="1"/>
  <c r="BA153" i="3"/>
  <c r="BL155" i="3"/>
  <c r="AZ155" i="3" s="1"/>
  <c r="BA164" i="3"/>
  <c r="AZ164" i="3" s="1"/>
  <c r="BA166" i="3"/>
  <c r="AZ166" i="3" s="1"/>
  <c r="BA169" i="3"/>
  <c r="AZ169" i="3" s="1"/>
  <c r="BL171" i="3"/>
  <c r="AZ171" i="3" s="1"/>
  <c r="BA176" i="3"/>
  <c r="AZ176" i="3" s="1"/>
  <c r="BA178" i="3"/>
  <c r="AZ178" i="3" s="1"/>
  <c r="G182" i="3"/>
  <c r="BA184" i="3"/>
  <c r="AZ184" i="3" s="1"/>
  <c r="BL187" i="3"/>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BA68" i="3"/>
  <c r="BA80" i="3"/>
  <c r="BL84" i="3"/>
  <c r="G89" i="3"/>
  <c r="BA90" i="3"/>
  <c r="BA105" i="3"/>
  <c r="AZ105" i="3" s="1"/>
  <c r="BA106" i="3"/>
  <c r="BA111" i="3"/>
  <c r="AZ111" i="3" s="1"/>
  <c r="K13" i="1"/>
  <c r="M13" i="1" s="1"/>
  <c r="O13" i="1" s="1"/>
  <c r="P13" i="1" s="1"/>
  <c r="T28" i="71"/>
  <c r="D28" i="71"/>
  <c r="U28" i="71" s="1"/>
  <c r="C27" i="71"/>
  <c r="D34" i="71"/>
  <c r="C35" i="71"/>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A51" i="3"/>
  <c r="G54" i="3"/>
  <c r="BL56" i="3"/>
  <c r="BA58" i="3"/>
  <c r="BL59" i="3"/>
  <c r="BL60" i="3"/>
  <c r="BA61" i="3"/>
  <c r="AZ61" i="3" s="1"/>
  <c r="BL69" i="3"/>
  <c r="AZ69" i="3" s="1"/>
  <c r="G70" i="3"/>
  <c r="BL70" i="3"/>
  <c r="AZ70" i="3" s="1"/>
  <c r="BL71" i="3"/>
  <c r="BL72" i="3"/>
  <c r="AZ72" i="3" s="1"/>
  <c r="BA75" i="3"/>
  <c r="AZ75" i="3" s="1"/>
  <c r="BL86" i="3"/>
  <c r="AZ86" i="3" s="1"/>
  <c r="BA98" i="3"/>
  <c r="BA100" i="3"/>
  <c r="AZ100" i="3" s="1"/>
  <c r="BA103" i="3"/>
  <c r="AZ103" i="3" s="1"/>
  <c r="BA104" i="3"/>
  <c r="AZ104" i="3" s="1"/>
  <c r="BA109" i="3"/>
  <c r="T32" i="71"/>
  <c r="D32" i="71"/>
  <c r="C60" i="71"/>
  <c r="D59"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BA46" i="3"/>
  <c r="AZ46" i="3" s="1"/>
  <c r="BL49" i="3"/>
  <c r="BL50" i="3"/>
  <c r="AZ50" i="3" s="1"/>
  <c r="BL51" i="3"/>
  <c r="G53" i="3"/>
  <c r="BL53" i="3"/>
  <c r="AZ53" i="3" s="1"/>
  <c r="BA56" i="3"/>
  <c r="BA57" i="3"/>
  <c r="AZ57" i="3" s="1"/>
  <c r="BL58" i="3"/>
  <c r="BA60" i="3"/>
  <c r="BA63" i="3"/>
  <c r="AZ63" i="3" s="1"/>
  <c r="BL64" i="3"/>
  <c r="G65" i="3"/>
  <c r="BL65" i="3"/>
  <c r="AZ65" i="3" s="1"/>
  <c r="BL66" i="3"/>
  <c r="BL67" i="3"/>
  <c r="AZ67" i="3" s="1"/>
  <c r="G69" i="3"/>
  <c r="G72" i="3"/>
  <c r="BL73" i="3"/>
  <c r="BA74" i="3"/>
  <c r="AZ74" i="3" s="1"/>
  <c r="BL79" i="3"/>
  <c r="BL81" i="3"/>
  <c r="BA82" i="3"/>
  <c r="AZ82" i="3" s="1"/>
  <c r="BL83" i="3"/>
  <c r="G86" i="3"/>
  <c r="BA87" i="3"/>
  <c r="BA89" i="3"/>
  <c r="BL93" i="3"/>
  <c r="BL94" i="3"/>
  <c r="AZ94" i="3" s="1"/>
  <c r="C44" i="71"/>
  <c r="D43" i="71"/>
  <c r="C55" i="71"/>
  <c r="D54" i="71"/>
  <c r="BL101" i="3"/>
  <c r="BL102" i="3"/>
  <c r="AZ102" i="3" s="1"/>
  <c r="G104" i="3"/>
  <c r="G105" i="3"/>
  <c r="BL106" i="3"/>
  <c r="BA108" i="3"/>
  <c r="AZ108" i="3" s="1"/>
  <c r="BA110" i="3"/>
  <c r="AZ110" i="3" s="1"/>
  <c r="F3" i="35"/>
  <c r="S21" i="37"/>
  <c r="S25" i="40"/>
  <c r="B77" i="43"/>
  <c r="AA18" i="35"/>
  <c r="O67" i="71"/>
  <c r="AA28" i="71"/>
  <c r="AB27" i="71"/>
  <c r="E79" i="71"/>
  <c r="E78" i="71" s="1"/>
  <c r="AB25" i="71"/>
  <c r="X26" i="71"/>
  <c r="Y25" i="71"/>
  <c r="Z25" i="71" s="1"/>
  <c r="Y29" i="71"/>
  <c r="Z29" i="71" s="1"/>
  <c r="N68" i="71"/>
  <c r="E38" i="71"/>
  <c r="E39" i="71" s="1"/>
  <c r="E40" i="71" s="1"/>
  <c r="U40" i="71" s="1"/>
  <c r="B34" i="71"/>
  <c r="B35" i="71" s="1"/>
  <c r="B36" i="71" s="1"/>
  <c r="S36" i="71" s="1"/>
  <c r="AB32" i="71"/>
  <c r="X33" i="71"/>
  <c r="AB37" i="71"/>
  <c r="B67" i="71"/>
  <c r="B75" i="71"/>
  <c r="B74" i="71" s="1"/>
  <c r="P66" i="71"/>
  <c r="C66" i="71"/>
  <c r="AA27" i="71"/>
  <c r="AB26" i="71"/>
  <c r="S28" i="71"/>
  <c r="C71" i="71"/>
  <c r="C39" i="71"/>
  <c r="Y28" i="71"/>
  <c r="Z28" i="71" s="1"/>
  <c r="AA37" i="71"/>
  <c r="X28" i="71"/>
  <c r="X32" i="71"/>
  <c r="F38" i="71"/>
  <c r="F39" i="71" s="1"/>
  <c r="F40" i="71" s="1"/>
  <c r="V40" i="71" s="1"/>
  <c r="AB38" i="71"/>
  <c r="F67" i="71"/>
  <c r="F75" i="71"/>
  <c r="F74" i="71" s="1"/>
  <c r="B79" i="71"/>
  <c r="B78" i="71"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Q68" i="71"/>
  <c r="Y27" i="71"/>
  <c r="Z27" i="71" s="1"/>
  <c r="X34" i="71"/>
  <c r="AA34" i="71"/>
  <c r="AB35" i="71"/>
  <c r="E51" i="71"/>
  <c r="E52" i="71" s="1"/>
  <c r="U52"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AZ285" i="3" s="1"/>
  <c r="BA287" i="3"/>
  <c r="AZ153"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BL22" i="3"/>
  <c r="AZ22" i="3" s="1"/>
  <c r="BL33" i="3"/>
  <c r="AZ33" i="3" s="1"/>
  <c r="BL43" i="3"/>
  <c r="AZ43" i="3" s="1"/>
  <c r="BL46" i="3"/>
  <c r="AZ54" i="3"/>
  <c r="AZ90" i="3"/>
  <c r="AZ92" i="3"/>
  <c r="BL78" i="3"/>
  <c r="BA83" i="3"/>
  <c r="AZ83" i="3" s="1"/>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F50" i="15"/>
  <c r="F71" i="15"/>
  <c r="F66" i="67"/>
  <c r="L59" i="15"/>
  <c r="N59" i="15"/>
  <c r="M59" i="15"/>
  <c r="Q71" i="67"/>
  <c r="F64" i="15"/>
  <c r="C27" i="67"/>
  <c r="F71" i="67"/>
  <c r="C27" i="15"/>
  <c r="N59" i="67"/>
  <c r="L59" i="67"/>
  <c r="L58" i="67"/>
  <c r="M59" i="67"/>
  <c r="B13" i="70"/>
  <c r="M7" i="67"/>
  <c r="J6" i="67" s="1"/>
  <c r="F50" i="67"/>
  <c r="F68" i="67"/>
  <c r="F64" i="67"/>
  <c r="C36" i="68"/>
  <c r="D9" i="69"/>
  <c r="C36" i="69"/>
  <c r="D9" i="68"/>
  <c r="F40" i="15"/>
  <c r="C16" i="67"/>
  <c r="F8" i="15"/>
  <c r="M23" i="15"/>
  <c r="C16" i="15"/>
  <c r="M9" i="15"/>
  <c r="D7" i="73"/>
  <c r="D3" i="73"/>
  <c r="F38" i="15"/>
  <c r="D4" i="73"/>
  <c r="D5" i="73"/>
  <c r="M28" i="15"/>
  <c r="L48" i="15"/>
  <c r="F9" i="15"/>
  <c r="F37" i="15"/>
  <c r="M8" i="15"/>
  <c r="U19" i="39" l="1"/>
  <c r="AA19" i="39"/>
  <c r="S19" i="39"/>
  <c r="C20" i="83"/>
  <c r="C26" i="83" s="1"/>
  <c r="F11" i="83"/>
  <c r="M11" i="83"/>
  <c r="J10" i="83" s="1"/>
  <c r="J5" i="83" s="1"/>
  <c r="AC41" i="39"/>
  <c r="U41" i="39"/>
  <c r="G26" i="43"/>
  <c r="J26" i="43"/>
  <c r="G16" i="1"/>
  <c r="F10" i="39" s="1"/>
  <c r="H16" i="1"/>
  <c r="N370" i="46"/>
  <c r="N94" i="46"/>
  <c r="F26" i="43"/>
  <c r="Q16" i="1"/>
  <c r="F27" i="69" s="1"/>
  <c r="C47" i="69" s="1"/>
  <c r="D45" i="69" s="1"/>
  <c r="E26" i="43"/>
  <c r="E14" i="6"/>
  <c r="E59" i="40" s="1"/>
  <c r="D20" i="53"/>
  <c r="B40" i="72" s="1"/>
  <c r="F66" i="15"/>
  <c r="F65" i="15"/>
  <c r="F51" i="15"/>
  <c r="F59" i="15" s="1"/>
  <c r="F31" i="15"/>
  <c r="C6" i="15"/>
  <c r="C32" i="15" s="1"/>
  <c r="F68" i="15"/>
  <c r="J53" i="15"/>
  <c r="L56" i="15" s="1"/>
  <c r="J57" i="15"/>
  <c r="J55" i="15" s="1"/>
  <c r="J58" i="15" s="1"/>
  <c r="Q50" i="15" s="1"/>
  <c r="L58" i="15"/>
  <c r="Q60" i="15" s="1"/>
  <c r="I54" i="15"/>
  <c r="E63" i="39"/>
  <c r="J6" i="15"/>
  <c r="J18" i="15" s="1"/>
  <c r="D60" i="71"/>
  <c r="T60" i="71"/>
  <c r="AC25" i="37"/>
  <c r="W25" i="37"/>
  <c r="W12" i="35"/>
  <c r="AC12" i="35"/>
  <c r="AC44" i="21"/>
  <c r="W44" i="21"/>
  <c r="AA23" i="35"/>
  <c r="S23" i="35"/>
  <c r="U33" i="36"/>
  <c r="AB33" i="36"/>
  <c r="P6" i="1"/>
  <c r="C13" i="12" s="1"/>
  <c r="E11" i="6"/>
  <c r="E60" i="39" s="1"/>
  <c r="AZ37" i="3"/>
  <c r="AZ279" i="3"/>
  <c r="AZ266" i="3"/>
  <c r="C40" i="71"/>
  <c r="D39" i="71"/>
  <c r="N67" i="71"/>
  <c r="B66" i="71"/>
  <c r="C56" i="71"/>
  <c r="D55" i="71"/>
  <c r="AZ45" i="3"/>
  <c r="AZ51" i="3"/>
  <c r="AZ126" i="3"/>
  <c r="AZ271" i="3"/>
  <c r="AZ277" i="3"/>
  <c r="AZ244" i="3"/>
  <c r="AZ239" i="3"/>
  <c r="AZ397" i="3"/>
  <c r="AZ460" i="3"/>
  <c r="AZ425" i="3"/>
  <c r="AZ251" i="3"/>
  <c r="AC9" i="34"/>
  <c r="W9" i="34"/>
  <c r="AA25" i="37"/>
  <c r="S25" i="37"/>
  <c r="AA44" i="21"/>
  <c r="S44" i="21"/>
  <c r="AC23" i="35"/>
  <c r="W23" i="35"/>
  <c r="AA37" i="39"/>
  <c r="S37" i="39"/>
  <c r="S25" i="36"/>
  <c r="AA25" i="36"/>
  <c r="K16" i="1"/>
  <c r="E15" i="6"/>
  <c r="E64" i="39" s="1"/>
  <c r="AZ287" i="3"/>
  <c r="AZ354" i="3"/>
  <c r="F66" i="71"/>
  <c r="Q67" i="71"/>
  <c r="C70" i="71"/>
  <c r="D70" i="71" s="1"/>
  <c r="D71" i="71"/>
  <c r="O65" i="71"/>
  <c r="D66" i="71"/>
  <c r="O66" i="71"/>
  <c r="AZ58" i="3"/>
  <c r="AZ49" i="3"/>
  <c r="C36" i="71"/>
  <c r="D35" i="71"/>
  <c r="AZ41" i="3"/>
  <c r="AZ31" i="3"/>
  <c r="AZ252" i="3"/>
  <c r="AZ214" i="3"/>
  <c r="AZ415" i="3"/>
  <c r="AC9" i="33"/>
  <c r="W9" i="33"/>
  <c r="S45" i="39"/>
  <c r="AA45" i="39"/>
  <c r="AB25" i="37"/>
  <c r="U25" i="37"/>
  <c r="W14" i="34"/>
  <c r="AC14" i="34"/>
  <c r="U29" i="33"/>
  <c r="AB29" i="33"/>
  <c r="U29" i="21"/>
  <c r="AB29" i="21"/>
  <c r="W37" i="39"/>
  <c r="AC37" i="39"/>
  <c r="AA33" i="36"/>
  <c r="S33" i="36"/>
  <c r="W25" i="36"/>
  <c r="AC25" i="36"/>
  <c r="C26" i="71"/>
  <c r="D26" i="71" s="1"/>
  <c r="D27" i="71"/>
  <c r="J7" i="36"/>
  <c r="W7" i="36" s="1"/>
  <c r="D17" i="53"/>
  <c r="B36" i="72" s="1"/>
  <c r="E13" i="6"/>
  <c r="E12" i="6"/>
  <c r="E57" i="40" s="1"/>
  <c r="AZ206" i="3"/>
  <c r="AZ170" i="3"/>
  <c r="AZ396" i="3"/>
  <c r="AZ492" i="3"/>
  <c r="AZ232" i="3"/>
  <c r="AZ79" i="3"/>
  <c r="D44" i="71"/>
  <c r="T44" i="71"/>
  <c r="AZ59" i="3"/>
  <c r="AZ121" i="3"/>
  <c r="AZ274" i="3"/>
  <c r="AZ282" i="3"/>
  <c r="AZ241" i="3"/>
  <c r="AZ210" i="3"/>
  <c r="AZ118" i="3"/>
  <c r="T52" i="71"/>
  <c r="D52" i="71"/>
  <c r="AZ457" i="3"/>
  <c r="AZ421" i="3"/>
  <c r="AZ414" i="3"/>
  <c r="AZ218" i="3"/>
  <c r="U12" i="35"/>
  <c r="AB12" i="35"/>
  <c r="U14" i="34"/>
  <c r="AB14" i="34"/>
  <c r="AC29" i="21"/>
  <c r="W29" i="21"/>
  <c r="U23" i="35"/>
  <c r="AB23" i="35"/>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E60" i="40"/>
  <c r="F31" i="6"/>
  <c r="E51" i="40"/>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F7" i="37"/>
  <c r="M17" i="67"/>
  <c r="M17" i="15"/>
  <c r="P28" i="43"/>
  <c r="B66" i="40" s="1"/>
  <c r="P25" i="43"/>
  <c r="C49" i="67"/>
  <c r="P29" i="43"/>
  <c r="P27" i="43"/>
  <c r="B70" i="39" s="1"/>
  <c r="C32" i="67"/>
  <c r="Q60" i="67"/>
  <c r="Q73" i="67"/>
  <c r="M11" i="67"/>
  <c r="J10" i="67" s="1"/>
  <c r="J5" i="67" s="1"/>
  <c r="F11" i="15"/>
  <c r="M11" i="15"/>
  <c r="F11" i="67"/>
  <c r="J18" i="67"/>
  <c r="F1" i="67"/>
  <c r="Q52" i="67"/>
  <c r="Q61" i="67"/>
  <c r="Q74" i="67"/>
  <c r="Q74" i="15"/>
  <c r="Q61" i="15"/>
  <c r="AE11" i="1"/>
  <c r="AE9" i="1"/>
  <c r="F27" i="68"/>
  <c r="AE8" i="1"/>
  <c r="AE12" i="1"/>
  <c r="AE10" i="1"/>
  <c r="G1" i="73"/>
  <c r="F41" i="67"/>
  <c r="F28" i="12" l="1"/>
  <c r="C29" i="12" s="1"/>
  <c r="D28" i="12" s="1"/>
  <c r="F27" i="11"/>
  <c r="C29" i="11" s="1"/>
  <c r="D27" i="11" s="1"/>
  <c r="J10" i="15"/>
  <c r="J5" i="15" s="1"/>
  <c r="J24" i="15" s="1"/>
  <c r="J24" i="83"/>
  <c r="C53" i="83"/>
  <c r="C48" i="83" s="1"/>
  <c r="C10" i="83"/>
  <c r="C5" i="83" s="1"/>
  <c r="Q73" i="15"/>
  <c r="F45" i="69"/>
  <c r="C29" i="69"/>
  <c r="D27" i="69" s="1"/>
  <c r="D26" i="43"/>
  <c r="C25" i="43" s="1"/>
  <c r="E16" i="6"/>
  <c r="E56" i="40"/>
  <c r="E61" i="39"/>
  <c r="AC6" i="3"/>
  <c r="E3" i="6"/>
  <c r="C49" i="15"/>
  <c r="C53" i="15" s="1"/>
  <c r="Q52" i="15"/>
  <c r="F1" i="15"/>
  <c r="Q65" i="71"/>
  <c r="Q66" i="71"/>
  <c r="D56" i="71"/>
  <c r="T56" i="71"/>
  <c r="T40" i="71"/>
  <c r="D40" i="71"/>
  <c r="N65" i="71"/>
  <c r="N66" i="71"/>
  <c r="T36" i="71"/>
  <c r="D3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10" i="15"/>
  <c r="C5" i="15" s="1"/>
  <c r="C38" i="15" s="1"/>
  <c r="AE7" i="1"/>
  <c r="M27" i="67"/>
  <c r="F41" i="15"/>
  <c r="AE6" i="1"/>
  <c r="C66" i="83" l="1"/>
  <c r="C60" i="83"/>
  <c r="F24" i="15"/>
  <c r="C24" i="15" s="1"/>
  <c r="F24" i="83"/>
  <c r="C38" i="83"/>
  <c r="AG7" i="1"/>
  <c r="C48" i="15"/>
  <c r="C66" i="15" s="1"/>
  <c r="L36" i="43"/>
  <c r="L37" i="43" s="1"/>
  <c r="M37" i="43" s="1"/>
  <c r="AG6" i="1"/>
  <c r="F22" i="69"/>
  <c r="F41" i="69" s="1"/>
  <c r="F22" i="68"/>
  <c r="F41" i="68" s="1"/>
  <c r="F25" i="12"/>
  <c r="C26" i="12" s="1"/>
  <c r="D25" i="12" s="1"/>
  <c r="F22" i="11"/>
  <c r="C24" i="11" s="1"/>
  <c r="F24" i="67"/>
  <c r="C24" i="67" s="1"/>
  <c r="G54" i="34"/>
  <c r="H54" i="34" s="1"/>
  <c r="D116" i="43"/>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M27" i="83"/>
  <c r="C14" i="67"/>
  <c r="M27" i="15"/>
  <c r="C17" i="67"/>
  <c r="C17" i="15"/>
  <c r="O37" i="43" l="1"/>
  <c r="C60" i="15"/>
  <c r="M36" i="43"/>
  <c r="P37" i="43"/>
  <c r="N36" i="43"/>
  <c r="C24" i="83"/>
  <c r="C23" i="83"/>
  <c r="N37" i="43"/>
  <c r="Q37" i="43"/>
  <c r="Q36" i="43"/>
  <c r="P36" i="43"/>
  <c r="O36" i="43"/>
  <c r="C44" i="69"/>
  <c r="D41" i="69" s="1"/>
  <c r="C26" i="69"/>
  <c r="D22" i="69" s="1"/>
  <c r="C26" i="68"/>
  <c r="D22" i="68" s="1"/>
  <c r="C44" i="68"/>
  <c r="D41" i="68" s="1"/>
  <c r="C44" i="11"/>
  <c r="D41" i="11" s="1"/>
  <c r="C23" i="11"/>
  <c r="C26" i="11"/>
  <c r="D22" i="11" s="1"/>
  <c r="C25"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F35" i="83"/>
  <c r="B6" i="76"/>
  <c r="C14" i="15"/>
  <c r="M21" i="83"/>
  <c r="C29" i="83" l="1"/>
  <c r="J59" i="83" s="1"/>
  <c r="J60" i="83" s="1"/>
  <c r="Q48" i="83" s="1"/>
  <c r="J20" i="83"/>
  <c r="J17" i="83" s="1"/>
  <c r="C34" i="83"/>
  <c r="C31" i="83" s="1"/>
  <c r="F63" i="83"/>
  <c r="C62" i="83" s="1"/>
  <c r="C59" i="83" s="1"/>
  <c r="C57" i="83"/>
  <c r="C64" i="83" s="1"/>
  <c r="C36" i="83"/>
  <c r="Q49" i="83"/>
  <c r="J14" i="83"/>
  <c r="C13" i="8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7" i="83" l="1"/>
  <c r="C30" i="83" s="1"/>
  <c r="C39" i="83" s="1"/>
  <c r="C56" i="83"/>
  <c r="C65" i="83" s="1"/>
  <c r="C58" i="83" s="1"/>
  <c r="C67" i="83" s="1"/>
  <c r="C68" i="83" s="1"/>
  <c r="C75" i="83"/>
  <c r="Q70" i="83"/>
  <c r="J13" i="83"/>
  <c r="J23" i="83" s="1"/>
  <c r="J22" i="8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J16" i="83" l="1"/>
  <c r="J25" i="83" s="1"/>
  <c r="J26" i="83" s="1"/>
  <c r="J29" i="83" s="1"/>
  <c r="C40" i="83"/>
  <c r="C46" i="83" s="1"/>
  <c r="Q69" i="83"/>
  <c r="Q68" i="83" s="1"/>
  <c r="C71" i="83"/>
  <c r="C80" i="83"/>
  <c r="C79" i="8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67"/>
  <c r="L51" i="83"/>
  <c r="M21" i="15"/>
  <c r="F35" i="67"/>
  <c r="Q67" i="83" l="1"/>
  <c r="L57" i="83"/>
  <c r="L60" i="83" s="1"/>
  <c r="Q47" i="83"/>
  <c r="Q53" i="83" s="1"/>
  <c r="C43" i="83"/>
  <c r="Q65" i="83"/>
  <c r="Q56" i="83"/>
  <c r="C83" i="83"/>
  <c r="C82" i="83"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66" i="83" l="1"/>
  <c r="Q75" i="83" s="1"/>
  <c r="Q57" i="83"/>
  <c r="Q62" i="83" s="1"/>
  <c r="L46" i="83"/>
  <c r="B2" i="83" s="1"/>
  <c r="B3" i="83"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E2" i="68" s="1"/>
  <c r="H7" i="39"/>
  <c r="J7" i="39"/>
  <c r="S7" i="39"/>
  <c r="AA7" i="39"/>
  <c r="R47" i="39" s="1"/>
  <c r="O63" i="40"/>
  <c r="O65" i="40" s="1"/>
  <c r="N65" i="40"/>
  <c r="D2" i="36"/>
  <c r="D2" i="34"/>
  <c r="L51" i="15"/>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9" i="1"/>
  <c r="AO10" i="1"/>
  <c r="AO12" i="1"/>
  <c r="AO8" i="1"/>
  <c r="R48" i="39" l="1"/>
  <c r="C47" i="39" s="1"/>
  <c r="C7" i="71"/>
  <c r="D8" i="71"/>
  <c r="L46" i="15"/>
  <c r="B2" i="15" s="1"/>
  <c r="Q66" i="15"/>
  <c r="Q75" i="15" s="1"/>
  <c r="Q62" i="15"/>
  <c r="B9" i="70"/>
  <c r="B11"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7" i="1"/>
  <c r="AO6" i="1"/>
  <c r="B7" i="70" l="1"/>
  <c r="B6" i="70"/>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F65" i="39"/>
  <c r="D6" i="71"/>
  <c r="C5" i="71"/>
  <c r="D5" i="71" s="1"/>
  <c r="M24" i="43" s="1"/>
  <c r="C42" i="40"/>
  <c r="C43" i="40"/>
  <c r="E47" i="40"/>
  <c r="F47" i="40" s="1"/>
  <c r="E46" i="40"/>
  <c r="F46" i="40" s="1"/>
  <c r="I47" i="40"/>
  <c r="J47" i="40" s="1"/>
  <c r="D19" i="9"/>
  <c r="D102" i="9" l="1"/>
  <c r="D21" i="9"/>
  <c r="B3" i="70"/>
  <c r="B2" i="39"/>
  <c r="B3" i="39" s="1"/>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B29" i="1" l="1"/>
  <c r="C8" i="68" l="1"/>
  <c r="C5" i="68" s="1"/>
  <c r="C18" i="12"/>
  <c r="C21" i="12" s="1"/>
  <c r="C22" i="12" l="1"/>
  <c r="C30" i="12" s="1"/>
  <c r="C28" i="12" s="1"/>
  <c r="C23" i="68"/>
  <c r="C20" i="68"/>
  <c r="C27" i="12" l="1"/>
  <c r="C25" i="12" s="1"/>
  <c r="C32" i="12" s="1"/>
  <c r="B2" i="12" s="1"/>
  <c r="B3" i="12" s="1"/>
  <c r="C28" i="68"/>
  <c r="C27" i="68" s="1"/>
  <c r="C25" i="68"/>
  <c r="C22" i="68" s="1"/>
  <c r="C31" i="68" l="1"/>
  <c r="C52" i="68" s="1"/>
  <c r="B2" i="68" s="1"/>
  <c r="C19" i="9"/>
  <c r="C102" i="9" l="1"/>
  <c r="D22" i="9"/>
  <c r="G19" i="9"/>
  <c r="G21" i="9" s="1"/>
  <c r="C21" i="9"/>
  <c r="B3" i="68"/>
  <c r="C57" i="68"/>
  <c r="C56" i="68" s="1"/>
  <c r="D35" i="9"/>
  <c r="C20" i="9"/>
  <c r="D34" i="9"/>
  <c r="G20" i="9" l="1"/>
  <c r="C32" i="9" s="1"/>
  <c r="C103" i="9"/>
  <c r="C35" i="9" l="1"/>
  <c r="C34" i="9" s="1"/>
  <c r="D118" i="9" s="1"/>
  <c r="D119" i="9" s="1"/>
  <c r="D5" i="52" s="1"/>
  <c r="B49" i="72" s="1"/>
  <c r="F118" i="9"/>
  <c r="G118" i="9" s="1"/>
  <c r="G4" i="52" s="1"/>
  <c r="B52" i="72" s="1"/>
  <c r="H118" i="9"/>
  <c r="F4" i="52" l="1"/>
  <c r="B51" i="72" s="1"/>
  <c r="F119" i="9"/>
  <c r="F5" i="52" s="1"/>
  <c r="B53" i="72" s="1"/>
  <c r="H119" i="9"/>
  <c r="H5" i="52" s="1"/>
  <c r="D14" i="74"/>
  <c r="G14" i="74" s="1"/>
  <c r="B6" i="74" s="1"/>
  <c r="D6" i="74" s="1"/>
  <c r="I118" i="9"/>
  <c r="I4" i="52" s="1"/>
  <c r="H101" i="9"/>
  <c r="C104" i="9"/>
  <c r="D4" i="52"/>
  <c r="B47" i="72" s="1"/>
  <c r="H4" i="52"/>
  <c r="C105" i="9" l="1"/>
  <c r="E118" i="9"/>
  <c r="E4" i="52" s="1"/>
  <c r="B48" i="72" s="1"/>
  <c r="F14" i="74"/>
  <c r="B5" i="74"/>
  <c r="D5" i="74" s="1"/>
  <c r="E14" i="74"/>
  <c r="H102" i="9"/>
  <c r="D7" i="53"/>
  <c r="B21" i="72" s="1"/>
  <c r="D5" i="53"/>
  <c r="D45" i="9"/>
  <c r="M48" i="9"/>
  <c r="H107" i="9"/>
  <c r="C5" i="74" l="1"/>
  <c r="C64" i="9"/>
  <c r="C63" i="9" s="1"/>
  <c r="C67" i="9" s="1"/>
  <c r="C93" i="9"/>
  <c r="C86" i="9" s="1"/>
  <c r="C72" i="9"/>
  <c r="D52" i="9"/>
  <c r="C85" i="9"/>
  <c r="D53" i="9"/>
  <c r="C78" i="9"/>
  <c r="C73" i="9" s="1"/>
  <c r="D55" i="9"/>
  <c r="M53" i="9" s="1"/>
  <c r="B20" i="72"/>
  <c r="D6" i="53"/>
  <c r="B22" i="72" s="1"/>
  <c r="D13" i="53"/>
  <c r="M49" i="9"/>
  <c r="D122" i="9"/>
  <c r="H108" i="9"/>
  <c r="C79" i="9" l="1"/>
  <c r="C80" i="9" s="1"/>
  <c r="E80" i="9" s="1"/>
  <c r="E81" i="9" s="1"/>
  <c r="L63" i="9"/>
  <c r="M63" i="9" s="1"/>
  <c r="L66" i="9"/>
  <c r="M66" i="9" s="1"/>
  <c r="L68" i="9"/>
  <c r="M68" i="9" s="1"/>
  <c r="L67" i="9"/>
  <c r="M67" i="9" s="1"/>
  <c r="L65" i="9"/>
  <c r="M65" i="9" s="1"/>
  <c r="L64" i="9"/>
  <c r="M64" i="9" s="1"/>
  <c r="D14" i="53"/>
  <c r="B32" i="72" s="1"/>
  <c r="B30" i="72"/>
  <c r="D15" i="53"/>
  <c r="B31" i="72" s="1"/>
  <c r="C6" i="74"/>
  <c r="D123" i="9"/>
  <c r="D9" i="52" s="1"/>
  <c r="D8" i="52"/>
  <c r="C95" i="9"/>
  <c r="C68" i="9"/>
  <c r="D54" i="9" s="1"/>
  <c r="D59" i="9"/>
  <c r="M55" i="9" s="1"/>
  <c r="C81" i="9" l="1"/>
  <c r="M69" i="9"/>
  <c r="N69" i="9" s="1"/>
  <c r="C96" i="9"/>
  <c r="E96" i="9" s="1"/>
  <c r="E97" i="9" s="1"/>
  <c r="C97" i="9" l="1"/>
  <c r="D58" i="9" s="1"/>
  <c r="D56" i="9" s="1"/>
  <c r="M54" i="9" s="1"/>
  <c r="N57" i="9" s="1"/>
  <c r="N58" i="9" s="1"/>
  <c r="N59"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89AC48B-F50C-4058-A06C-2A78AF0C27D3}">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1F15BBD-F3A4-497D-9ED1-D848E1DCDA29}">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CEB813C-2125-4256-9244-2AE96D92387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C974FA4-680D-4F12-94BD-22C196B18D6C}">
      <text>
        <r>
          <rPr>
            <sz val="11"/>
            <color indexed="81"/>
            <rFont val="宋体"/>
            <family val="3"/>
            <charset val="134"/>
          </rPr>
          <t>在建项目均选择“是”</t>
        </r>
      </text>
    </comment>
    <comment ref="F59" authorId="1" shapeId="0" xr:uid="{56B4F58C-1D3C-47A0-A3CD-E4AA269B0A4D}">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4AD6E111-0E4D-458F-BECE-80D67E2DB481}">
      <text>
        <r>
          <rPr>
            <sz val="10"/>
            <color indexed="81"/>
            <rFont val="宋体"/>
            <family val="3"/>
            <charset val="134"/>
          </rPr>
          <t xml:space="preserve">在建
</t>
        </r>
      </text>
    </comment>
    <comment ref="N59" authorId="0" shapeId="0" xr:uid="{970E1E0B-9688-4365-BC6E-6FD835F9D5EC}">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<sst xmlns="http://schemas.openxmlformats.org/spreadsheetml/2006/main" count="8522" uniqueCount="3570">
  <si>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</si>
  <si>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</si>
  <si>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</si>
  <si>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</si>
  <si>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</si>
  <si>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</si>
  <si>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</si>
  <si>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</si>
  <si>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</si>
  <si>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</si>
  <si>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</si>
  <si>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</si>
  <si>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</si>
  <si>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</si>
  <si>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</si>
  <si>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</si>
  <si>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</si>
  <si>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</si>
  <si>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</si>
  <si>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</si>
  <si>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</si>
  <si>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</si>
  <si>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</si>
  <si>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</si>
  <si>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</si>
  <si>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</si>
  <si>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</si>
  <si>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</si>
  <si>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</si>
  <si>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</si>
  <si>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</si>
  <si>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</si>
  <si>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</si>
  <si>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</si>
  <si>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</si>
  <si>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</si>
  <si>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</si>
  <si>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</si>
  <si>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</si>
  <si>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</si>
  <si>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</si>
  <si>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</si>
  <si>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</si>
  <si>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</si>
  <si>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</si>
  <si>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</si>
  <si>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</si>
  <si>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</si>
  <si>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</si>
  <si>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</si>
  <si>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</si>
  <si>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</si>
  <si>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</si>
  <si>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</si>
  <si>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</si>
  <si>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</si>
  <si>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</si>
  <si>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</si>
  <si>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</si>
  <si>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</si>
  <si>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</si>
  <si>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</si>
  <si>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</si>
  <si>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</si>
  <si>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</si>
  <si>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</si>
  <si>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</si>
  <si>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</si>
  <si>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</si>
  <si>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</si>
  <si>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</si>
  <si>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</si>
  <si>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</si>
  <si>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</si>
  <si>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</si>
  <si>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</si>
  <si>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</si>
  <si>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</si>
  <si>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</si>
  <si>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</si>
  <si>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</si>
  <si>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</si>
  <si>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</si>
  <si>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</si>
  <si>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</si>
  <si>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</si>
  <si>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</si>
  <si>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</si>
  <si>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</si>
  <si>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</si>
  <si>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</si>
  <si>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</si>
  <si>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</si>
  <si>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</si>
  <si>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</si>
  <si>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</si>
  <si>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</si>
  <si>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</si>
  <si>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</si>
  <si>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</si>
  <si>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</si>
  <si>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</si>
  <si>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</si>
  <si>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</si>
  <si>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</si>
  <si>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</si>
  <si>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</si>
  <si>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</si>
  <si>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</si>
  <si>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</si>
  <si>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</si>
  <si>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</si>
  <si>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</si>
  <si>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</si>
  <si>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</si>
  <si>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</si>
  <si>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</si>
  <si>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</si>
  <si>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</si>
  <si>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</si>
  <si>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</si>
  <si>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</si>
  <si>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</si>
  <si>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</si>
  <si>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</si>
  <si>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</si>
  <si>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</si>
  <si>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</si>
  <si>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</si>
  <si>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</si>
  <si>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</si>
  <si>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</si>
  <si>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</si>
  <si>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</si>
  <si>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</si>
  <si>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</si>
  <si>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</si>
  <si>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</si>
  <si>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</si>
  <si>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</si>
  <si>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</si>
  <si>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</si>
  <si>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</si>
  <si>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</si>
  <si>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</si>
  <si>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</si>
  <si>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</si>
  <si>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</si>
  <si>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</si>
  <si>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</si>
  <si>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</si>
  <si>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</si>
  <si>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</si>
  <si>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</si>
  <si>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</si>
  <si>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</si>
  <si>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</si>
  <si>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</si>
  <si>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</si>
  <si>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</si>
  <si>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</si>
  <si>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</si>
  <si>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</si>
  <si>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</si>
  <si>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</si>
  <si>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</si>
  <si>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</si>
  <si>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</si>
  <si>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</si>
  <si>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</si>
  <si>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</si>
  <si>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</si>
  <si>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</si>
  <si>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</si>
  <si>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</si>
  <si>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</si>
  <si>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</si>
  <si>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</si>
  <si>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</si>
  <si>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</si>
  <si>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</si>
  <si>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</si>
  <si>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</si>
  <si>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</si>
  <si>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</si>
  <si>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</si>
  <si>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</si>
  <si>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</si>
  <si>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</si>
  <si>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</si>
  <si>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</si>
  <si>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</si>
  <si>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</si>
  <si>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</si>
  <si>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</si>
  <si>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</si>
  <si>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</si>
  <si>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</si>
  <si>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</si>
  <si>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</si>
  <si>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</si>
  <si>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</si>
  <si>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</si>
  <si>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</si>
  <si>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</si>
  <si>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</si>
  <si>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</si>
  <si>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</si>
  <si>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</si>
  <si>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</si>
  <si>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</si>
  <si>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</si>
  <si>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</si>
  <si>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</si>
  <si>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</si>
  <si>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</si>
  <si>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</si>
  <si>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</si>
  <si>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</si>
  <si>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</si>
  <si>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</si>
  <si>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</si>
  <si>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</si>
  <si>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</si>
  <si>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</si>
  <si>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</si>
  <si>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</si>
  <si>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</si>
  <si>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</si>
  <si>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</si>
  <si>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</si>
  <si>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</si>
  <si>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</si>
  <si>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</si>
  <si>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</si>
  <si>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</si>
  <si>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</si>
  <si>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</si>
  <si>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</si>
  <si>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</si>
  <si>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</si>
  <si>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</si>
  <si>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</si>
  <si>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</si>
  <si>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</si>
  <si>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</si>
  <si>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</si>
  <si>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</si>
  <si>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</si>
  <si>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</si>
  <si>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</si>
  <si>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</si>
  <si>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</si>
  <si>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</si>
  <si>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</si>
  <si>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</si>
  <si>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</si>
  <si>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</si>
  <si>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</si>
  <si>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</si>
  <si>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</si>
  <si>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</si>
  <si>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</si>
  <si>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</si>
  <si>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</si>
  <si>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</si>
  <si>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</si>
  <si>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</si>
  <si>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</si>
  <si>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</si>
  <si>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</si>
  <si>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</si>
  <si>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</si>
  <si>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</si>
  <si>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</si>
  <si>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</si>
  <si>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</si>
  <si>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</si>
  <si>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</si>
  <si>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</si>
  <si>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</si>
  <si>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</si>
  <si>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</si>
  <si>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</si>
  <si>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</si>
  <si>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</si>
  <si>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</si>
  <si>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</si>
  <si>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</si>
  <si>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</si>
  <si>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</si>
  <si>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</si>
  <si>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</si>
  <si>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</si>
  <si>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</si>
  <si>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</si>
  <si>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</si>
  <si>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</si>
  <si>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</si>
  <si>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</si>
  <si>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</si>
  <si>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</si>
  <si>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</si>
  <si>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</si>
  <si>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</si>
  <si>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</si>
  <si>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</si>
  <si>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</si>
  <si>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</si>
  <si>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</si>
  <si>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</si>
  <si>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</si>
  <si>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</si>
  <si>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</si>
  <si>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</si>
  <si>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</si>
  <si>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</si>
  <si>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</si>
  <si>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</si>
  <si>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</si>
  <si>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</si>
  <si>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</si>
  <si>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</si>
  <si>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</si>
  <si>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</si>
  <si>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</si>
  <si>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</si>
  <si>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</si>
  <si>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</si>
  <si>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</si>
  <si>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</si>
  <si>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</si>
  <si>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</si>
  <si>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</si>
  <si>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</si>
  <si>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</si>
  <si>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</si>
  <si>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</si>
  <si>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</si>
  <si>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</si>
  <si>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</si>
  <si>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</si>
  <si>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</si>
  <si>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</si>
  <si>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</si>
  <si>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</si>
  <si>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</si>
  <si>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</si>
  <si>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</si>
  <si>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</si>
  <si>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</si>
  <si>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</si>
  <si>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</si>
  <si>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</si>
  <si>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</si>
  <si>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</si>
  <si>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</si>
  <si>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</si>
  <si>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</si>
  <si>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</si>
  <si>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</si>
  <si>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</si>
  <si>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</si>
  <si>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</si>
  <si>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</si>
  <si>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</si>
  <si>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</si>
  <si>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</si>
  <si>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</si>
  <si>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</si>
  <si>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</si>
  <si>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</si>
  <si>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</si>
  <si>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</si>
  <si>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</si>
  <si>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</si>
  <si>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</si>
  <si>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</si>
  <si>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</si>
  <si>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</si>
  <si>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</si>
  <si>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</si>
  <si>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</si>
  <si>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</si>
  <si>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</si>
  <si>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</si>
  <si>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</si>
  <si>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</si>
  <si>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</si>
  <si>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</si>
  <si>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</si>
  <si>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</si>
  <si>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</si>
  <si>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</si>
  <si>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</si>
  <si>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</si>
  <si>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</si>
  <si>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</si>
  <si>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</si>
  <si>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</si>
  <si>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</si>
  <si>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</si>
  <si>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</si>
  <si>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</si>
  <si>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</si>
  <si>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</si>
  <si>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</si>
  <si>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</si>
  <si>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</si>
  <si>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</si>
  <si>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</si>
  <si>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</si>
  <si>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</si>
  <si>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</si>
  <si>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</si>
  <si>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</si>
  <si>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</si>
  <si>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</si>
  <si>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</si>
  <si>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</si>
  <si>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</si>
  <si>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</si>
  <si>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</si>
  <si>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</si>
  <si>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</si>
  <si>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</si>
  <si>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</si>
  <si>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</si>
  <si>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</si>
  <si>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</si>
  <si>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</si>
  <si>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</si>
  <si>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</si>
  <si>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</si>
  <si>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</si>
  <si>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</si>
  <si>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</si>
  <si>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</si>
  <si>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</si>
  <si>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</si>
  <si>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</si>
  <si>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</si>
  <si>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</si>
  <si>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</si>
  <si>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</si>
  <si>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</si>
  <si>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</si>
  <si>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</si>
  <si>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</si>
  <si>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</si>
  <si>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</si>
  <si>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</si>
  <si>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</si>
  <si>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</si>
  <si>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</si>
  <si>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</si>
  <si>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</si>
  <si>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</si>
  <si>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</si>
  <si>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</si>
  <si>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</si>
  <si>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</si>
  <si>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</si>
  <si>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</si>
  <si>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</si>
  <si>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</si>
  <si>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</si>
  <si>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</si>
  <si>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</si>
  <si>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</si>
  <si>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</si>
  <si>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</si>
  <si>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</si>
  <si>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</si>
  <si>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</si>
  <si>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</si>
  <si>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</si>
  <si>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</si>
  <si>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</si>
  <si>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</si>
  <si>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</si>
  <si>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</si>
  <si>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</si>
  <si>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</si>
  <si>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</si>
  <si>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</si>
  <si>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</si>
  <si>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</si>
  <si>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</si>
  <si>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</si>
  <si>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</si>
  <si>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</si>
  <si>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</si>
  <si>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</si>
  <si>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</si>
  <si>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</si>
  <si>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</si>
  <si>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</si>
  <si>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</si>
  <si>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</si>
  <si>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</si>
  <si>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</si>
  <si>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</si>
  <si>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</si>
  <si>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</si>
  <si>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</si>
  <si>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</si>
  <si>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</si>
  <si>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</si>
  <si>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</si>
  <si>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</si>
  <si>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</si>
  <si>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</si>
  <si>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</si>
  <si>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</si>
  <si>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</si>
  <si>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</si>
  <si>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</si>
  <si>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</si>
  <si>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</si>
  <si>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</si>
  <si>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</si>
  <si>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</si>
  <si>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</si>
  <si>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</si>
  <si>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</si>
  <si>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</si>
  <si>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</si>
  <si>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</si>
  <si>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</si>
  <si>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</si>
  <si>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</si>
  <si>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</si>
  <si>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</si>
  <si>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</si>
  <si>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</si>
  <si>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</si>
  <si>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</si>
  <si>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</si>
  <si>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</si>
  <si>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</si>
  <si>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</si>
  <si>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</si>
  <si>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</si>
  <si>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</si>
  <si>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</si>
  <si>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</si>
  <si>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</si>
  <si>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</si>
  <si>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</si>
  <si>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</si>
  <si>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</si>
  <si>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</si>
  <si>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</si>
  <si>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</si>
  <si>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</si>
  <si>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</si>
  <si>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</si>
  <si>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</si>
  <si>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</si>
  <si>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</si>
  <si>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</si>
  <si>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</si>
  <si>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</si>
  <si>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</si>
  <si>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</si>
  <si>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</si>
  <si>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</si>
  <si>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</si>
  <si>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</si>
  <si>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</si>
  <si>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</si>
  <si>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</si>
  <si>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</si>
  <si>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</si>
  <si>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</si>
  <si>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</si>
  <si>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</si>
  <si>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</si>
  <si>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</si>
  <si>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</si>
  <si>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</si>
  <si>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</si>
  <si>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</si>
  <si>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</si>
  <si>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</si>
  <si>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</si>
  <si>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</si>
  <si>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</si>
  <si>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</si>
  <si>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</si>
  <si>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</si>
  <si>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</si>
  <si>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</si>
  <si>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</si>
  <si>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</si>
  <si>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</si>
  <si>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</si>
  <si>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</si>
  <si>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</si>
  <si>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</si>
  <si>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</si>
  <si>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</si>
  <si>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</si>
  <si>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</si>
  <si>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</si>
  <si>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</si>
  <si>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</si>
  <si>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</si>
  <si>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</si>
  <si>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</si>
  <si>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</si>
  <si>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</si>
  <si>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</si>
  <si>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</si>
  <si>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</si>
  <si>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</si>
  <si>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</si>
  <si>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</si>
  <si>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</si>
  <si>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</si>
  <si>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</si>
  <si>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</si>
  <si>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</si>
  <si>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</si>
  <si>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</si>
  <si>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</si>
  <si>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</si>
  <si>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</si>
  <si>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</si>
  <si>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</si>
  <si>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</si>
  <si>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</si>
  <si>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</si>
  <si>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</si>
  <si>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</si>
  <si>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</si>
  <si>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</si>
  <si>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</si>
  <si>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</si>
  <si>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</si>
  <si>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</si>
  <si>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</si>
  <si>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</si>
  <si>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</si>
  <si>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</si>
  <si>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</si>
  <si>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</si>
  <si>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</si>
  <si>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</si>
  <si>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</si>
  <si>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</si>
  <si>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</si>
  <si>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</si>
  <si>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</si>
  <si>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</si>
  <si>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</si>
  <si>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</si>
  <si>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</si>
  <si>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</si>
  <si>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</si>
  <si>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</si>
  <si>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</si>
  <si>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</si>
  <si>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</si>
  <si>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</si>
  <si>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</si>
  <si>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</si>
  <si>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</si>
  <si>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</si>
  <si>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</si>
  <si>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</si>
  <si>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</si>
  <si>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</si>
  <si>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</si>
  <si>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</si>
  <si>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</si>
  <si>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</si>
  <si>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</si>
  <si>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</si>
  <si>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</si>
  <si>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</si>
  <si>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</si>
  <si>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</si>
  <si>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</si>
  <si>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</si>
  <si>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</si>
  <si>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</si>
  <si>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</si>
  <si>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</si>
  <si>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</si>
  <si>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</si>
  <si>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</si>
  <si>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</si>
  <si>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</si>
  <si>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</si>
  <si>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</si>
  <si>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</si>
  <si>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</si>
  <si>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</si>
  <si>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</si>
  <si>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</si>
  <si>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</si>
  <si>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</si>
  <si>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</si>
  <si>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</si>
  <si>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</si>
  <si>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</si>
  <si>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</si>
  <si>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</si>
  <si>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</si>
  <si>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</si>
  <si>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</si>
  <si>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</si>
  <si>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</si>
  <si>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</si>
  <si>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</si>
  <si>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</si>
  <si>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</si>
  <si>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</si>
  <si>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</si>
  <si>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</si>
  <si>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</si>
  <si>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</si>
  <si>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</si>
  <si>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</si>
  <si>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</si>
  <si>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</si>
  <si>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</si>
  <si>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</si>
  <si>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</si>
  <si>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</si>
  <si>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</si>
  <si>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</si>
  <si>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</si>
  <si>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</si>
  <si>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</si>
  <si>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</si>
  <si>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</si>
  <si>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</si>
  <si>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</si>
  <si>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</si>
  <si>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</si>
  <si>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</si>
  <si>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</si>
  <si>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</si>
  <si>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</si>
  <si>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</si>
  <si>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</si>
  <si>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</si>
  <si>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</si>
  <si>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</si>
  <si>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</si>
  <si>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</si>
  <si>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</si>
  <si>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</si>
  <si>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</si>
  <si>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</si>
  <si>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</si>
  <si>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</si>
  <si>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</si>
  <si>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</si>
  <si>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</si>
  <si>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</si>
  <si>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</si>
  <si>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</si>
  <si>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</si>
  <si>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</si>
  <si>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</si>
  <si>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</si>
  <si>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</si>
  <si>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</si>
  <si>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</si>
  <si>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</si>
  <si>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</si>
  <si>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</si>
  <si>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</si>
  <si>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</si>
  <si>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</si>
  <si>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</si>
  <si>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</si>
  <si>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</si>
  <si>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</si>
  <si>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</si>
  <si>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</si>
  <si>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</si>
  <si>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</si>
  <si>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</si>
  <si>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</si>
  <si>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</si>
  <si>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</si>
  <si>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</si>
  <si>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</si>
  <si>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</si>
  <si>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</si>
  <si>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</si>
  <si>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</si>
  <si>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</si>
  <si>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</si>
  <si>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</si>
  <si>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</si>
  <si>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</si>
  <si>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</si>
  <si>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</si>
  <si>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</si>
  <si>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</si>
  <si>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</si>
  <si>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</si>
  <si>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</si>
  <si>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</si>
  <si>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</si>
  <si>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</si>
  <si>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</si>
  <si>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</si>
  <si>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</si>
  <si>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</si>
  <si>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</si>
  <si>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</si>
  <si>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</si>
  <si>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</si>
  <si>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</si>
  <si>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</si>
  <si>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</si>
  <si>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</si>
  <si>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</si>
  <si>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</si>
  <si>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</si>
  <si>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</si>
  <si>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</si>
  <si>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</si>
  <si>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</si>
  <si>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</si>
  <si>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</si>
  <si>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</si>
  <si>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</si>
  <si>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</si>
  <si>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</si>
  <si>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</si>
  <si>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</si>
  <si>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</si>
  <si>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</si>
  <si>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</si>
  <si>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</si>
  <si>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</si>
  <si>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</si>
  <si>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</si>
  <si>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</si>
  <si>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</si>
  <si>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</si>
  <si>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</si>
  <si>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</si>
  <si>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</si>
  <si>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</si>
  <si>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</si>
  <si>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</si>
  <si>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</si>
  <si>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</si>
  <si>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</si>
  <si>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</si>
  <si>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</si>
  <si>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</si>
  <si>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</si>
  <si>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</si>
  <si>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</si>
  <si>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</si>
  <si>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</si>
  <si>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</si>
  <si>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</si>
  <si>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</si>
  <si>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</si>
  <si>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</si>
  <si>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</si>
  <si>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</si>
  <si>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</si>
  <si>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</si>
  <si>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</si>
  <si>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</si>
  <si>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</si>
  <si>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</si>
  <si>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</si>
  <si>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</si>
  <si>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</si>
  <si>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</si>
  <si>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</si>
  <si>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</si>
  <si>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</si>
  <si>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</si>
  <si>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</si>
  <si>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</si>
  <si>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</si>
  <si>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</si>
  <si>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</si>
  <si>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</si>
  <si>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</si>
  <si>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</si>
  <si>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</si>
  <si>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</si>
  <si>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</si>
  <si>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</si>
  <si>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</si>
  <si>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</si>
  <si>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</si>
  <si>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</si>
  <si>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</si>
  <si>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</si>
  <si>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</si>
  <si>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</si>
  <si>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</si>
  <si>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</si>
  <si>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</si>
  <si>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</si>
  <si>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</si>
  <si>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</si>
  <si>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</si>
  <si>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</si>
  <si>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</si>
  <si>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</si>
  <si>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</si>
  <si>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</si>
  <si>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</si>
  <si>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</si>
  <si>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</si>
  <si>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</si>
  <si>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</si>
  <si>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</si>
  <si>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</si>
  <si>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</si>
  <si>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</si>
  <si>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</si>
  <si>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</si>
  <si>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</si>
  <si>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</si>
  <si>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</si>
  <si>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</si>
  <si>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</si>
  <si>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</si>
  <si>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</si>
  <si>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</si>
  <si>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</si>
  <si>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</si>
  <si>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</si>
  <si>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</si>
  <si>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</si>
  <si>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</si>
  <si>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</si>
  <si>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</si>
  <si>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</si>
  <si>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</si>
  <si>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</si>
  <si>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</si>
  <si>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</si>
  <si>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</si>
  <si>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</si>
  <si>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</si>
  <si>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</si>
  <si>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</si>
  <si>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</si>
  <si>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</si>
  <si>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</si>
  <si>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</si>
  <si>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</si>
  <si>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</si>
  <si>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</si>
  <si>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</si>
  <si>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</si>
  <si>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</si>
  <si>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</si>
  <si>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</si>
  <si>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</si>
  <si>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</si>
  <si>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</si>
  <si>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</si>
  <si>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</si>
  <si>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</si>
  <si>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</si>
  <si>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</si>
  <si>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</si>
  <si>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</si>
  <si>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</si>
  <si>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</si>
  <si>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</si>
  <si>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</si>
  <si>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</si>
  <si>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</si>
  <si>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</si>
  <si>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</si>
  <si>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</si>
  <si>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</si>
  <si>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</si>
  <si>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</si>
  <si>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</si>
  <si>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</si>
  <si>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</si>
  <si>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</si>
  <si>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</si>
  <si>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</si>
  <si>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</si>
  <si>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</si>
  <si>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</si>
  <si>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</si>
  <si>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</si>
  <si>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</si>
  <si>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</si>
  <si>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</si>
  <si>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</si>
  <si>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</si>
  <si>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</si>
  <si>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</si>
  <si>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</si>
  <si>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</si>
  <si>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</si>
  <si>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</si>
  <si>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</si>
  <si>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</si>
  <si>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</si>
  <si>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</si>
  <si>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</si>
  <si>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</si>
  <si>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</si>
  <si>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</si>
  <si>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</si>
  <si>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</si>
  <si>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</si>
  <si>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</si>
  <si>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</si>
  <si>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</si>
  <si>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</si>
  <si>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</si>
  <si>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</si>
  <si>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</si>
  <si>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</si>
  <si>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</si>
  <si>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</si>
  <si>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</si>
  <si>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</si>
  <si>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</si>
  <si>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</si>
  <si>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</si>
  <si>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</si>
  <si>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</si>
  <si>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</si>
  <si>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</si>
  <si>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</si>
  <si>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</si>
  <si>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</si>
  <si>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</si>
  <si>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</si>
  <si>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</si>
  <si>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</si>
  <si>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</si>
  <si>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</si>
  <si>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</si>
  <si>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</si>
  <si>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</si>
  <si>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</si>
  <si>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</si>
  <si>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</si>
  <si>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</si>
  <si>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</si>
  <si>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</si>
  <si>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</si>
  <si>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</si>
  <si>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</si>
  <si>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</si>
  <si>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</si>
  <si>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</si>
  <si>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</si>
  <si>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</si>
  <si>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</si>
  <si>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</si>
  <si>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</si>
  <si>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</si>
  <si>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</si>
  <si>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</si>
  <si>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</si>
  <si>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</si>
  <si>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</si>
  <si>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</si>
  <si>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</si>
  <si>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</si>
  <si>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</si>
  <si>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</si>
  <si>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</si>
  <si>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</si>
  <si>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</si>
  <si>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</si>
  <si>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</si>
  <si>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</si>
  <si>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</si>
  <si>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</si>
  <si>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</si>
  <si>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</si>
  <si>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</si>
  <si>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</si>
  <si>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</si>
  <si>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</si>
  <si>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</si>
  <si>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</si>
  <si>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</si>
  <si>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</si>
  <si>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</si>
  <si>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</si>
  <si>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</si>
  <si>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</si>
  <si>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</si>
  <si>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</si>
  <si>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</si>
  <si>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</si>
  <si>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</si>
  <si>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</si>
  <si>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</si>
  <si>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</si>
  <si>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</si>
  <si>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</si>
  <si>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</si>
  <si>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</si>
  <si>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</si>
  <si>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</si>
  <si>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</si>
  <si>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</si>
  <si>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</si>
  <si>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</si>
  <si>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</si>
  <si>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</si>
  <si>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</si>
  <si>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</si>
  <si>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</si>
  <si>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</si>
  <si>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</si>
  <si>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</si>
  <si>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</si>
  <si>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</si>
  <si>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</si>
  <si>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</si>
  <si>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</si>
  <si>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</si>
  <si>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</si>
  <si>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</si>
  <si>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</si>
  <si>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</si>
  <si>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</si>
  <si>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</si>
  <si>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</si>
  <si>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</si>
  <si>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</si>
  <si>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</si>
  <si>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</si>
  <si>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</si>
  <si>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</si>
  <si>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</si>
  <si>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</si>
  <si>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</si>
  <si>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</si>
  <si>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</si>
  <si>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</si>
  <si>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</si>
  <si>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</si>
  <si>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</si>
  <si>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</si>
  <si>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</si>
  <si>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</si>
  <si>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</si>
  <si>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</si>
  <si>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</si>
  <si>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</si>
  <si>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</si>
  <si>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</si>
  <si>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</si>
  <si>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</si>
  <si>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</si>
  <si>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</si>
  <si>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</si>
  <si>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</si>
  <si>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</si>
  <si>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</si>
  <si>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</si>
  <si>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</si>
  <si>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</si>
  <si>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</si>
  <si>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</si>
  <si>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</si>
  <si>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</si>
  <si>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</si>
  <si>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</si>
  <si>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</si>
  <si>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</si>
  <si>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</si>
  <si>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</si>
  <si>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</si>
  <si>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</si>
  <si>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</si>
  <si>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</si>
  <si>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</si>
  <si>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</si>
  <si>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</si>
  <si>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</si>
  <si>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</si>
  <si>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</si>
  <si>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</si>
  <si>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</si>
  <si>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</si>
  <si>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</si>
  <si>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</si>
  <si>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</si>
  <si>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</si>
  <si>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</si>
  <si>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</si>
  <si>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</si>
  <si>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</si>
  <si>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</si>
  <si>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</si>
  <si>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</si>
  <si>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</si>
  <si>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</si>
  <si>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</si>
  <si>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</si>
  <si>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</si>
  <si>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</si>
  <si>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</si>
  <si>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</si>
  <si>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</si>
  <si>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</si>
  <si>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</si>
  <si>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</si>
  <si>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</si>
  <si>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</si>
  <si>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</si>
  <si>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</si>
  <si>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</si>
  <si>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</si>
  <si>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</si>
  <si>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</si>
  <si>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</si>
  <si>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</si>
  <si>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</si>
  <si>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</si>
  <si>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</si>
  <si>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</si>
  <si>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</si>
  <si>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</si>
  <si>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</si>
  <si>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</si>
  <si>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</si>
  <si>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</si>
  <si>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</si>
  <si>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</si>
  <si>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</si>
  <si>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</si>
  <si>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</si>
  <si>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</si>
  <si>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</si>
  <si>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</si>
  <si>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</si>
  <si>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</si>
  <si>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</si>
  <si>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</si>
  <si>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</si>
  <si>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</si>
  <si>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</si>
  <si>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</si>
  <si>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</si>
  <si>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</si>
  <si>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</si>
  <si>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</si>
  <si>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</si>
  <si>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</si>
  <si>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</si>
  <si>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</si>
  <si>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</si>
  <si>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</si>
  <si>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</si>
  <si>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</si>
  <si>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</si>
  <si>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</si>
  <si>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</si>
  <si>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</si>
  <si>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</si>
  <si>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</si>
  <si>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</si>
  <si>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</si>
  <si>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</si>
  <si>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</si>
  <si>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</si>
  <si>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</si>
  <si>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</si>
  <si>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</si>
  <si>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</si>
  <si>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</si>
  <si>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</si>
  <si>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</si>
  <si>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</si>
  <si>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</si>
  <si>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</si>
  <si>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</si>
  <si>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</si>
  <si>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</si>
  <si>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</si>
  <si>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</si>
  <si>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</si>
  <si>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</si>
  <si>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</si>
  <si>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</si>
  <si>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</si>
  <si>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</si>
  <si>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</si>
  <si>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</si>
  <si>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</si>
  <si>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</si>
  <si>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</si>
  <si>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</si>
  <si>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</si>
  <si>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</si>
  <si>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</si>
  <si>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</si>
  <si>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</si>
  <si>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</si>
  <si>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</si>
  <si>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</si>
  <si>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</si>
  <si>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</si>
  <si>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</si>
  <si>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</si>
  <si>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</si>
  <si>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</si>
  <si>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</si>
  <si>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</si>
  <si>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</si>
  <si>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</si>
  <si>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</si>
  <si>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</si>
  <si>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</si>
  <si>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</si>
  <si>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</si>
  <si>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</si>
  <si>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</si>
  <si>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</si>
  <si>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</si>
  <si>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</si>
  <si>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</si>
  <si>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</si>
  <si>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</si>
  <si>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</si>
  <si>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</si>
  <si>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</si>
  <si>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</si>
  <si>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</si>
  <si>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</si>
  <si>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</si>
  <si>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</si>
  <si>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</si>
  <si>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</si>
  <si>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</si>
  <si>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</si>
  <si>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</si>
  <si>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</si>
  <si>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</si>
  <si>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</si>
  <si>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</si>
  <si>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</si>
  <si>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</si>
  <si>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</si>
  <si>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</si>
  <si>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</si>
  <si>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</si>
  <si>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</si>
  <si>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</si>
  <si>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</si>
  <si>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</si>
  <si>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</si>
  <si>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</si>
  <si>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</si>
  <si>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</si>
  <si>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</si>
  <si>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</si>
  <si>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</si>
  <si>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</si>
  <si>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</si>
  <si>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</si>
  <si>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</si>
  <si>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</si>
  <si>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</si>
  <si>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</si>
  <si>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</si>
  <si>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</si>
  <si>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</si>
  <si>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</si>
  <si>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</si>
  <si>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</si>
  <si>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</si>
  <si>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</si>
  <si>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</si>
  <si>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</si>
  <si>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</si>
  <si>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</si>
  <si>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</si>
  <si>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</si>
  <si>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</si>
  <si>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</si>
  <si>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</si>
  <si>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</si>
  <si>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</si>
  <si>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</si>
  <si>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</si>
  <si>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</si>
  <si>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</si>
  <si>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</si>
  <si>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</si>
  <si>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</si>
  <si>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</si>
  <si>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</si>
  <si>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</si>
  <si>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</si>
  <si>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</si>
  <si>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</si>
  <si>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</si>
  <si>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</si>
  <si>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</si>
  <si>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</si>
  <si>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</si>
  <si>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</si>
  <si>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</si>
  <si>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</si>
  <si>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</si>
  <si>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</si>
  <si>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</si>
  <si>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</si>
  <si>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</si>
  <si>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</si>
  <si>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</si>
  <si>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</si>
  <si>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</si>
  <si>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</si>
  <si>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</si>
  <si>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</si>
  <si>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</si>
  <si>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</si>
  <si>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</si>
  <si>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</si>
  <si>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</si>
  <si>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</si>
  <si>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</si>
  <si>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</si>
  <si>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</si>
  <si>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</si>
  <si>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</si>
  <si>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</si>
  <si>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</si>
  <si>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</si>
  <si>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</si>
  <si>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</si>
  <si>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</si>
  <si>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</si>
  <si>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</si>
  <si>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</si>
  <si>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</si>
  <si>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</si>
  <si>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</si>
  <si>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</si>
  <si>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</si>
  <si>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</si>
  <si>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</si>
  <si>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</si>
  <si>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</si>
  <si>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</si>
  <si>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</si>
  <si>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</si>
  <si>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</si>
  <si>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</si>
  <si>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</si>
  <si>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</si>
  <si>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</si>
  <si>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</si>
  <si>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</si>
  <si>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</si>
  <si>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</si>
  <si>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</si>
  <si>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</si>
  <si>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</si>
  <si>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</si>
  <si>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</si>
  <si>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</si>
  <si>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</si>
  <si>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</si>
  <si>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</si>
  <si>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</si>
  <si>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</si>
  <si>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</si>
  <si>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</si>
  <si>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</si>
  <si>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</si>
  <si>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</si>
  <si>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</si>
  <si>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</si>
  <si>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</si>
  <si>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</si>
  <si>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</si>
  <si>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</si>
  <si>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</si>
  <si>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</si>
  <si>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</si>
  <si>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</si>
  <si>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</si>
  <si>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</si>
  <si>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</si>
  <si>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</si>
  <si>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</si>
  <si>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</si>
  <si>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</si>
  <si>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</si>
  <si>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</si>
  <si>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</si>
  <si>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</si>
  <si>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</si>
  <si>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</si>
  <si>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</si>
  <si>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</si>
  <si>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</si>
  <si>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</si>
  <si>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</si>
  <si>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</si>
  <si>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</si>
  <si>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</si>
  <si>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</si>
  <si>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</si>
  <si>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</si>
  <si>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</si>
  <si>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</si>
  <si>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</si>
  <si>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</si>
  <si>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</si>
  <si>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</si>
  <si>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</si>
  <si>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</si>
  <si>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</si>
  <si>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</si>
  <si>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</si>
  <si>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</si>
  <si>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</si>
  <si>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</si>
  <si>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</si>
  <si>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</si>
  <si>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</si>
  <si>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</si>
  <si>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</si>
  <si>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</si>
  <si>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</si>
  <si>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</si>
  <si>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</si>
  <si>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</si>
  <si>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</si>
  <si>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</si>
  <si>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</si>
  <si>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</si>
  <si>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</si>
  <si>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</si>
  <si>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</si>
  <si>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</si>
  <si>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</si>
  <si>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</si>
  <si>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</si>
  <si>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</si>
  <si>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</si>
  <si>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</si>
  <si>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</si>
  <si>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</si>
  <si>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</si>
  <si>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</si>
  <si>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</si>
  <si>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</si>
  <si>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</si>
  <si>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</si>
  <si>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</si>
  <si>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</si>
  <si>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</si>
  <si>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</si>
  <si>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</si>
  <si>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</si>
  <si>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</si>
  <si>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</si>
  <si>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</si>
  <si>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</si>
  <si>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</si>
  <si>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</si>
  <si>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</si>
  <si>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</si>
  <si>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</si>
  <si>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</si>
  <si>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</si>
  <si>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</si>
  <si>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</si>
  <si>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</si>
  <si>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</si>
  <si>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</si>
  <si>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</si>
  <si>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</si>
  <si>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</si>
  <si>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</si>
  <si>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</si>
  <si>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</si>
  <si>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</si>
  <si>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</si>
  <si>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</si>
  <si>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</si>
  <si>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</si>
  <si>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</si>
  <si>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</si>
  <si>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</si>
  <si>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</si>
  <si>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</si>
  <si>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</si>
  <si>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</si>
  <si>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</si>
  <si>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</si>
  <si>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</si>
  <si>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</si>
  <si>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</si>
  <si>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</si>
  <si>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</si>
  <si>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</si>
  <si>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</si>
  <si>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</si>
  <si>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</si>
  <si>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</si>
  <si>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</si>
  <si>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</si>
  <si>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</si>
  <si>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</si>
  <si>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</si>
  <si>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</si>
  <si>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</si>
  <si>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</si>
  <si>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</si>
  <si>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</si>
  <si>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</si>
  <si>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</si>
  <si>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</si>
  <si>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</si>
  <si>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</si>
  <si>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</si>
  <si>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</si>
  <si>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</si>
  <si>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</si>
  <si>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</si>
  <si>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</si>
  <si>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</si>
  <si>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</si>
  <si>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</si>
  <si>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</si>
  <si>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</si>
  <si>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</si>
  <si>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</si>
  <si>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</si>
  <si>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</si>
  <si>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</si>
  <si>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</si>
  <si>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</si>
  <si>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</si>
  <si>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</si>
  <si>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</si>
  <si>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</si>
  <si>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</si>
  <si>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</si>
  <si>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</si>
  <si>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</si>
  <si>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</si>
  <si>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</si>
  <si>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</si>
  <si>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</si>
  <si>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</si>
  <si>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</si>
  <si>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</si>
  <si>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</si>
  <si>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</si>
  <si>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</si>
  <si>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</si>
  <si>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</si>
  <si>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</si>
  <si>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</si>
  <si>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</si>
  <si>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</si>
  <si>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</si>
  <si>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</si>
  <si>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</si>
  <si>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</si>
  <si>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</si>
  <si>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</si>
  <si>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</si>
  <si>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</si>
  <si>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</si>
  <si>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</si>
  <si>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</si>
  <si>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</si>
  <si>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</si>
  <si>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</si>
  <si>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</si>
  <si>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</si>
  <si>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</si>
  <si>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</si>
  <si>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</si>
  <si>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</si>
  <si>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</si>
  <si>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</si>
  <si>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</si>
  <si>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</si>
  <si>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</si>
  <si>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</si>
  <si>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</si>
  <si>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</si>
  <si>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</si>
  <si>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</si>
  <si>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</si>
  <si>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</si>
  <si>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</si>
  <si>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</si>
  <si>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</si>
  <si>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</si>
  <si>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</si>
  <si>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</si>
  <si>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</si>
  <si>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</si>
  <si>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</si>
  <si>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</si>
  <si>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</si>
  <si>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</si>
  <si>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</si>
  <si>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</si>
  <si>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</si>
  <si>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</si>
  <si>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</si>
  <si>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</si>
  <si>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</si>
  <si>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</si>
  <si>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</si>
  <si>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</si>
  <si>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</si>
  <si>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</si>
  <si>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</si>
  <si>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</si>
  <si>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</si>
  <si>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</si>
  <si>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</si>
  <si>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</si>
  <si>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</si>
  <si>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</si>
  <si>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</si>
  <si>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</si>
  <si>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</si>
  <si>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</si>
  <si>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</si>
  <si>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</si>
  <si>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</si>
  <si>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</si>
  <si>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</si>
  <si>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</si>
  <si>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</si>
  <si>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</si>
  <si>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</si>
  <si>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</si>
  <si>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</si>
  <si>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</si>
  <si>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</si>
  <si>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</si>
  <si>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</si>
  <si>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</si>
  <si>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</si>
  <si>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</si>
  <si>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</si>
  <si>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</si>
  <si>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</si>
  <si>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</si>
  <si>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</si>
  <si>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</si>
  <si>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</si>
  <si>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</si>
  <si>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</si>
  <si>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</si>
  <si>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</si>
  <si>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</si>
  <si>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</si>
  <si>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</si>
  <si>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</si>
  <si>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</si>
  <si>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</si>
  <si>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</si>
  <si>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</si>
  <si>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</si>
  <si>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</si>
  <si>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</si>
  <si>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</si>
  <si>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</si>
  <si>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</si>
  <si>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</si>
  <si>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</si>
  <si>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</si>
  <si>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</si>
  <si>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</si>
  <si>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</si>
  <si>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</si>
  <si>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</si>
  <si>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</si>
  <si>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</si>
  <si>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</si>
  <si>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</si>
  <si>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</si>
  <si>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</si>
  <si>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</si>
  <si>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</si>
  <si>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</si>
  <si>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</si>
  <si>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</si>
  <si>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</si>
  <si>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</si>
  <si>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</si>
  <si>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</si>
  <si>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</si>
  <si>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</si>
  <si>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</si>
  <si>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</si>
  <si>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</si>
  <si>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</si>
  <si>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</si>
  <si>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</si>
  <si>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</si>
  <si>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</si>
  <si>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</si>
  <si>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</si>
  <si>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</si>
  <si>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</si>
  <si>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</si>
  <si>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</si>
  <si>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</si>
  <si>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</si>
  <si>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</si>
  <si>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</si>
  <si>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</si>
  <si>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</si>
  <si>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</si>
  <si>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</si>
  <si>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</si>
  <si>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</si>
  <si>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</si>
  <si>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</si>
  <si>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</si>
  <si>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</si>
  <si>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</si>
  <si>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</si>
  <si>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</si>
  <si>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</si>
  <si>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</si>
  <si>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</si>
  <si>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</si>
  <si>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</si>
  <si>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</si>
  <si>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</si>
  <si>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</si>
  <si>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</si>
  <si>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</si>
  <si>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</si>
  <si>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</si>
  <si>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</si>
  <si>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</si>
  <si>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</si>
  <si>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</si>
  <si>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</si>
  <si>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</si>
  <si>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</si>
  <si>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</si>
  <si>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</si>
  <si>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</si>
  <si>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</si>
  <si>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</si>
  <si>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</si>
  <si>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</si>
  <si>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</si>
  <si>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</si>
  <si>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</si>
  <si>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</si>
  <si>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</si>
  <si>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</si>
  <si>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</si>
  <si>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</si>
  <si>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</si>
  <si>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</si>
  <si>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</si>
  <si>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</si>
  <si>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</si>
  <si>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</si>
  <si>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</si>
  <si>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</si>
  <si>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</si>
  <si>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</si>
  <si>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</si>
  <si>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</si>
  <si>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</si>
  <si>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</si>
  <si>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</si>
  <si>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</si>
  <si>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</si>
  <si>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</si>
  <si>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</si>
  <si>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</si>
  <si>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</si>
  <si>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</si>
  <si>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</si>
  <si>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</si>
  <si>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</si>
  <si>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</si>
  <si>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</si>
  <si>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</si>
  <si>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</si>
  <si>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</si>
  <si>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</si>
  <si>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</si>
  <si>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</si>
  <si>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</si>
  <si>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</si>
  <si>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</si>
  <si>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</si>
  <si>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</si>
  <si>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</si>
  <si>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</si>
  <si>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</si>
  <si>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</si>
  <si>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</si>
  <si>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</si>
  <si>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</si>
  <si>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</si>
  <si>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</si>
  <si>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</si>
  <si>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</si>
  <si>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</si>
  <si>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</si>
  <si>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</si>
  <si>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</si>
  <si>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</si>
  <si>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</si>
  <si>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</si>
  <si>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</si>
  <si>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</si>
  <si>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</si>
  <si>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</si>
  <si>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</si>
  <si>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</si>
  <si>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</si>
  <si>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</si>
  <si>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</si>
  <si>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</si>
  <si>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</si>
  <si>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</si>
  <si>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</si>
  <si>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</si>
  <si>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</si>
  <si>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</si>
  <si>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</si>
  <si>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</si>
  <si>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</si>
  <si>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</si>
  <si>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</si>
  <si>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</si>
  <si>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</si>
  <si>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</si>
  <si>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</si>
  <si>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</si>
  <si>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</si>
  <si>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</si>
  <si>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</si>
  <si>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</si>
  <si>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</si>
  <si>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</si>
  <si>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</si>
  <si>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</si>
  <si>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</si>
  <si>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</si>
  <si>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</si>
  <si>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</si>
  <si>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</si>
  <si>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</si>
  <si>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</si>
  <si>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</si>
  <si>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</si>
  <si>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</si>
  <si>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</si>
  <si>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</si>
  <si>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</si>
  <si>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</si>
  <si>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</si>
  <si>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</si>
  <si>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</si>
  <si>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</si>
  <si>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</si>
  <si>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</si>
  <si>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</si>
  <si>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</si>
  <si>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</si>
  <si>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</si>
  <si>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</si>
  <si>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</si>
  <si>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</si>
  <si>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</si>
  <si>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</si>
  <si>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</si>
  <si>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</si>
  <si>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</si>
  <si>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</si>
  <si>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</si>
  <si>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</si>
  <si>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</si>
  <si>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</si>
  <si>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</si>
  <si>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</si>
  <si>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</si>
  <si>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</si>
  <si>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</si>
  <si>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</si>
  <si>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</si>
  <si>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</si>
  <si>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</si>
  <si>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</si>
  <si>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</si>
  <si>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</si>
  <si>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</si>
  <si>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</si>
  <si>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</si>
  <si>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</si>
  <si>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</si>
  <si>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</si>
  <si>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</si>
  <si>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</si>
  <si>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</si>
  <si>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</si>
  <si>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</si>
  <si>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</si>
  <si>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</si>
  <si>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</si>
  <si>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</si>
  <si>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</si>
  <si>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</si>
  <si>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</si>
  <si>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</si>
  <si>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</si>
  <si>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</si>
  <si>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</si>
  <si>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</si>
  <si>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</si>
  <si>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</si>
  <si>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</si>
  <si>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</si>
  <si>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</si>
  <si>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</si>
  <si>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</si>
  <si>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</si>
  <si>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</si>
  <si>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</si>
  <si>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</si>
  <si>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</si>
  <si>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</si>
  <si>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</si>
  <si>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</si>
  <si>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</si>
  <si>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</si>
  <si>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</si>
  <si>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</si>
  <si>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</si>
  <si>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</si>
  <si>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</si>
  <si>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</si>
  <si>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</si>
  <si>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</si>
  <si>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</si>
  <si>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</si>
  <si>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</si>
  <si>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</si>
  <si>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</si>
  <si>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</si>
  <si>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</si>
  <si>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</si>
  <si>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</si>
  <si>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</si>
  <si>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</si>
  <si>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</si>
  <si>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</si>
  <si>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</si>
  <si>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</si>
  <si>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</si>
  <si>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</si>
  <si>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</si>
  <si>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</si>
  <si>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</si>
  <si>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</si>
  <si>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</si>
  <si>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</si>
  <si>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</si>
  <si>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</si>
  <si>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</si>
  <si>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</si>
  <si>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</si>
  <si>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</si>
  <si>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</si>
  <si>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</si>
  <si>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</si>
  <si>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</si>
  <si>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</si>
  <si>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</si>
  <si>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</si>
  <si>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</si>
  <si>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</si>
  <si>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</si>
  <si>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</si>
  <si>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</si>
  <si>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</si>
  <si>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</si>
  <si>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</si>
  <si>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</si>
  <si>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</si>
  <si>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</si>
  <si>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</si>
  <si>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</si>
  <si>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</si>
  <si>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</si>
  <si>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</si>
  <si>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</si>
  <si>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</si>
  <si>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</si>
  <si>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</si>
  <si>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</si>
  <si>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</si>
  <si>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</si>
  <si>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</si>
  <si>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</si>
  <si>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</si>
  <si>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</si>
  <si>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</si>
  <si>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</si>
  <si>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</si>
  <si>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</si>
  <si>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</si>
  <si>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</si>
  <si>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</si>
  <si>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</si>
  <si>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</si>
  <si>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</si>
  <si>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</si>
  <si>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</si>
  <si>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</si>
  <si>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</si>
  <si>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</si>
  <si>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</si>
  <si>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</si>
  <si>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</si>
  <si>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</si>
  <si>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</si>
  <si>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</si>
  <si>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</si>
  <si>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</si>
  <si>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</si>
  <si>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</si>
  <si>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</si>
  <si>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</si>
  <si>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</si>
  <si>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</si>
  <si>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</si>
  <si>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</si>
  <si>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</si>
  <si>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</si>
  <si>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</si>
  <si>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</si>
  <si>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</si>
  <si>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</si>
  <si>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</si>
  <si>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</si>
  <si>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</si>
  <si>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</si>
  <si>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</si>
  <si>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</si>
  <si>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</si>
  <si>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</si>
  <si>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</si>
  <si>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</si>
  <si>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</si>
  <si>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</si>
  <si>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</si>
  <si>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</si>
  <si>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</si>
  <si>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</si>
  <si>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</si>
  <si>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</si>
  <si>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</si>
  <si>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</si>
  <si>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</si>
  <si>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</si>
  <si>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</si>
  <si>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</si>
  <si>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</si>
  <si>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</si>
  <si>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</si>
  <si>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</si>
  <si>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</si>
  <si>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</si>
  <si>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</si>
  <si>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</si>
  <si>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</si>
  <si>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</si>
  <si>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</si>
  <si>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</si>
  <si>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</si>
  <si>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</si>
  <si>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</si>
  <si>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</si>
  <si>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</si>
  <si>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</si>
  <si>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</si>
  <si>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</si>
  <si>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</si>
  <si>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</si>
  <si>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</si>
  <si>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</si>
  <si>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</si>
  <si>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</si>
  <si>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</si>
  <si>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</si>
  <si>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</si>
  <si>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</si>
  <si>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</si>
  <si>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</si>
  <si>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</si>
  <si>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</si>
  <si>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</si>
  <si>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</si>
  <si>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</si>
  <si>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</si>
  <si>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</si>
  <si>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</si>
  <si>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</si>
  <si>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</si>
  <si>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</si>
  <si>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</si>
  <si>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</si>
  <si>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</si>
  <si>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</si>
  <si>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</si>
  <si>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</si>
  <si>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</si>
  <si>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</si>
  <si>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</si>
  <si>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</si>
  <si>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</si>
  <si>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</si>
  <si>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</si>
  <si>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</si>
  <si>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</si>
  <si>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</si>
  <si>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</si>
  <si>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</si>
  <si>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</si>
  <si>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</si>
  <si>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</si>
  <si>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</si>
  <si>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</si>
  <si>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</si>
  <si>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</si>
  <si>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</si>
  <si>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</si>
  <si>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</si>
  <si>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</si>
  <si>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</si>
  <si>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</si>
  <si>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</si>
  <si>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</si>
  <si>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</si>
  <si>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</si>
  <si>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</si>
  <si>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</si>
  <si>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</si>
  <si>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</si>
  <si>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</si>
  <si>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</si>
  <si>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</si>
  <si>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</si>
  <si>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</si>
  <si>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</si>
  <si>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</si>
  <si>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</si>
  <si>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</si>
  <si>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</si>
  <si>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</si>
  <si>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</si>
  <si>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</si>
  <si>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</si>
  <si>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</si>
  <si>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</si>
  <si>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</si>
  <si>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</si>
  <si>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</si>
  <si>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</si>
  <si>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</si>
  <si>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</si>
  <si>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</si>
  <si>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</si>
  <si>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</si>
  <si>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</si>
  <si>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</si>
  <si>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</si>
  <si>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</si>
  <si>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</si>
  <si>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</si>
  <si>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</si>
  <si>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</si>
  <si>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</si>
  <si>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</si>
  <si>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</si>
  <si>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</si>
  <si>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</si>
  <si>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</si>
  <si>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</si>
  <si>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</si>
  <si>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</si>
  <si>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</si>
  <si>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</si>
  <si>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</si>
  <si>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</si>
  <si>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</si>
  <si>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</si>
  <si>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</si>
  <si>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</si>
  <si>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</si>
  <si>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</si>
  <si>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</si>
  <si>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</si>
  <si>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</si>
  <si>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</si>
  <si>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</si>
  <si>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</si>
  <si>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</si>
  <si>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</si>
  <si>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</si>
  <si>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</si>
  <si>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</si>
  <si>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</si>
  <si>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</si>
  <si>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</si>
  <si>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</si>
  <si>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</si>
  <si>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</si>
  <si>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</si>
  <si>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</si>
  <si>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</si>
  <si>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</si>
  <si>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</si>
  <si>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</si>
  <si>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</si>
  <si>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</si>
  <si>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</si>
  <si>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</si>
  <si>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</si>
  <si>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</si>
  <si>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</si>
  <si>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</si>
  <si>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</si>
  <si>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</si>
  <si>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</si>
  <si>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</si>
  <si>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</si>
  <si>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</si>
  <si>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</si>
  <si>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</si>
  <si>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</si>
  <si>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</si>
  <si>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</si>
  <si>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</si>
  <si>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</si>
  <si>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</si>
  <si>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</si>
  <si>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</si>
  <si>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</si>
  <si>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</si>
  <si>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</si>
  <si>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</si>
  <si>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</si>
  <si>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</si>
  <si>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</si>
  <si>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</si>
  <si>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</si>
  <si>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</si>
  <si>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</si>
  <si>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</si>
  <si>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</si>
  <si>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</si>
  <si>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</si>
  <si>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</si>
  <si>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</si>
  <si>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</si>
  <si>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</si>
  <si>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</si>
  <si>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</si>
  <si>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</si>
  <si>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</si>
  <si>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</si>
  <si>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</si>
  <si>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</si>
  <si>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</si>
  <si>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</si>
  <si>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</si>
  <si>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</si>
  <si>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</si>
  <si>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</si>
  <si>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</si>
  <si>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</si>
  <si>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</si>
  <si>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</si>
  <si>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</si>
  <si>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</si>
  <si>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</si>
  <si>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</si>
  <si>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</si>
  <si>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</si>
  <si>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</si>
  <si>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</si>
  <si>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</si>
  <si>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</si>
  <si>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</si>
  <si>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</si>
  <si>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</si>
  <si>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</si>
  <si>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</si>
  <si>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</si>
  <si>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</si>
  <si>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</si>
  <si>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</si>
  <si>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</si>
  <si>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</si>
  <si>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</si>
  <si>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</si>
  <si>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</si>
  <si>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</si>
  <si>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</si>
  <si>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</si>
  <si>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</si>
  <si>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</si>
  <si>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</si>
  <si>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</si>
  <si>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</si>
  <si>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</si>
  <si>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</si>
  <si>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</si>
  <si>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</si>
  <si>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</si>
  <si>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</si>
  <si>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</si>
  <si>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</si>
  <si>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</si>
  <si>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</si>
  <si>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</si>
  <si>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</si>
  <si>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</si>
  <si>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</si>
  <si>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</si>
  <si>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</si>
  <si>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</si>
  <si>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</si>
  <si>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</si>
  <si>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</si>
  <si>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</si>
  <si>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</si>
  <si>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</si>
  <si>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</si>
  <si>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</si>
  <si>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</si>
  <si>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</si>
  <si>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</si>
  <si>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</si>
  <si>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</si>
  <si>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</si>
  <si>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</si>
  <si>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</si>
  <si>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</si>
  <si>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</si>
  <si>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</si>
  <si>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</si>
  <si>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</si>
  <si>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</si>
  <si>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</si>
  <si>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</si>
  <si>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</si>
  <si>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</si>
  <si>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</si>
  <si>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</si>
  <si>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</si>
  <si>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</si>
  <si>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</si>
  <si>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</si>
  <si>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</si>
  <si>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</si>
  <si>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</si>
  <si>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</si>
  <si>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</si>
  <si>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</si>
  <si>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</si>
  <si>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</si>
  <si>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</si>
  <si>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</si>
  <si>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</si>
  <si>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</si>
  <si>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</si>
  <si>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</si>
  <si>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</si>
  <si>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</si>
  <si>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</si>
  <si>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</si>
  <si>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</si>
  <si>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</si>
  <si>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</si>
  <si>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</si>
  <si>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</si>
  <si>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</si>
  <si>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</si>
  <si>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</si>
  <si>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</si>
  <si>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</si>
  <si>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</si>
  <si>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</si>
  <si>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</si>
  <si>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</si>
  <si>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</si>
  <si>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</si>
  <si>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</si>
  <si>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</si>
  <si>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</si>
  <si>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</si>
  <si>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</si>
  <si>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</si>
  <si>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</si>
  <si>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</si>
  <si>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</si>
  <si>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</si>
  <si>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</si>
  <si>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</si>
  <si>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</si>
  <si>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</si>
  <si>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</si>
  <si>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</si>
  <si>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</si>
  <si>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</si>
  <si>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</si>
  <si>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</si>
  <si>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</si>
  <si>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</si>
  <si>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</si>
  <si>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</si>
  <si>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</si>
  <si>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</si>
  <si>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</si>
  <si>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</si>
  <si>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</si>
  <si>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</si>
  <si>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</si>
  <si>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</si>
  <si>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</si>
  <si>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</si>
  <si>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</si>
  <si>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</si>
  <si>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</si>
  <si>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</si>
  <si>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</si>
  <si>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</si>
  <si>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</si>
  <si>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</si>
  <si>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</si>
  <si>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</si>
  <si>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</si>
  <si>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</si>
  <si>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</si>
  <si>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</si>
  <si>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</si>
  <si>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</si>
  <si>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</si>
  <si>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</si>
  <si>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</si>
  <si>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</si>
  <si>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</si>
  <si>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</si>
  <si>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</si>
  <si>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</si>
  <si>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</si>
  <si>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</si>
  <si>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</si>
  <si>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</si>
  <si>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</si>
  <si>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</si>
  <si>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</si>
  <si>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</si>
  <si>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</si>
  <si>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</si>
  <si>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</si>
  <si>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</si>
  <si>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</si>
  <si>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</si>
  <si>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</si>
  <si>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</si>
  <si>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</si>
  <si>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</si>
  <si>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</si>
  <si>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</si>
  <si>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</si>
  <si>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</si>
  <si>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</si>
  <si>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</si>
  <si>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</si>
  <si>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</si>
  <si>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</si>
  <si>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</si>
  <si>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</si>
  <si>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</si>
  <si>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</si>
  <si>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</si>
  <si>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</si>
  <si>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</si>
  <si>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</si>
  <si>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</si>
  <si>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</si>
  <si>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</si>
  <si>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</si>
  <si>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</si>
  <si>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</si>
  <si>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</si>
  <si>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</si>
  <si>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</si>
  <si>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</si>
  <si>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</si>
  <si>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</si>
  <si>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</si>
  <si>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</si>
  <si>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</si>
  <si>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</si>
  <si>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</si>
  <si>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</si>
  <si>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</si>
  <si>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</si>
  <si>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</si>
  <si>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</si>
  <si>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</si>
  <si>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</si>
  <si>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</si>
  <si>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</si>
  <si>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</si>
  <si>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</si>
  <si>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</si>
  <si>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</si>
  <si>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</si>
  <si>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</si>
  <si>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</si>
  <si>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</si>
  <si>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</si>
  <si>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</si>
  <si>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</si>
  <si>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</si>
  <si>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</si>
  <si>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</si>
  <si>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</si>
  <si>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</si>
  <si>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</si>
  <si>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</si>
  <si>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</si>
  <si>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</si>
  <si>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</si>
  <si>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</si>
  <si>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</si>
  <si>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</si>
  <si>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</si>
  <si>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</si>
  <si>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</si>
  <si>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</si>
  <si>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</si>
  <si>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</si>
  <si>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</si>
  <si>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</si>
  <si>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</si>
  <si>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</si>
  <si>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</si>
  <si>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</si>
  <si>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</si>
  <si>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</si>
  <si>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</si>
  <si>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</si>
  <si>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</si>
  <si>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</si>
  <si>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</si>
  <si>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</si>
  <si>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</si>
  <si>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</si>
  <si>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</si>
  <si>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</si>
  <si>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</si>
  <si>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</si>
  <si>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</si>
  <si>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</si>
  <si>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</si>
  <si>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</si>
  <si>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</si>
  <si>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</si>
  <si>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</si>
  <si>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</si>
  <si>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</si>
  <si>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</si>
  <si>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</si>
  <si>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</si>
  <si>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</si>
  <si>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</si>
  <si>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</si>
  <si>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</si>
  <si>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</si>
  <si>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</si>
  <si>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</si>
  <si>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</si>
  <si>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</si>
  <si>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</si>
  <si>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</si>
  <si>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</si>
  <si>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</si>
  <si>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</si>
  <si>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</si>
  <si>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</si>
  <si>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</si>
  <si>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</si>
  <si>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</si>
  <si>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</si>
  <si>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</si>
  <si>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</si>
  <si>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</si>
  <si>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</si>
  <si>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</si>
  <si>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</si>
  <si>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</si>
  <si>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</si>
  <si>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</si>
  <si>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</si>
  <si>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</si>
  <si>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</si>
  <si>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</si>
  <si>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</si>
  <si>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</si>
  <si>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</si>
  <si>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</si>
  <si>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</si>
  <si>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</si>
  <si>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</si>
  <si>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</si>
  <si>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</si>
  <si>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</si>
  <si>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</si>
  <si>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</si>
  <si>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</si>
  <si>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</si>
  <si>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</si>
  <si>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</si>
  <si>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</si>
  <si>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</si>
  <si>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</si>
  <si>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</si>
  <si>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</si>
  <si>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</si>
  <si>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</si>
  <si>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</si>
  <si>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</si>
  <si>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</si>
  <si>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</si>
  <si>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</si>
  <si>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</si>
  <si>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</si>
  <si>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</si>
  <si>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</si>
  <si>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</si>
  <si>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</si>
  <si>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</si>
  <si>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</si>
  <si>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</si>
  <si>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</si>
  <si>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</si>
  <si>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</si>
  <si>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</si>
  <si>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</si>
  <si>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</si>
  <si>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</si>
  <si>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</si>
  <si>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</si>
  <si>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</si>
  <si>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</si>
  <si>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</si>
  <si>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</si>
  <si>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</si>
  <si>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</si>
  <si>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</si>
  <si>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</si>
  <si>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</si>
  <si>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</si>
  <si>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</si>
  <si>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</si>
  <si>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</si>
  <si>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</si>
  <si>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</si>
  <si>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</si>
  <si>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</si>
  <si>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</si>
  <si>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</si>
  <si>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</si>
  <si>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</si>
  <si>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</si>
  <si>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</si>
  <si>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</si>
  <si>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</si>
  <si>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</si>
  <si>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</si>
  <si>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</si>
  <si>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</si>
  <si>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</si>
  <si>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</si>
  <si>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</si>
  <si>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</si>
  <si>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</si>
  <si>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</si>
  <si>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</si>
  <si>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</si>
  <si>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</si>
  <si>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</si>
  <si>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</si>
  <si>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</si>
  <si>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</si>
  <si>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</si>
  <si>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</si>
  <si>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</si>
  <si>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</si>
  <si>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</si>
  <si>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</si>
  <si>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</si>
  <si>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</si>
  <si>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</si>
  <si>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</si>
  <si>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</si>
  <si>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</si>
  <si>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</si>
  <si>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</si>
  <si>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</si>
  <si>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</si>
  <si>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</si>
  <si>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</si>
  <si>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</si>
  <si>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</si>
  <si>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</si>
  <si>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</si>
  <si>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</si>
  <si>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</si>
  <si>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</si>
  <si>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</si>
  <si>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</si>
  <si>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</si>
  <si>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</si>
  <si>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</si>
  <si>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</si>
  <si>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</si>
  <si>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</si>
  <si>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</si>
  <si>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</si>
  <si>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</si>
  <si>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</si>
  <si>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</si>
  <si>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</si>
  <si>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</si>
  <si>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</si>
  <si>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</si>
  <si>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</si>
  <si>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</si>
  <si>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</si>
  <si>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</si>
  <si>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</si>
  <si>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</si>
  <si>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</si>
  <si>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</si>
  <si>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</si>
  <si>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</si>
  <si>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</si>
  <si>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</si>
  <si>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</si>
  <si>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</si>
  <si>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</si>
  <si>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</si>
  <si>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</si>
  <si>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</si>
  <si>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</si>
  <si>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</si>
  <si>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</si>
  <si>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</si>
  <si>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</si>
  <si>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</si>
  <si>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</si>
  <si>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</si>
  <si>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</si>
  <si>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</si>
  <si>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</si>
  <si>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</si>
  <si>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</si>
  <si>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</si>
  <si>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</si>
  <si>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</si>
  <si>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</si>
  <si>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</si>
  <si>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</si>
  <si>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</si>
  <si>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</si>
  <si>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</si>
  <si>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</si>
  <si>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</si>
  <si>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</si>
  <si>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</si>
  <si>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</si>
  <si>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</si>
  <si>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</si>
  <si>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</si>
  <si>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</si>
  <si>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</si>
  <si>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</si>
  <si>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</si>
  <si>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</si>
  <si>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</si>
  <si>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</si>
  <si>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</si>
  <si>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</si>
  <si>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</si>
  <si>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</si>
  <si>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</si>
  <si>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</si>
  <si>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</si>
  <si>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</si>
  <si>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</si>
  <si>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</si>
  <si>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</si>
  <si>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</si>
  <si>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</si>
  <si>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</si>
  <si>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</si>
  <si>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</si>
  <si>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</si>
  <si>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</si>
  <si>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</si>
  <si>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</si>
  <si>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</si>
  <si>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</si>
  <si>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</si>
  <si>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</si>
  <si>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</si>
  <si>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</si>
  <si>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</si>
  <si>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</si>
  <si>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</si>
  <si>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</si>
  <si>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</si>
  <si>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</si>
  <si>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</si>
  <si>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</si>
  <si>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</si>
  <si>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</si>
  <si>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</si>
  <si>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</si>
  <si>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</si>
  <si>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</si>
  <si>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</si>
  <si>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</si>
  <si>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</si>
  <si>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</si>
  <si>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</si>
  <si>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</si>
  <si>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</si>
  <si>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</si>
  <si>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</si>
  <si>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</si>
  <si>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</si>
  <si>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</si>
  <si>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</si>
  <si>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</si>
  <si>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</si>
  <si>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</si>
  <si>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</si>
  <si>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</si>
  <si>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</si>
  <si>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</si>
  <si>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</si>
  <si>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</si>
  <si>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</si>
  <si>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</si>
  <si>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</si>
  <si>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</si>
  <si>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</si>
  <si>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</si>
  <si>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</si>
  <si>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</si>
  <si>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</si>
  <si>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</si>
  <si>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</si>
  <si>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</si>
  <si>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</si>
  <si>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</si>
  <si>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</si>
  <si>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</si>
  <si>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</si>
  <si>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</si>
  <si>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</si>
  <si>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</si>
  <si>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</si>
  <si>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</si>
  <si>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</si>
  <si>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</si>
  <si>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</si>
  <si>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</si>
  <si>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</si>
  <si>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</si>
  <si>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</si>
  <si>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</si>
  <si>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</si>
  <si>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</si>
  <si>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</si>
  <si>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</si>
  <si>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</si>
  <si>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</si>
  <si>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</si>
  <si>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</si>
  <si>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</si>
  <si>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</si>
  <si>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</si>
  <si>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</si>
  <si>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</si>
  <si>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</si>
  <si>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</si>
  <si>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</si>
  <si>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</si>
  <si>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</si>
  <si>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</si>
  <si>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</si>
  <si>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</si>
  <si>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</si>
  <si>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</si>
  <si>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</si>
  <si>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</si>
  <si>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</si>
  <si>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</si>
  <si>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</si>
  <si>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</si>
  <si>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</si>
  <si>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</si>
  <si>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</si>
  <si>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</si>
  <si>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</si>
  <si>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</si>
  <si>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</si>
  <si>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</si>
  <si>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</si>
  <si>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</si>
  <si>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</si>
  <si>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</si>
  <si>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</si>
  <si>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</si>
  <si>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</si>
  <si>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</si>
  <si>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</si>
  <si>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</si>
  <si>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</si>
  <si>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</si>
  <si>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</si>
  <si>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</si>
  <si>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</si>
  <si>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</si>
  <si>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</si>
  <si>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</si>
  <si>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</si>
  <si>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</si>
  <si>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</si>
  <si>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</si>
  <si>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</si>
  <si>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</si>
  <si>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</si>
  <si>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</si>
  <si>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</si>
  <si>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</si>
  <si>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</si>
  <si>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</si>
  <si>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</si>
  <si>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</si>
  <si>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</si>
  <si>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</si>
  <si>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</si>
  <si>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</si>
  <si>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</si>
  <si>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</si>
  <si>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</si>
  <si>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</si>
  <si>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</si>
  <si>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</si>
  <si>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</si>
  <si>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</si>
  <si>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</si>
  <si>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</si>
  <si>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</si>
  <si>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</si>
  <si>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</si>
  <si>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</si>
  <si>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</si>
  <si>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</si>
  <si>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</si>
  <si>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</si>
  <si>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</si>
  <si>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</si>
  <si>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</si>
  <si>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</si>
  <si>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</si>
  <si>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</si>
  <si>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</si>
  <si>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</si>
  <si>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</si>
  <si>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</si>
  <si>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</si>
  <si>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</si>
  <si>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</si>
  <si>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</si>
  <si>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</si>
  <si>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</si>
  <si>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</si>
  <si>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</si>
  <si>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</si>
  <si>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</si>
  <si>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</si>
  <si>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</si>
  <si>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</si>
  <si>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</si>
  <si>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</si>
  <si>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</si>
  <si>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</si>
  <si>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</si>
  <si>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</si>
  <si>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</si>
  <si>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</si>
  <si>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</si>
  <si>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</si>
  <si>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</si>
  <si>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</si>
  <si>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</si>
  <si>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</si>
  <si>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</si>
  <si>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</si>
  <si>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</si>
  <si>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</si>
  <si>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</si>
  <si>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</si>
  <si>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</si>
  <si>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</si>
  <si>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</si>
  <si>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</si>
  <si>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</si>
  <si>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</si>
  <si>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</si>
  <si>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</si>
  <si>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</si>
  <si>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</si>
  <si>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</si>
  <si>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</si>
  <si>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</si>
  <si>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</si>
  <si>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</si>
  <si>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</si>
  <si>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</si>
  <si>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</si>
  <si>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</si>
  <si>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</si>
  <si>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</si>
  <si>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</si>
  <si>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</si>
  <si>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</si>
  <si>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</si>
  <si>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</si>
  <si>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</si>
  <si>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</si>
  <si>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</si>
  <si>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</si>
  <si>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</si>
  <si>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</si>
  <si>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</si>
  <si>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</si>
  <si>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</si>
  <si>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</si>
  <si>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</si>
  <si>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</si>
  <si>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</si>
  <si>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</si>
  <si>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</si>
  <si>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</si>
  <si>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</si>
  <si>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</si>
  <si>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</si>
  <si>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</si>
  <si>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</si>
  <si>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</si>
  <si>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</si>
  <si>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</si>
  <si>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</si>
  <si>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</si>
  <si>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</si>
  <si>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</si>
  <si>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</si>
  <si>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</si>
  <si>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</si>
  <si>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</si>
  <si>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</si>
  <si>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</si>
  <si>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</si>
  <si>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</si>
  <si>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</si>
  <si>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</si>
  <si>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</si>
  <si>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</si>
  <si>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</si>
  <si>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</si>
  <si>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</si>
  <si>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</si>
  <si>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</si>
  <si>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</si>
  <si>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</si>
  <si>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</si>
  <si>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</si>
  <si>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</si>
  <si>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</si>
  <si>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</si>
  <si>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</si>
  <si>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</si>
  <si>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</si>
  <si>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</si>
  <si>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</si>
  <si>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</si>
  <si>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</si>
  <si>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</si>
  <si>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</si>
  <si>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</si>
  <si>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</si>
  <si>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</si>
  <si>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</si>
  <si>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</si>
  <si>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</si>
  <si>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</si>
  <si>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</si>
  <si>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</si>
  <si>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</si>
  <si>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</si>
  <si>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</si>
  <si>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</si>
  <si>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</si>
  <si>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</si>
  <si>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</si>
  <si>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</si>
  <si>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</si>
  <si>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</si>
  <si>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</si>
  <si>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</si>
  <si>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</si>
  <si>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</si>
  <si>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</si>
  <si>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</si>
  <si>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</si>
  <si>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</si>
  <si>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</si>
  <si>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</si>
  <si>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</si>
  <si>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</si>
  <si>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</si>
  <si>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</si>
  <si>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</si>
  <si>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</si>
  <si>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</si>
  <si>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</si>
  <si>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</si>
  <si>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</si>
  <si>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</si>
  <si>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</si>
  <si>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</si>
  <si>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</si>
  <si>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</si>
  <si>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</si>
  <si>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</si>
  <si>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</si>
  <si>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</si>
  <si>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</si>
  <si>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</si>
  <si>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</si>
  <si>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</si>
  <si>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</si>
  <si>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</si>
  <si>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</si>
  <si>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</si>
  <si>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</si>
  <si>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</si>
  <si>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</si>
  <si>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</si>
  <si>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</si>
  <si>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</si>
  <si>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</si>
  <si>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</si>
  <si>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</si>
  <si>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</si>
  <si>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</si>
  <si>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</si>
  <si>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</si>
  <si>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</si>
  <si>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</si>
  <si>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</si>
  <si>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</si>
  <si>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</si>
  <si>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</si>
  <si>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</si>
  <si>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</si>
  <si>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</si>
  <si>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</si>
  <si>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</si>
  <si>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</si>
  <si>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</si>
  <si>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</si>
  <si>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</si>
  <si>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</si>
  <si>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</si>
  <si>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</si>
  <si>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</si>
  <si>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</si>
  <si>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</si>
  <si>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</si>
  <si>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</si>
  <si>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</si>
  <si>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</si>
  <si>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</si>
  <si>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</si>
  <si>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</si>
  <si>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</si>
  <si>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</si>
  <si>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</si>
  <si>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</si>
  <si>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</si>
  <si>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</si>
  <si>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</si>
  <si>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</si>
  <si>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</si>
  <si>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</si>
  <si>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</si>
  <si>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</si>
  <si>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</si>
  <si>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</si>
  <si>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</si>
  <si>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</si>
  <si>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</si>
  <si>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</si>
  <si>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</si>
  <si>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</si>
  <si>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</si>
  <si>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</si>
  <si>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</si>
  <si>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</si>
  <si>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</si>
  <si>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</si>
  <si>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</si>
  <si>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</si>
  <si>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</si>
  <si>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</si>
  <si>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</si>
  <si>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</si>
  <si>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</si>
  <si>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</si>
  <si>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</si>
  <si>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</si>
  <si>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</si>
  <si>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</si>
  <si>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</si>
  <si>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</si>
  <si>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</si>
  <si>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</si>
  <si>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</si>
  <si>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</si>
  <si>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</si>
  <si>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</si>
  <si>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</si>
  <si>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</si>
  <si>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</si>
  <si>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</si>
  <si>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</si>
  <si>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</si>
  <si>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</si>
  <si>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</si>
  <si>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</si>
  <si>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企业</t>
  </si>
  <si>
    <r>
      <rPr>
        <sz val="10"/>
        <color theme="9" tint="-0.249977111117893"/>
        <rFont val="宋体"/>
        <family val="3"/>
        <charset val="134"/>
      </rPr>
      <t>靛厂路</t>
    </r>
    <r>
      <rPr>
        <sz val="10"/>
        <color theme="9" tint="-0.249977111117893"/>
        <rFont val="Arial"/>
        <family val="2"/>
      </rPr>
      <t>11</t>
    </r>
    <r>
      <rPr>
        <sz val="10"/>
        <color theme="9" tint="-0.249977111117893"/>
        <rFont val="宋体"/>
        <family val="3"/>
        <charset val="134"/>
      </rPr>
      <t>号</t>
    </r>
    <phoneticPr fontId="6" type="noConversion"/>
  </si>
  <si>
    <t>否</t>
  </si>
  <si>
    <t>复印件</t>
  </si>
  <si>
    <t>通路</t>
  </si>
  <si>
    <t>通电</t>
  </si>
  <si>
    <t>通讯</t>
  </si>
  <si>
    <t>通上水</t>
  </si>
  <si>
    <t>通下水</t>
  </si>
  <si>
    <t>燃气</t>
  </si>
  <si>
    <t>平整</t>
  </si>
  <si>
    <t>地上</t>
  </si>
  <si>
    <t>地下</t>
  </si>
  <si>
    <t>是</t>
  </si>
  <si>
    <t>建安取值</t>
  </si>
  <si>
    <t>建筑面积</t>
  </si>
  <si>
    <t>单方建安</t>
  </si>
  <si>
    <t>合计</t>
  </si>
  <si>
    <t>工程进度</t>
  </si>
  <si>
    <t>主体</t>
  </si>
  <si>
    <t>装修</t>
  </si>
  <si>
    <t>设备</t>
  </si>
  <si>
    <t>人防</t>
  </si>
  <si>
    <t>综合平均</t>
  </si>
  <si>
    <t>成新度</t>
  </si>
  <si>
    <t>建成年代</t>
  </si>
  <si>
    <t>砖混</t>
  </si>
  <si>
    <t>钢混</t>
  </si>
  <si>
    <t>残值率</t>
  </si>
  <si>
    <t>直线折旧</t>
  </si>
  <si>
    <t>观察成新</t>
  </si>
  <si>
    <t>租约</t>
    <phoneticPr fontId="134" type="noConversion"/>
  </si>
  <si>
    <t>收益法</t>
  </si>
  <si>
    <t>收益法商</t>
  </si>
  <si>
    <t>收益法商</t>
    <phoneticPr fontId="16" type="noConversion"/>
  </si>
  <si>
    <t>自定义容积率</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</si>
  <si>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</si>
  <si>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</si>
  <si>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</si>
  <si>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</si>
  <si>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</si>
  <si>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</si>
  <si>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</si>
  <si>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</si>
  <si>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</si>
  <si>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</si>
  <si>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</si>
  <si>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</si>
  <si>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</si>
  <si>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</si>
  <si>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</si>
  <si>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</si>
  <si>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</si>
  <si>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</si>
  <si>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</si>
  <si>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</si>
  <si>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</si>
  <si>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</si>
  <si>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</si>
  <si>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</si>
  <si>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</si>
  <si>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</si>
  <si>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</si>
  <si>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</si>
  <si>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</si>
  <si>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</si>
  <si>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</si>
  <si>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</si>
  <si>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</si>
  <si>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</si>
  <si>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</si>
  <si>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</si>
  <si>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</si>
  <si>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</si>
  <si>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</si>
  <si>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</si>
  <si>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</si>
  <si>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</si>
  <si>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</si>
  <si>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</si>
  <si>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</si>
  <si>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</si>
  <si>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</si>
  <si>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</si>
  <si>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</si>
  <si>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</si>
  <si>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</si>
  <si>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</si>
  <si>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</si>
  <si>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</si>
  <si>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</si>
  <si>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</si>
  <si>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</si>
  <si>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</si>
  <si>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</si>
  <si>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</si>
  <si>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</si>
  <si>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</si>
  <si>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</si>
  <si>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</si>
  <si>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</si>
  <si>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</si>
  <si>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</si>
  <si>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</si>
  <si>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</si>
  <si>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</si>
  <si>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</si>
  <si>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</si>
  <si>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</si>
  <si>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</si>
  <si>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</si>
  <si>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</si>
  <si>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</si>
  <si>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</si>
  <si>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</si>
  <si>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</si>
  <si>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</si>
  <si>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</si>
  <si>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</si>
  <si>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</si>
  <si>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</si>
  <si>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</si>
  <si>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</si>
  <si>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</si>
  <si>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</si>
  <si>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</si>
  <si>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</si>
  <si>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</si>
  <si>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</si>
  <si>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</si>
  <si>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</si>
  <si>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</si>
  <si>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</si>
  <si>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</si>
  <si>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</si>
  <si>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</si>
  <si>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</si>
  <si>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</si>
  <si>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</si>
  <si>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</si>
  <si>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</si>
  <si>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</si>
  <si>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商业综合</t>
  </si>
  <si>
    <t>商业综合</t>
    <phoneticPr fontId="30" type="noConversion"/>
  </si>
  <si>
    <t>较好</t>
  </si>
  <si>
    <t>一般</t>
  </si>
  <si>
    <t>七通</t>
  </si>
  <si>
    <t>主干道</t>
  </si>
  <si>
    <t>三通</t>
  </si>
  <si>
    <t>支路</t>
  </si>
  <si>
    <t>估价对象周边商业氛围成熟度一般，有千禧商业街、银座和谐广场，人流量一般，商业繁华度一般</t>
    <phoneticPr fontId="24" type="noConversion"/>
  </si>
  <si>
    <t>估价对象，周边办公楼项目数量一般，有华信大厦、金鑫大厦等写字楼项目，入驻率较高，办公集聚程度一般</t>
    <phoneticPr fontId="24" type="noConversion"/>
  </si>
  <si>
    <t>估价对象周边道路通达状况较好、有52、57、473、941等公交线路，停车便捷程度一般，综合评价交通便捷度一般</t>
    <phoneticPr fontId="40" type="noConversion"/>
  </si>
  <si>
    <t>估价对象所在区域公共配套设施齐备情况较好</t>
    <phoneticPr fontId="40" type="noConversion"/>
  </si>
  <si>
    <t>七通</t>
    <phoneticPr fontId="24" type="noConversion"/>
  </si>
  <si>
    <t>区域自然环境：万丰公园、足球公园等；人文环境；综合评价环境状况一般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</si>
  <si>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靛厂路</t>
    </r>
    <phoneticPr fontId="24" type="noConversion"/>
  </si>
  <si>
    <t>快速路</t>
    <phoneticPr fontId="3" type="noConversion"/>
  </si>
  <si>
    <t>主干道</t>
    <phoneticPr fontId="3" type="noConversion"/>
  </si>
  <si>
    <t>次干道</t>
    <phoneticPr fontId="3" type="noConversion"/>
  </si>
  <si>
    <t>支路</t>
    <phoneticPr fontId="3" type="noConversion"/>
  </si>
  <si>
    <t>好</t>
  </si>
  <si>
    <t>较差</t>
  </si>
  <si>
    <t>差</t>
  </si>
  <si>
    <t>六通</t>
  </si>
  <si>
    <t>五通</t>
  </si>
  <si>
    <t>四通</t>
  </si>
  <si>
    <t>次干道</t>
  </si>
  <si>
    <t>押一</t>
  </si>
  <si>
    <t>非生产用房</t>
  </si>
  <si>
    <t>需扣减承租人权益</t>
  </si>
  <si>
    <t>未包含在土地购买价格中</t>
  </si>
  <si>
    <t>全部缴纳</t>
  </si>
  <si>
    <t>已包含在土地取得成本中</t>
  </si>
  <si>
    <t>现房</t>
  </si>
  <si>
    <t>项目局部</t>
  </si>
  <si>
    <t>成本法</t>
  </si>
  <si>
    <t>收益法（汇总）</t>
  </si>
  <si>
    <t>地下</t>
    <phoneticPr fontId="134" type="noConversion"/>
  </si>
  <si>
    <t>商业</t>
    <phoneticPr fontId="134" type="noConversion"/>
  </si>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</sst>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69" fillId="12" borderId="4" xfId="0" applyNumberFormat="1" applyFont="1" applyFill="1" applyBorder="1" applyAlignment="1" applyProtection="1">
      <alignment horizontal="left"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9" fontId="47" fillId="12" borderId="0" xfId="0" applyNumberFormat="1" applyFont="1" applyFill="1" applyProtection="1">
      <alignment vertical="center"/>
      <protection locked="0"/>
    </xf>
    <xf numFmtId="0" fontId="99" fillId="0" borderId="0" xfId="10" applyFont="1" applyAlignment="1"/>
    <xf numFmtId="14" fontId="99" fillId="0" borderId="0" xfId="10" applyNumberFormat="1" applyFont="1" applyAlignment="1"/>
    <xf numFmtId="0" fontId="99" fillId="0" borderId="0" xfId="10" applyFont="1">
      <alignment vertical="center"/>
    </xf>
    <xf numFmtId="0" fontId="94" fillId="0" borderId="9"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69"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57" fillId="8" borderId="5" xfId="1" applyFont="1" applyFill="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百分比 3" xfId="19" xr:uid="{E8008E12-27EB-4CAA-974F-685190EDD7E8}"/>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0822-&#38747;&#21378;&#36335;11&#21495;&#27004;\&#30005;&#31639;&#34920;-&#38747;&#21378;&#36335;2024.xlsx" TargetMode="External"/><Relationship Id="rId1" Type="http://schemas.openxmlformats.org/officeDocument/2006/relationships/externalLinkPath" Target="&#30005;&#31639;&#34920;-&#38747;&#21378;&#36335;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0732-&#24191;&#23433;&#38376;&#36234;&#37117;&#27719;\P01\&#26368;&#32456;\&#27979;&#31639;&#34920;2024-1-0732-&#24191;&#23433;&#38376;&#36234;&#37117;&#27719;-&#19968;&#23457;.xlsx" TargetMode="External"/><Relationship Id="rId1" Type="http://schemas.openxmlformats.org/officeDocument/2006/relationships/externalLinkPath" Target="/&#21608;&#24420;/&#25253;&#21578;/2024&#24180;/2024-1-0732-&#24191;&#23433;&#38376;&#36234;&#37117;&#27719;/P01/&#26368;&#32456;/&#27979;&#31639;&#34920;2024-1-0732-&#24191;&#23433;&#38376;&#36234;&#37117;&#2771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基准地价修正"/>
      <sheetName val="基准地价修正 (2)"/>
      <sheetName val="成本法"/>
      <sheetName val="成本法 (元)"/>
      <sheetName val="假设开发法"/>
      <sheetName val="比较法-办公"/>
      <sheetName val="收益法（汇总）"/>
      <sheetName val="收益法"/>
      <sheetName val="收益法 (元)"/>
      <sheetName val="收益法-酒店模型"/>
      <sheetName val="收益法办公"/>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13">
          <cell r="I13">
            <v>1505.9849999999999</v>
          </cell>
          <cell r="K13">
            <v>6023.94</v>
          </cell>
          <cell r="M13">
            <v>1505.9850000000006</v>
          </cell>
        </row>
      </sheetData>
      <sheetData sheetId="13">
        <row r="17">
          <cell r="C17" t="str">
            <v>项目类型</v>
          </cell>
        </row>
        <row r="19">
          <cell r="C19" t="str">
            <v>办公</v>
          </cell>
        </row>
        <row r="20">
          <cell r="C20" t="str">
            <v>商业</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10">
          <cell r="C10">
            <v>181</v>
          </cell>
        </row>
      </sheetData>
      <sheetData sheetId="22" refreshError="1"/>
      <sheetData sheetId="23" refreshError="1"/>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综合</v>
          </cell>
        </row>
        <row r="20">
          <cell r="C20"/>
        </row>
        <row r="21">
          <cell r="C21"/>
        </row>
        <row r="22">
          <cell r="C22"/>
        </row>
        <row r="23">
          <cell r="C23"/>
        </row>
        <row r="24">
          <cell r="C24"/>
        </row>
        <row r="25">
          <cell r="C25"/>
        </row>
        <row r="26">
          <cell r="C26"/>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cell r="C72" t="str">
            <v>正常</v>
          </cell>
          <cell r="D72"/>
          <cell r="E72"/>
          <cell r="F72"/>
          <cell r="G72"/>
          <cell r="H72"/>
          <cell r="I72"/>
          <cell r="J72"/>
          <cell r="K72"/>
          <cell r="L72"/>
          <cell r="M72"/>
        </row>
        <row r="74">
          <cell r="B74" t="str">
            <v>用途</v>
          </cell>
          <cell r="C74" t="str">
            <v xml:space="preserve"> B4</v>
          </cell>
          <cell r="D74" t="str">
            <v xml:space="preserve"> F3</v>
          </cell>
          <cell r="E74"/>
          <cell r="F74"/>
          <cell r="G74"/>
          <cell r="H74"/>
          <cell r="I74"/>
          <cell r="J74"/>
          <cell r="K74"/>
          <cell r="L74"/>
          <cell r="M74"/>
        </row>
        <row r="105">
          <cell r="B105" t="str">
            <v>毗邻道路的类型与等级</v>
          </cell>
          <cell r="C105" t="str">
            <v>快速路</v>
          </cell>
          <cell r="D105" t="str">
            <v>主干道</v>
          </cell>
          <cell r="E105" t="str">
            <v>次干道</v>
          </cell>
          <cell r="F105" t="str">
            <v>支路</v>
          </cell>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t="str">
            <v>好</v>
          </cell>
          <cell r="D120" t="str">
            <v>较好</v>
          </cell>
          <cell r="E120" t="str">
            <v>一般</v>
          </cell>
          <cell r="F120" t="str">
            <v>较差</v>
          </cell>
          <cell r="G120" t="str">
            <v>差</v>
          </cell>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好</v>
          </cell>
          <cell r="D124" t="str">
            <v>较好</v>
          </cell>
          <cell r="E124" t="str">
            <v>一般</v>
          </cell>
          <cell r="F124" t="str">
            <v>较差</v>
          </cell>
          <cell r="G124" t="str">
            <v>差</v>
          </cell>
          <cell r="H124"/>
          <cell r="I124"/>
          <cell r="J124"/>
          <cell r="K124"/>
          <cell r="L124"/>
          <cell r="M124"/>
        </row>
      </sheetData>
      <sheetData sheetId="20">
        <row r="2">
          <cell r="I2">
            <v>7467</v>
          </cell>
          <cell r="AW2">
            <v>22692</v>
          </cell>
        </row>
        <row r="3">
          <cell r="I3">
            <v>67829.210000000006</v>
          </cell>
          <cell r="S3">
            <v>4.4000000000000004</v>
          </cell>
          <cell r="AW3">
            <v>22811</v>
          </cell>
        </row>
        <row r="4">
          <cell r="I4">
            <v>12629.88</v>
          </cell>
          <cell r="AW4">
            <v>20750</v>
          </cell>
        </row>
      </sheetData>
      <sheetData sheetId="21"/>
      <sheetData sheetId="22"/>
      <sheetData sheetId="23"/>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0">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3">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北京市靛厂路11号房地产抵押价值预评估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受贵公司委托，我公司对北京市靛厂路11号房地产抵押价值进行了预评估。</v>
      </c>
    </row>
    <row r="7" spans="1:2">
      <c r="A7" s="1119" t="s">
        <v>566</v>
      </c>
      <c r="B7" s="1120" t="str">
        <f>'预评函-1'!A7</f>
        <v>估价对象为北京市靛厂路11号房地产，为所有。根据《国有土地使用证》[]，估价对象（分摊）出让国有建设用地使用权面积为0平方米，建筑面积为9035.91平方米。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估价对象为北京市靛厂路11号房地产,属开发建设的，该项目尚在开发建设中。根据《国有土地使用证》[]，估价对象（分摊）出让国有建设用地使用权面积为0平方米，规划建筑面积为9035.91平方米。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拟使用北京市靛厂路11号房地产作为抵押担保物，向办理贷款手续。特委托北京康正宏基房地产评估有限公司对上述抵押物进行评估。本次评估为确定房地产抵押贷款额度提供参考依据而评估房地产抵押价值。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2024年10月8日（评估专业人员实地查勘之日）</v>
      </c>
    </row>
    <row r="13" spans="1:2">
      <c r="A13" s="1119" t="s">
        <v>529</v>
      </c>
      <c r="B13" s="1120" t="str">
        <f>'预评函-1'!A18</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22072</v>
      </c>
    </row>
    <row r="21" spans="1:2">
      <c r="A21" s="1119" t="s">
        <v>537</v>
      </c>
      <c r="B21" s="1120">
        <f ca="1">'预评函-2'!D7</f>
        <v>24427</v>
      </c>
    </row>
    <row r="22" spans="1:2">
      <c r="A22" s="1119" t="s">
        <v>538</v>
      </c>
      <c r="B22" s="1120" t="str">
        <f ca="1">'预评函-2'!D6</f>
        <v>贰亿贰仟零柒拾贰万元整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22072</v>
      </c>
    </row>
    <row r="31" spans="1:2">
      <c r="A31" s="1119" t="s">
        <v>576</v>
      </c>
      <c r="B31" s="1120">
        <f ca="1">'预评函-2'!D15</f>
        <v>24427</v>
      </c>
    </row>
    <row r="32" spans="1:2">
      <c r="A32" s="1119" t="s">
        <v>543</v>
      </c>
      <c r="B32" s="1120" t="str">
        <f ca="1">'预评函-2'!D14</f>
        <v>贰亿贰仟零柒拾贰万元整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北京市靛厂路11号房地产</v>
      </c>
    </row>
    <row r="42" spans="1:2">
      <c r="A42" s="1119" t="s">
        <v>590</v>
      </c>
      <c r="B42" s="1120" t="str">
        <f>'预评函-3'!B2</f>
        <v>建筑面积</v>
      </c>
    </row>
    <row r="43" spans="1:2">
      <c r="A43" s="1119" t="s">
        <v>591</v>
      </c>
      <c r="B43" s="1120">
        <f>'预评函-3'!B4</f>
        <v>9035.91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16929</v>
      </c>
    </row>
    <row r="48" spans="1:2">
      <c r="A48" s="1119" t="s">
        <v>549</v>
      </c>
      <c r="B48" s="1120">
        <f ca="1">'预评函-3'!E4</f>
        <v>18735</v>
      </c>
    </row>
    <row r="49" spans="1:2">
      <c r="A49" s="1119" t="s">
        <v>550</v>
      </c>
      <c r="B49" s="1120" t="str">
        <f ca="1">'预评函-3'!D5</f>
        <v>壹亿陆仟玖佰贰拾玖万元整</v>
      </c>
    </row>
    <row r="50" spans="1:2">
      <c r="A50" s="1119" t="s">
        <v>574</v>
      </c>
      <c r="B50" s="1120" t="str">
        <f>'预评函-3'!F2</f>
        <v>在建建筑物价值</v>
      </c>
    </row>
    <row r="51" spans="1:2">
      <c r="A51" s="1119" t="s">
        <v>551</v>
      </c>
      <c r="B51" s="1120">
        <f ca="1">'预评函-3'!F4</f>
        <v>5143</v>
      </c>
    </row>
    <row r="52" spans="1:2">
      <c r="A52" s="1119" t="s">
        <v>552</v>
      </c>
      <c r="B52" s="1120">
        <f ca="1">'预评函-3'!G4</f>
        <v>5692</v>
      </c>
    </row>
    <row r="53" spans="1:2">
      <c r="A53" s="1119" t="s">
        <v>580</v>
      </c>
      <c r="B53" s="1120" t="str">
        <f ca="1">'预评函-3'!F5</f>
        <v>伍仟壹佰肆拾叁万元整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（1）根据估价对象《房屋所有权证》复印件、《国有土地使用权》复印件，截至价值时点，估价对象抵押权未见登记。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12" sqref="I1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2289</v>
      </c>
      <c r="C17" s="1442"/>
    </row>
    <row r="18" spans="1:3">
      <c r="A18" s="1441" t="s">
        <v>1046</v>
      </c>
      <c r="B18" s="1441" t="s">
        <v>2431</v>
      </c>
      <c r="C18" s="1442"/>
    </row>
    <row r="19" spans="1:3">
      <c r="A19" s="1441" t="s">
        <v>1047</v>
      </c>
      <c r="B19" s="1441" t="s">
        <v>3422</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拟使用北京市靛厂路11号房地产作为抵押担保物，向办理贷款手续。特委托北京康正宏基房地产评估有限公司对上述抵押物进行评估。本次评估为确定房地产抵押贷款额度提供参考依据而评估房地产抵押价值。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04" t="s">
        <v>2578</v>
      </c>
      <c r="J2" s="3204"/>
      <c r="K2" s="3204"/>
      <c r="L2" s="3204"/>
      <c r="M2" s="3204"/>
      <c r="N2" s="3204"/>
      <c r="O2" s="3204"/>
      <c r="P2" s="3204"/>
      <c r="Q2" s="3204"/>
      <c r="R2" s="3204"/>
    </row>
    <row r="3" spans="1:18">
      <c r="A3" s="2760" t="s">
        <v>2499</v>
      </c>
      <c r="B3" s="2761">
        <f>项目基本情况!D3</f>
        <v>45573</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2.19</v>
      </c>
      <c r="D5" s="2765">
        <f>IF(ISERROR(ROUND(POWER(1+E5,A5-C5)*(POWER(1+E5,C5)-1)/(POWER(1+E5,A5)-1),3)),0,ROUND(POWER(1+E5,A5-C5)*(POWER(1+E5,C5)-1)/(POWER(1+E5,A5)-1),4))</f>
        <v>0.104</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12.2</v>
      </c>
      <c r="D6" s="2765">
        <f>IF(ISERROR(ROUND(POWER(1+E6,A6-C6)*(POWER(1+E6,C6)-1)/(POWER(1+E6,A6)-1),3)),0,ROUND(POWER(1+E6,A6-C6)*(POWER(1+E6,C6)-1)/(POWER(1+E6,A6)-1),4))</f>
        <v>0.44259999999999999</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32.21</v>
      </c>
      <c r="D7" s="2765">
        <f>IF(ISERROR(ROUND(POWER(1+E7,A7-C7)*(POWER(1+E7,C7)-1)/(POWER(1+E7,A7)-1),3)),0,ROUND(POWER(1+E7,A7-C7)*(POWER(1+E7,C7)-1)/(POWER(1+E7,A7)-1),4))</f>
        <v>0.76649999999999996</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3">
      <c r="A17" s="2760" t="s">
        <v>2515</v>
      </c>
      <c r="B17" s="2768">
        <v>4810</v>
      </c>
      <c r="C17" s="2762"/>
      <c r="D17" s="2758"/>
      <c r="E17" s="2758"/>
      <c r="F17" s="2759"/>
    </row>
    <row r="18" spans="1:13" ht="14.25" thickBot="1">
      <c r="A18" s="2770" t="s">
        <v>2514</v>
      </c>
      <c r="B18" s="2771">
        <f>ROUND(B17*F11/F12,2)</f>
        <v>5541.87</v>
      </c>
      <c r="C18" s="2771">
        <f>ROUND(F11/F12,4)</f>
        <v>1.1521999999999999</v>
      </c>
      <c r="D18" s="2772"/>
      <c r="E18" s="2772"/>
      <c r="F18" s="2773"/>
    </row>
    <row r="19" spans="1:13" ht="14.25" thickBot="1"/>
    <row r="20" spans="1:13" s="2806" customFormat="1" ht="14.25" thickTop="1">
      <c r="A20" s="2803" t="s">
        <v>2517</v>
      </c>
      <c r="B20" s="2804"/>
      <c r="C20" s="2804"/>
      <c r="D20" s="2804"/>
      <c r="E20" s="2804"/>
      <c r="F20" s="2804"/>
      <c r="G20" s="2805"/>
      <c r="I20" s="2807" t="s">
        <v>2562</v>
      </c>
      <c r="J20" s="2807" t="s">
        <v>2567</v>
      </c>
      <c r="K20" s="2807"/>
      <c r="L20" s="2807"/>
      <c r="M20" s="2807"/>
    </row>
    <row r="21" spans="1:13">
      <c r="A21" s="2774"/>
      <c r="B21" s="2775" t="s">
        <v>2518</v>
      </c>
      <c r="C21" s="2775" t="s">
        <v>2519</v>
      </c>
      <c r="D21" s="2775" t="s">
        <v>2520</v>
      </c>
      <c r="E21" s="2775" t="s">
        <v>2521</v>
      </c>
      <c r="F21" s="2775" t="s">
        <v>2522</v>
      </c>
      <c r="G21" s="2776" t="s">
        <v>2523</v>
      </c>
      <c r="I21" s="2797">
        <v>5</v>
      </c>
      <c r="J21" s="2797">
        <v>54.2</v>
      </c>
    </row>
    <row r="22" spans="1:13">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M23" s="2797" t="s">
        <v>2566</v>
      </c>
    </row>
    <row r="24" spans="1:13">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M24" s="2797">
        <v>10</v>
      </c>
    </row>
    <row r="25" spans="1:13">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M25" s="2797">
        <v>8</v>
      </c>
    </row>
    <row r="26" spans="1:13">
      <c r="A26" s="2779"/>
      <c r="B26" s="2780"/>
      <c r="C26" s="2780"/>
      <c r="D26" s="2780"/>
      <c r="E26" s="2780"/>
      <c r="F26" s="2780"/>
      <c r="G26" s="2781"/>
      <c r="I26" s="2797">
        <v>30</v>
      </c>
      <c r="J26" s="2797">
        <v>90.5</v>
      </c>
      <c r="K26" s="2797">
        <f t="shared" si="2"/>
        <v>4.2000000000000028</v>
      </c>
      <c r="L26" s="2797" t="s">
        <v>2569</v>
      </c>
      <c r="M26" s="2797">
        <v>5</v>
      </c>
    </row>
    <row r="27" spans="1:13">
      <c r="A27" s="2779" t="s">
        <v>2528</v>
      </c>
      <c r="B27" s="2780"/>
      <c r="C27" s="2780"/>
      <c r="D27" s="2780"/>
      <c r="E27" s="2780"/>
      <c r="F27" s="2780"/>
      <c r="G27" s="2781"/>
      <c r="I27" s="2797">
        <v>35</v>
      </c>
      <c r="J27" s="2797">
        <v>93.8</v>
      </c>
      <c r="K27" s="2797">
        <f t="shared" si="2"/>
        <v>3.2999999999999972</v>
      </c>
      <c r="L27" s="2797" t="s">
        <v>2570</v>
      </c>
      <c r="M27" s="2797">
        <v>3</v>
      </c>
    </row>
    <row r="28" spans="1:13">
      <c r="A28" s="2779" t="s">
        <v>2529</v>
      </c>
      <c r="B28" s="2780"/>
      <c r="C28" s="2780"/>
      <c r="D28" s="2780"/>
      <c r="E28" s="2780"/>
      <c r="F28" s="2780"/>
      <c r="G28" s="2781"/>
      <c r="I28" s="2797">
        <v>40</v>
      </c>
      <c r="J28" s="2797">
        <v>96.4</v>
      </c>
      <c r="K28" s="2797">
        <f t="shared" si="2"/>
        <v>2.6000000000000085</v>
      </c>
      <c r="L28" s="2797" t="s">
        <v>2571</v>
      </c>
      <c r="M28" s="2797">
        <v>2</v>
      </c>
    </row>
    <row r="29" spans="1:13">
      <c r="A29" s="2779" t="s">
        <v>2530</v>
      </c>
      <c r="B29" s="2780"/>
      <c r="C29" s="2780"/>
      <c r="D29" s="2780"/>
      <c r="E29" s="2780"/>
      <c r="F29" s="2780"/>
      <c r="G29" s="2781"/>
      <c r="I29" s="2797">
        <v>45</v>
      </c>
      <c r="J29" s="2797">
        <v>98.4</v>
      </c>
      <c r="K29" s="2797">
        <f t="shared" si="2"/>
        <v>2</v>
      </c>
    </row>
    <row r="30" spans="1:13">
      <c r="A30" s="2779" t="s">
        <v>2531</v>
      </c>
      <c r="B30" s="2780"/>
      <c r="C30" s="2780"/>
      <c r="D30" s="2780"/>
      <c r="E30" s="2780"/>
      <c r="F30" s="2780"/>
      <c r="G30" s="2781"/>
      <c r="I30" s="2797">
        <v>50</v>
      </c>
      <c r="J30" s="2797">
        <v>100</v>
      </c>
      <c r="K30" s="2797">
        <f t="shared" si="2"/>
        <v>1.5999999999999943</v>
      </c>
    </row>
    <row r="31" spans="1:13">
      <c r="A31" s="2779" t="s">
        <v>2532</v>
      </c>
      <c r="B31" s="2780"/>
      <c r="C31" s="2780"/>
      <c r="D31" s="2780"/>
      <c r="E31" s="2780"/>
      <c r="F31" s="2780"/>
      <c r="G31" s="2781"/>
      <c r="I31" s="2797" t="s">
        <v>2563</v>
      </c>
    </row>
    <row r="32" spans="1:13">
      <c r="A32" s="2779" t="s">
        <v>2533</v>
      </c>
      <c r="B32" s="2780"/>
      <c r="C32" s="2780"/>
      <c r="D32" s="2780"/>
      <c r="E32" s="2780"/>
      <c r="F32" s="2780"/>
      <c r="G32" s="2781"/>
    </row>
    <row r="33" spans="1:13">
      <c r="A33" s="2779" t="s">
        <v>2534</v>
      </c>
      <c r="B33" s="2780"/>
      <c r="C33" s="2780"/>
      <c r="D33" s="2780"/>
      <c r="E33" s="2780"/>
      <c r="F33" s="2780"/>
      <c r="G33" s="2781"/>
      <c r="I33" s="2797" t="s">
        <v>2562</v>
      </c>
      <c r="J33" s="2797" t="s">
        <v>2572</v>
      </c>
    </row>
    <row r="34" spans="1:13">
      <c r="A34" s="2779" t="s">
        <v>2535</v>
      </c>
      <c r="B34" s="2780"/>
      <c r="C34" s="2780"/>
      <c r="D34" s="2780"/>
      <c r="E34" s="2780"/>
      <c r="F34" s="2780"/>
      <c r="G34" s="2781"/>
      <c r="I34" s="2797">
        <v>5</v>
      </c>
      <c r="J34" s="2797">
        <v>55.1</v>
      </c>
    </row>
    <row r="35" spans="1:13">
      <c r="A35" s="2779" t="s">
        <v>2536</v>
      </c>
      <c r="B35" s="2780"/>
      <c r="C35" s="2780"/>
      <c r="D35" s="2780"/>
      <c r="E35" s="2780"/>
      <c r="F35" s="2780"/>
      <c r="G35" s="2781"/>
      <c r="I35" s="2797">
        <v>10</v>
      </c>
      <c r="J35" s="2797">
        <v>67</v>
      </c>
      <c r="K35" s="2797">
        <f>J35-J34</f>
        <v>11.899999999999999</v>
      </c>
    </row>
    <row r="36" spans="1:13">
      <c r="A36" s="2779" t="s">
        <v>2537</v>
      </c>
      <c r="B36" s="2780"/>
      <c r="C36" s="2780"/>
      <c r="D36" s="2780"/>
      <c r="E36" s="2780"/>
      <c r="F36" s="2780"/>
      <c r="G36" s="2781"/>
      <c r="I36" s="2797">
        <v>15</v>
      </c>
      <c r="J36" s="2797">
        <v>76.3</v>
      </c>
      <c r="K36" s="2797">
        <f t="shared" ref="K36:K41" si="3">J36-J35</f>
        <v>9.2999999999999972</v>
      </c>
      <c r="L36" s="2797" t="s">
        <v>2565</v>
      </c>
      <c r="M36" s="2797" t="s">
        <v>2566</v>
      </c>
    </row>
    <row r="37" spans="1:13">
      <c r="A37" s="2779" t="s">
        <v>2538</v>
      </c>
      <c r="B37" s="2780"/>
      <c r="C37" s="2780"/>
      <c r="D37" s="2780"/>
      <c r="E37" s="2780"/>
      <c r="F37" s="2780"/>
      <c r="G37" s="2781"/>
      <c r="I37" s="2797">
        <v>20</v>
      </c>
      <c r="J37" s="2797">
        <v>83.6</v>
      </c>
      <c r="K37" s="2797">
        <f t="shared" si="3"/>
        <v>7.2999999999999972</v>
      </c>
      <c r="L37" s="2797" t="s">
        <v>2564</v>
      </c>
      <c r="M37" s="2797">
        <v>10</v>
      </c>
    </row>
    <row r="38" spans="1:13">
      <c r="A38" s="2779" t="s">
        <v>2539</v>
      </c>
      <c r="B38" s="2780"/>
      <c r="C38" s="2780"/>
      <c r="D38" s="2780"/>
      <c r="E38" s="2780"/>
      <c r="F38" s="2780"/>
      <c r="G38" s="2781"/>
      <c r="I38" s="2797">
        <v>25</v>
      </c>
      <c r="J38" s="2797">
        <v>89.3</v>
      </c>
      <c r="K38" s="2797">
        <f t="shared" si="3"/>
        <v>5.7000000000000028</v>
      </c>
      <c r="L38" s="2797" t="s">
        <v>2568</v>
      </c>
      <c r="M38" s="2797">
        <v>8</v>
      </c>
    </row>
    <row r="39" spans="1:13">
      <c r="A39" s="2779"/>
      <c r="B39" s="2780"/>
      <c r="C39" s="2780"/>
      <c r="D39" s="2780"/>
      <c r="E39" s="2780"/>
      <c r="F39" s="2780"/>
      <c r="G39" s="2781"/>
      <c r="I39" s="2797">
        <v>30</v>
      </c>
      <c r="J39" s="2797">
        <v>93.8</v>
      </c>
      <c r="K39" s="2797">
        <f t="shared" si="3"/>
        <v>4.5</v>
      </c>
      <c r="L39" s="2797" t="s">
        <v>2569</v>
      </c>
      <c r="M39" s="2797">
        <v>6</v>
      </c>
    </row>
    <row r="40" spans="1:13">
      <c r="A40" s="2782" t="s">
        <v>2540</v>
      </c>
      <c r="B40" s="2783"/>
      <c r="C40" s="2783"/>
      <c r="D40" s="2783"/>
      <c r="E40" s="2783"/>
      <c r="F40" s="2783"/>
      <c r="G40" s="2784"/>
      <c r="I40" s="2797">
        <v>35</v>
      </c>
      <c r="J40" s="2797">
        <v>97.2</v>
      </c>
      <c r="K40" s="2797">
        <f t="shared" si="3"/>
        <v>3.4000000000000057</v>
      </c>
      <c r="L40" s="2797" t="s">
        <v>2570</v>
      </c>
      <c r="M40" s="2797">
        <v>3</v>
      </c>
    </row>
    <row r="41" spans="1:13">
      <c r="A41" s="2785" t="s">
        <v>2541</v>
      </c>
      <c r="B41" s="2786" t="s">
        <v>2542</v>
      </c>
      <c r="C41" s="2787" t="s">
        <v>2543</v>
      </c>
      <c r="D41" s="2787" t="s">
        <v>2544</v>
      </c>
      <c r="E41" s="2788"/>
      <c r="F41" s="2789"/>
      <c r="G41" s="2790"/>
      <c r="I41" s="2797">
        <v>40</v>
      </c>
      <c r="J41" s="2797">
        <v>100</v>
      </c>
      <c r="K41" s="2797">
        <f t="shared" si="3"/>
        <v>2.7999999999999972</v>
      </c>
    </row>
    <row r="42" spans="1:13">
      <c r="A42" s="2785" t="s">
        <v>2545</v>
      </c>
      <c r="B42" s="2786" t="s">
        <v>2546</v>
      </c>
      <c r="C42" s="2787" t="s">
        <v>2547</v>
      </c>
      <c r="D42" s="2791" t="s">
        <v>2548</v>
      </c>
      <c r="E42" s="2783" t="s">
        <v>2549</v>
      </c>
      <c r="F42" s="2783"/>
      <c r="G42" s="2784"/>
    </row>
    <row r="43" spans="1:13">
      <c r="A43" s="2785" t="s">
        <v>2550</v>
      </c>
      <c r="B43" s="2786" t="s">
        <v>2551</v>
      </c>
      <c r="C43" s="2787" t="s">
        <v>2552</v>
      </c>
      <c r="D43" s="2787" t="s">
        <v>2553</v>
      </c>
      <c r="E43" s="2788" t="s">
        <v>2554</v>
      </c>
      <c r="F43" s="2789"/>
      <c r="G43" s="2790"/>
      <c r="I43" s="2797" t="s">
        <v>2562</v>
      </c>
      <c r="J43" s="2797" t="s">
        <v>2573</v>
      </c>
    </row>
    <row r="44" spans="1:13">
      <c r="A44" s="2785" t="s">
        <v>2555</v>
      </c>
      <c r="B44" s="2786" t="s">
        <v>2556</v>
      </c>
      <c r="C44" s="2787" t="s">
        <v>2557</v>
      </c>
      <c r="D44" s="2791">
        <v>0.5</v>
      </c>
      <c r="E44" s="2788" t="s">
        <v>2558</v>
      </c>
      <c r="F44" s="2789"/>
      <c r="G44" s="2790"/>
      <c r="I44" s="2797">
        <v>30</v>
      </c>
      <c r="J44" s="2797">
        <v>81.7</v>
      </c>
    </row>
    <row r="45" spans="1:13" ht="14.25" thickBot="1">
      <c r="A45" s="2792" t="s">
        <v>2559</v>
      </c>
      <c r="B45" s="2793" t="s">
        <v>2546</v>
      </c>
      <c r="C45" s="2794" t="s">
        <v>2546</v>
      </c>
      <c r="D45" s="2794" t="s">
        <v>2560</v>
      </c>
      <c r="E45" s="2795" t="s">
        <v>2561</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J18" sqref="J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2" t="str">
        <f>IF(B10="北京市","北京市",C10)&amp;F10&amp;IF(结果表!G1="在建","出让国有建设用地使用权及在建建筑物",IF(结果表!G1="土地","出让国有建设用地使用权",))&amp;B9&amp;"预评估"</f>
        <v>北京市靛厂路11号房地产抵押价值预评估</v>
      </c>
      <c r="C1" s="3213"/>
      <c r="D1" s="3213"/>
      <c r="E1" s="3213"/>
      <c r="F1" s="3213"/>
      <c r="G1" s="3213"/>
      <c r="H1" s="3213"/>
      <c r="I1" s="321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北京市靛厂路11号房地产抵押价值</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北京市靛厂路11号房地产</v>
      </c>
      <c r="T2" s="1618"/>
      <c r="U2" s="1618"/>
      <c r="V2" s="1618"/>
      <c r="W2" s="1618"/>
      <c r="X2" s="1618"/>
      <c r="Y2" s="1618"/>
      <c r="Z2" s="1618"/>
      <c r="AA2" s="1618"/>
      <c r="AB2" s="1618"/>
    </row>
    <row r="3" spans="1:30">
      <c r="A3" s="294" t="s">
        <v>2170</v>
      </c>
      <c r="B3" s="2185">
        <v>45573</v>
      </c>
      <c r="C3" s="2186" t="s">
        <v>2171</v>
      </c>
      <c r="D3" s="2185">
        <f>B3</f>
        <v>45573</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t="s">
        <v>3385</v>
      </c>
      <c r="C8" s="2201"/>
      <c r="D8" s="3215" t="s">
        <v>2177</v>
      </c>
      <c r="E8" s="2202" t="s">
        <v>3386</v>
      </c>
      <c r="F8" s="2203"/>
      <c r="G8" s="2440"/>
      <c r="H8" s="2440"/>
      <c r="I8" s="2440"/>
      <c r="J8" s="2245"/>
      <c r="K8" s="2398"/>
      <c r="L8" s="2397"/>
      <c r="M8" s="2397"/>
      <c r="N8" s="2245"/>
      <c r="O8" s="1670"/>
      <c r="P8" s="2245"/>
      <c r="Q8" s="2245"/>
      <c r="R8" s="2245"/>
    </row>
    <row r="9" spans="1:30" ht="13.5" thickBot="1">
      <c r="A9" s="2204" t="s">
        <v>2178</v>
      </c>
      <c r="B9" s="2205" t="s">
        <v>3386</v>
      </c>
      <c r="C9" s="2206"/>
      <c r="D9" s="3216"/>
      <c r="E9" s="2205" t="s">
        <v>43</v>
      </c>
      <c r="F9" s="2207"/>
      <c r="G9" s="2441"/>
      <c r="H9" s="2441"/>
      <c r="I9" s="2441"/>
      <c r="J9" s="2245"/>
      <c r="K9" s="2400"/>
      <c r="L9" s="2397"/>
      <c r="M9" s="2397"/>
      <c r="N9" s="2245"/>
      <c r="O9" s="1670"/>
      <c r="P9" s="2245"/>
      <c r="Q9" s="2245"/>
      <c r="R9" s="2245"/>
    </row>
    <row r="10" spans="1:30" ht="13.5" thickTop="1">
      <c r="A10" s="2208" t="s">
        <v>2179</v>
      </c>
      <c r="B10" s="2209" t="s">
        <v>3387</v>
      </c>
      <c r="C10" s="2210"/>
      <c r="D10" s="2193"/>
      <c r="E10" s="2211" t="s">
        <v>2180</v>
      </c>
      <c r="F10" s="3142" t="s">
        <v>3389</v>
      </c>
      <c r="G10" s="2442"/>
      <c r="H10" s="2443"/>
      <c r="I10" s="2444"/>
      <c r="J10" s="2245"/>
      <c r="K10" s="2400"/>
      <c r="L10" s="2397"/>
      <c r="M10" s="2397"/>
      <c r="N10" s="2245"/>
      <c r="O10" s="1670"/>
      <c r="P10" s="2245"/>
      <c r="Q10" s="2245"/>
      <c r="R10" s="2245"/>
    </row>
    <row r="11" spans="1:30">
      <c r="A11" s="2212" t="s">
        <v>2181</v>
      </c>
      <c r="B11" s="2213" t="s">
        <v>3388</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2574</v>
      </c>
      <c r="J12" s="2800"/>
      <c r="K12" s="2397"/>
      <c r="L12" s="2397"/>
      <c r="M12" s="2245"/>
      <c r="N12" s="1670"/>
      <c r="O12" s="2245"/>
      <c r="P12" s="2245"/>
      <c r="Q12" s="2245"/>
      <c r="AD12" s="1618"/>
    </row>
    <row r="13" spans="1:30">
      <c r="A13" s="3119" t="s">
        <v>3330</v>
      </c>
      <c r="B13" s="2218" t="s">
        <v>2190</v>
      </c>
      <c r="C13" s="803"/>
      <c r="D13" s="803">
        <v>53568</v>
      </c>
      <c r="E13" s="803">
        <v>57221</v>
      </c>
      <c r="F13" s="803"/>
      <c r="G13" s="803"/>
      <c r="H13" s="803"/>
      <c r="I13" s="803">
        <v>48776</v>
      </c>
      <c r="J13" s="2800"/>
      <c r="K13" s="2397"/>
      <c r="L13" s="2397"/>
      <c r="M13" s="2245"/>
      <c r="N13" s="1670"/>
      <c r="O13" s="2245"/>
      <c r="P13" s="2245"/>
      <c r="Q13" s="2245"/>
      <c r="AD13" s="1618"/>
    </row>
    <row r="14" spans="1:30">
      <c r="A14" s="1018"/>
      <c r="B14" s="2218" t="s">
        <v>2191</v>
      </c>
      <c r="C14" s="2219"/>
      <c r="D14" s="2219">
        <v>40</v>
      </c>
      <c r="E14" s="2219">
        <v>50</v>
      </c>
      <c r="F14" s="2219"/>
      <c r="G14" s="2219"/>
      <c r="H14" s="2219"/>
      <c r="I14" s="2219">
        <v>40</v>
      </c>
      <c r="J14" s="2801"/>
      <c r="K14" s="2397"/>
      <c r="L14" s="2397"/>
      <c r="M14" s="2245"/>
      <c r="N14" s="1670"/>
      <c r="O14" s="2245"/>
      <c r="P14" s="2245"/>
      <c r="Q14" s="2245"/>
      <c r="AD14" s="1618"/>
    </row>
    <row r="15" spans="1:30">
      <c r="A15" s="312"/>
      <c r="B15" s="2220" t="s">
        <v>2192</v>
      </c>
      <c r="C15" s="2221" t="str">
        <f>IF(A13="出让",IF(C13="","",ROUNDDOWN(MIN((C13-$D$3)/365,C14),2)),C14)</f>
        <v/>
      </c>
      <c r="D15" s="2221">
        <f>IF(A13="出让",IF(D13="","",ROUNDDOWN(MIN((D13-$D$3)/365,D14),2)),D14)</f>
        <v>21.9</v>
      </c>
      <c r="E15" s="2221">
        <f>IF(A13="出让",IF(E13="","",ROUNDDOWN(MIN((E13-$D$3)/365,E14),2)),E14)</f>
        <v>31.91</v>
      </c>
      <c r="F15" s="2221" t="str">
        <f>IF(A13="出让",IF(F13="","",ROUNDDOWN(MIN((F13-$D$3)/365,F14),2)),F14)</f>
        <v/>
      </c>
      <c r="G15" s="2221" t="str">
        <f>IF(A13="出让",IF(G13="","",ROUNDDOWN(MIN((G13-$D$3)/365,G14),2)),G14)</f>
        <v/>
      </c>
      <c r="H15" s="2221" t="str">
        <f>IF(A13="出让",IF(H13="","",ROUNDDOWN(MIN((H13-$D$3)/365,H14),2)),H14)</f>
        <v/>
      </c>
      <c r="I15" s="2221">
        <f>IF(A13="出让",IF(I13="","",ROUNDDOWN(MIN((I13-$D$3)/365,I14),2)),I14)</f>
        <v>8.77</v>
      </c>
      <c r="J15" s="2802"/>
      <c r="K15" s="1670"/>
      <c r="L15" s="1670"/>
      <c r="M15" s="2245"/>
      <c r="N15" s="1670"/>
      <c r="O15" s="2245"/>
      <c r="P15" s="2245"/>
      <c r="Q15" s="2245"/>
      <c r="AD15" s="1618"/>
    </row>
    <row r="16" spans="1:30">
      <c r="A16" s="2211" t="s">
        <v>2193</v>
      </c>
      <c r="B16" s="3222"/>
      <c r="C16" s="3223"/>
      <c r="D16" s="3224"/>
      <c r="E16" s="2222" t="s">
        <v>2194</v>
      </c>
      <c r="F16" s="3225"/>
      <c r="G16" s="3226"/>
      <c r="H16" s="3226"/>
      <c r="I16" s="3227"/>
      <c r="J16" s="2245"/>
      <c r="K16" s="2401"/>
      <c r="L16" s="1670"/>
      <c r="M16" s="1670"/>
      <c r="N16" s="2245"/>
      <c r="O16" s="1670"/>
      <c r="P16" s="2245"/>
      <c r="Q16" s="2245"/>
      <c r="R16" s="2245"/>
    </row>
    <row r="17" spans="1:28">
      <c r="A17" s="305" t="s">
        <v>2195</v>
      </c>
      <c r="B17" s="294" t="s">
        <v>2196</v>
      </c>
      <c r="C17" s="8">
        <f>'数据-汇总表'!E3</f>
        <v>9035.91</v>
      </c>
      <c r="D17" s="1256" t="s">
        <v>2197</v>
      </c>
      <c r="E17" s="3228" t="s">
        <v>2198</v>
      </c>
      <c r="F17" s="3229"/>
      <c r="G17" s="3229"/>
      <c r="H17" s="3229"/>
      <c r="I17" s="3230"/>
      <c r="J17" s="2245"/>
      <c r="K17" s="2402"/>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1" t="s">
        <v>2202</v>
      </c>
      <c r="F18" s="3232"/>
      <c r="G18" s="3232"/>
      <c r="H18" s="3232"/>
      <c r="I18" s="3233"/>
      <c r="J18" s="2245"/>
      <c r="K18" s="2402"/>
      <c r="L18" s="1670"/>
      <c r="M18" s="1670"/>
      <c r="N18" s="2245"/>
      <c r="O18" s="1670"/>
      <c r="P18" s="2245"/>
      <c r="Q18" s="2245"/>
      <c r="R18" s="2245"/>
      <c r="S18" s="2245"/>
      <c r="T18" s="2245"/>
      <c r="U18" s="2245"/>
      <c r="V18" s="2245"/>
    </row>
    <row r="19" spans="1:28" ht="37.5" thickTop="1" thickBot="1">
      <c r="A19" s="319" t="s">
        <v>1055</v>
      </c>
      <c r="B19" s="299" t="s">
        <v>2203</v>
      </c>
      <c r="C19" s="1455" t="s">
        <v>3390</v>
      </c>
      <c r="D19" s="1456" t="s">
        <v>2204</v>
      </c>
      <c r="E19" s="1457" t="s">
        <v>3390</v>
      </c>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18" t="s">
        <v>2206</v>
      </c>
      <c r="C20" s="3219"/>
      <c r="D20" s="3220" t="s">
        <v>2207</v>
      </c>
      <c r="E20" s="3221"/>
      <c r="F20" s="2428" t="s">
        <v>1056</v>
      </c>
      <c r="G20" s="2440"/>
      <c r="H20" s="2440"/>
      <c r="I20" s="2440"/>
      <c r="J20" s="2245"/>
      <c r="K20" s="3217" t="s">
        <v>2208</v>
      </c>
      <c r="L20" s="6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3391</v>
      </c>
      <c r="D21" s="1460" t="s">
        <v>2210</v>
      </c>
      <c r="E21" s="2417" t="s">
        <v>1057</v>
      </c>
      <c r="F21" s="2429"/>
      <c r="G21" s="2440"/>
      <c r="H21" s="2440"/>
      <c r="I21" s="2440"/>
      <c r="J21" s="2245"/>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5"/>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06"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06"/>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06"/>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07"/>
      <c r="B30" s="294" t="s">
        <v>2218</v>
      </c>
      <c r="C30" s="3208"/>
      <c r="D30" s="3209"/>
      <c r="E30" s="2440"/>
      <c r="F30" s="2440"/>
      <c r="G30" s="2440"/>
      <c r="H30" s="2440"/>
      <c r="I30" s="2440"/>
      <c r="J30" s="2245"/>
      <c r="K30" s="2400"/>
      <c r="L30" s="2397"/>
      <c r="M30" s="2397"/>
      <c r="N30" s="2245"/>
      <c r="O30" s="1670"/>
      <c r="P30" s="2245"/>
      <c r="Q30" s="2245"/>
      <c r="R30" s="2245"/>
      <c r="S30" s="2245"/>
      <c r="T30" s="2245"/>
      <c r="U30" s="2245"/>
      <c r="V30" s="2245"/>
    </row>
    <row r="31" spans="1:28">
      <c r="A31" s="3210"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11"/>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11"/>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t="s">
        <v>3392</v>
      </c>
      <c r="C34" s="1870" t="s">
        <v>3393</v>
      </c>
      <c r="D34" s="1870" t="s">
        <v>3394</v>
      </c>
      <c r="E34" s="1870" t="s">
        <v>3395</v>
      </c>
      <c r="F34" s="1870" t="s">
        <v>3396</v>
      </c>
      <c r="G34" s="1870" t="s">
        <v>3397</v>
      </c>
      <c r="H34" s="1870" t="s">
        <v>3398</v>
      </c>
      <c r="I34" s="2440"/>
      <c r="J34" s="2245"/>
      <c r="K34" s="8">
        <f>COUNTIF(B34:H34,"——")</f>
        <v>0</v>
      </c>
      <c r="L34" s="315" t="s">
        <v>2221</v>
      </c>
      <c r="M34" s="315" t="s">
        <v>2222</v>
      </c>
      <c r="N34" s="315" t="s">
        <v>2223</v>
      </c>
      <c r="O34" s="315" t="s">
        <v>2224</v>
      </c>
      <c r="P34" s="315" t="s">
        <v>2225</v>
      </c>
      <c r="Q34" s="315" t="s">
        <v>2226</v>
      </c>
      <c r="R34" s="315" t="s">
        <v>2227</v>
      </c>
      <c r="S34" s="3205" t="s">
        <v>2228</v>
      </c>
      <c r="T34" s="315" t="str">
        <f>NUMBERSTRING(7-K34,1)&amp;"通"</f>
        <v>七通</v>
      </c>
      <c r="U34" s="2245"/>
      <c r="V34" s="2245"/>
    </row>
    <row r="35" spans="1:30">
      <c r="A35" s="2236"/>
      <c r="B35" s="3205" t="s">
        <v>2229</v>
      </c>
      <c r="C35" s="3205"/>
      <c r="D35" s="3205"/>
      <c r="E35" s="3205"/>
      <c r="F35" s="8">
        <f>C10</f>
        <v>0</v>
      </c>
      <c r="G35" s="2440"/>
      <c r="H35" s="2440"/>
      <c r="I35" s="2440"/>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05"/>
      <c r="T35" s="138" t="str">
        <f>IF(T34="一通",L35,IF(T34="二通",M35,IF(T34="三通",N35,IF(T34="四通",O35,IF(T34="五通",P35,IF(T34="六通",Q35,R35))))))</f>
        <v>通路、通电、通讯、通上水、通下水、燃气、平整</v>
      </c>
      <c r="U35" s="2245"/>
      <c r="V35" s="2245"/>
    </row>
    <row r="36" spans="1:30">
      <c r="A36" s="2183"/>
      <c r="B36" s="8" t="s">
        <v>2185</v>
      </c>
      <c r="C36" s="8" t="s">
        <v>2186</v>
      </c>
      <c r="D36" s="8" t="s">
        <v>2184</v>
      </c>
      <c r="E36" s="8" t="s">
        <v>2189</v>
      </c>
      <c r="F36" s="2798" t="s">
        <v>2577</v>
      </c>
      <c r="G36" s="2440"/>
      <c r="H36" s="2440"/>
      <c r="I36" s="2440"/>
      <c r="J36" s="2245"/>
      <c r="K36" s="2400"/>
      <c r="L36" s="2397"/>
      <c r="M36" s="2397"/>
      <c r="N36" s="2245"/>
      <c r="O36" s="1670"/>
      <c r="P36" s="2245"/>
      <c r="Q36" s="2245"/>
      <c r="R36" s="2245"/>
      <c r="S36" s="2245"/>
      <c r="T36" s="2245"/>
      <c r="U36" s="2245"/>
      <c r="V36" s="2245"/>
    </row>
    <row r="37" spans="1:30">
      <c r="A37" s="2413" t="s">
        <v>2230</v>
      </c>
      <c r="B37" s="2237" t="s">
        <v>110</v>
      </c>
      <c r="C37" s="2237" t="s">
        <v>110</v>
      </c>
      <c r="D37" s="2237"/>
      <c r="E37" s="2237"/>
      <c r="F37" s="2237"/>
      <c r="G37" s="2440"/>
      <c r="H37" s="2440"/>
      <c r="I37" s="2440"/>
      <c r="J37" s="2245"/>
      <c r="K37" s="2400"/>
      <c r="L37" s="2397"/>
      <c r="M37" s="2397"/>
      <c r="N37" s="2245"/>
      <c r="O37" s="1670"/>
      <c r="P37" s="2245"/>
      <c r="Q37" s="2245"/>
      <c r="R37" s="2245"/>
      <c r="S37" s="2245"/>
      <c r="T37" s="2245"/>
      <c r="U37" s="2245"/>
      <c r="V37" s="2245"/>
    </row>
    <row r="38" spans="1:30" ht="13.5" thickBot="1">
      <c r="A38" s="2414" t="s">
        <v>2231</v>
      </c>
      <c r="B38" s="2238" t="s">
        <v>177</v>
      </c>
      <c r="C38" s="2238" t="s">
        <v>177</v>
      </c>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9035.91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9035.91</v>
      </c>
      <c r="H5" s="13">
        <f t="shared" ref="H5:AT5" si="0">SUM(H13:H656)</f>
        <v>9035.91</v>
      </c>
      <c r="I5" s="13">
        <f t="shared" si="0"/>
        <v>1505.9849999999999</v>
      </c>
      <c r="J5" s="13">
        <f t="shared" si="0"/>
        <v>0</v>
      </c>
      <c r="K5" s="13">
        <f t="shared" si="0"/>
        <v>6023.94</v>
      </c>
      <c r="L5" s="13">
        <f t="shared" si="0"/>
        <v>0</v>
      </c>
      <c r="M5" s="13">
        <f t="shared" si="0"/>
        <v>1505.9850000000006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9035.91</v>
      </c>
      <c r="BA5" s="15">
        <f t="shared" si="1"/>
        <v>9035.91</v>
      </c>
      <c r="BB5" s="15">
        <f t="shared" si="1"/>
        <v>1505.9849999999999</v>
      </c>
      <c r="BC5" s="15">
        <f t="shared" si="1"/>
        <v>6023.94</v>
      </c>
      <c r="BD5" s="15">
        <f t="shared" si="1"/>
        <v>1505.9850000000006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3399</v>
      </c>
      <c r="J9" s="761"/>
      <c r="K9" s="1491" t="s">
        <v>3399</v>
      </c>
      <c r="L9" s="761"/>
      <c r="M9" s="1491" t="s">
        <v>3400</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1" t="s">
        <v>21</v>
      </c>
      <c r="L10" s="761"/>
      <c r="M10" s="1491" t="s">
        <v>21</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t="str">
        <f>M10</f>
        <v>办公</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9035.91</v>
      </c>
      <c r="C13" s="628"/>
      <c r="D13" s="1513" t="s">
        <v>3401</v>
      </c>
      <c r="E13" s="13">
        <f>IF($C$3="是",ROUND($A$3*G13/$B$3,2),ROUND($A$3*(G13-AT13)/$B$3,2))</f>
        <v>0</v>
      </c>
      <c r="F13" s="29"/>
      <c r="G13" s="30">
        <f>H13+AC13+AT13</f>
        <v>9035.91</v>
      </c>
      <c r="H13" s="17">
        <f>SUMIF(I$12:AB$12,"总值",I13:AB13)</f>
        <v>9035.91</v>
      </c>
      <c r="I13" s="1514">
        <f>9035.91/6</f>
        <v>1505.9849999999999</v>
      </c>
      <c r="J13" s="1514"/>
      <c r="K13" s="1514">
        <f>I13*4</f>
        <v>6023.94</v>
      </c>
      <c r="L13" s="1514"/>
      <c r="M13" s="1514">
        <f>B13-I13-K13</f>
        <v>1505.9850000000006</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9035.91</v>
      </c>
      <c r="AX13" s="8">
        <f t="shared" si="6"/>
        <v>0</v>
      </c>
      <c r="AY13" s="1260">
        <f>ROUND($AY$6*AZ13/$AZ$5,2)</f>
        <v>0</v>
      </c>
      <c r="AZ13" s="13">
        <f>BA13+BL13</f>
        <v>9035.91</v>
      </c>
      <c r="BA13" s="13">
        <f>SUM(BB13:BK13)</f>
        <v>9035.91</v>
      </c>
      <c r="BB13" s="13">
        <f>IF($D13="是",I13-J13,0)</f>
        <v>1505.9849999999999</v>
      </c>
      <c r="BC13" s="13">
        <f>IF($D13="是",K13-L13,0)</f>
        <v>6023.94</v>
      </c>
      <c r="BD13" s="13">
        <f>IF($D13="是",M13-N13,0)</f>
        <v>1505.9850000000006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B34" sqref="B3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7"/>
      <c r="G2" s="2430"/>
      <c r="H2" s="2431"/>
      <c r="I2" s="2146" t="s">
        <v>1132</v>
      </c>
      <c r="J2" s="2437"/>
      <c r="K2" s="2437"/>
      <c r="L2" s="2437"/>
      <c r="M2" s="2437"/>
      <c r="N2" s="2438"/>
      <c r="O2" s="2437"/>
      <c r="P2" s="2437"/>
    </row>
    <row r="3" spans="1:16" ht="15.75" thickBot="1">
      <c r="A3" s="3244" t="s">
        <v>1105</v>
      </c>
      <c r="B3" s="3244"/>
      <c r="C3" s="3244"/>
      <c r="D3" s="41">
        <f>'数据-基础表'!AY6</f>
        <v>0</v>
      </c>
      <c r="E3" s="41">
        <f>'数据-基础表'!AZ5</f>
        <v>9035.91</v>
      </c>
      <c r="F3" s="2437"/>
      <c r="G3" s="42"/>
      <c r="H3" s="43" t="s">
        <v>1106</v>
      </c>
      <c r="I3" s="802" t="e">
        <f>ROUND('数据-基础表'!B3/'数据-基础表'!A3,2)</f>
        <v>#DIV/0!</v>
      </c>
      <c r="J3" s="2437"/>
      <c r="K3" s="2437"/>
      <c r="L3" s="2437"/>
      <c r="M3" s="2437"/>
      <c r="N3" s="2438"/>
      <c r="O3" s="2437"/>
      <c r="P3" s="2437"/>
    </row>
    <row r="4" spans="1:16" ht="15">
      <c r="A4" s="3245"/>
      <c r="B4" s="3246"/>
      <c r="C4" s="324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48" t="s">
        <v>1110</v>
      </c>
      <c r="C5" s="324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48" t="s">
        <v>1111</v>
      </c>
      <c r="C6" s="3248"/>
      <c r="D6" s="43">
        <f>ROUND($D$3*E6/$E$3,2)</f>
        <v>0</v>
      </c>
      <c r="E6" s="44">
        <f>E3-E5</f>
        <v>9035.91</v>
      </c>
      <c r="F6" s="2437"/>
      <c r="G6" s="1529" t="s">
        <v>1112</v>
      </c>
      <c r="H6" s="45" t="s">
        <v>1113</v>
      </c>
      <c r="I6" s="2433" t="e">
        <f>ROUND(F31/D31,2)</f>
        <v>#DIV/0!</v>
      </c>
      <c r="J6" s="2437"/>
      <c r="K6" s="2437"/>
      <c r="L6" s="2437"/>
      <c r="M6" s="2437"/>
      <c r="N6" s="2437"/>
      <c r="O6" s="2437"/>
      <c r="P6" s="2437"/>
    </row>
    <row r="7" spans="1:16" ht="15.75" thickBot="1">
      <c r="A7" s="3240"/>
      <c r="B7" s="3241"/>
      <c r="C7" s="3242"/>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7529.9249999999993</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1505.9850000000006</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9035.91</v>
      </c>
      <c r="F16" s="2437"/>
      <c r="G16" s="2437"/>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460</v>
      </c>
      <c r="D19" s="43">
        <f>ROUND($D$3*E19/$E$3,2)</f>
        <v>0</v>
      </c>
      <c r="E19" s="51">
        <f t="shared" ref="E19:E26" si="1">SUM(F19:G19)</f>
        <v>7529.9250000000002</v>
      </c>
      <c r="F19" s="2555">
        <f>'[1]数据-基础表'!K13</f>
        <v>6023.94</v>
      </c>
      <c r="G19" s="1243">
        <f>'[1]数据-基础表'!M13</f>
        <v>1505.9850000000006</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7529.9250000000002</v>
      </c>
    </row>
    <row r="20" spans="1:19">
      <c r="A20" s="1549"/>
      <c r="B20" s="45" t="s">
        <v>1153</v>
      </c>
      <c r="C20" s="3113" t="s">
        <v>2605</v>
      </c>
      <c r="D20" s="43">
        <f t="shared" ref="D20:D26" si="6">ROUND($D$3*E20/$E$3,2)</f>
        <v>0</v>
      </c>
      <c r="E20" s="51">
        <f t="shared" si="1"/>
        <v>1505.9849999999999</v>
      </c>
      <c r="F20" s="2555">
        <f>'[1]数据-基础表'!I13</f>
        <v>1505.9849999999999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1505.9849999999999</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9035.91</v>
      </c>
      <c r="F27" s="1072">
        <f>IF(SUM(F19:F26)=E8,SUM(F19:F26),"地上面积有误")</f>
        <v>7529.9249999999993</v>
      </c>
      <c r="G27" s="1074">
        <f>SUM(G19:G26)</f>
        <v>1505.9850000000006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9035.91</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9035.91</v>
      </c>
      <c r="F31" s="644">
        <f>F27+F30</f>
        <v>7529.9249999999993</v>
      </c>
      <c r="G31" s="645">
        <f>G27+G30</f>
        <v>1505.9850000000006</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B54EE-79B1-418E-80B6-04244E541E68}">
  <dimension ref="A4:I37"/>
  <sheetViews>
    <sheetView topLeftCell="A10" workbookViewId="0">
      <selection activeCell="K11" sqref="K11"/>
    </sheetView>
  </sheetViews>
  <sheetFormatPr defaultRowHeight="13.5"/>
  <cols>
    <col min="1" max="16384" width="9" style="3143"/>
  </cols>
  <sheetData>
    <row r="4" spans="2:7">
      <c r="B4" s="3143" t="s">
        <v>3402</v>
      </c>
    </row>
    <row r="5" spans="2:7">
      <c r="B5" s="3144"/>
      <c r="C5" s="3145" t="s">
        <v>3403</v>
      </c>
      <c r="D5" s="3145" t="s">
        <v>3404</v>
      </c>
      <c r="E5" s="3145" t="s">
        <v>3405</v>
      </c>
      <c r="F5" s="3144"/>
      <c r="G5" s="3146" t="s">
        <v>3406</v>
      </c>
    </row>
    <row r="6" spans="2:7">
      <c r="B6" s="3147" t="s">
        <v>3407</v>
      </c>
      <c r="C6" s="3148">
        <f>C7+C8</f>
        <v>9035.91</v>
      </c>
      <c r="D6" s="3148">
        <f>E6/C6</f>
        <v>2333.3333333333335</v>
      </c>
      <c r="E6" s="3148">
        <f>E7+E8</f>
        <v>21083790</v>
      </c>
      <c r="F6" s="3144"/>
      <c r="G6" s="3149">
        <v>1</v>
      </c>
    </row>
    <row r="7" spans="2:7">
      <c r="B7" s="3145" t="s">
        <v>3399</v>
      </c>
      <c r="C7" s="3150">
        <f>'数据-汇总表'!F27</f>
        <v>7529.9249999999993</v>
      </c>
      <c r="D7" s="3144">
        <v>2000</v>
      </c>
      <c r="E7" s="3144">
        <f>D7*C7</f>
        <v>15059849.999999998</v>
      </c>
      <c r="F7" s="3144"/>
      <c r="G7" s="3144"/>
    </row>
    <row r="8" spans="2:7">
      <c r="B8" s="3145" t="s">
        <v>3400</v>
      </c>
      <c r="C8" s="3150">
        <f>'数据-汇总表'!G19</f>
        <v>1505.9850000000006</v>
      </c>
      <c r="D8" s="3144">
        <v>4000</v>
      </c>
      <c r="E8" s="3144">
        <f t="shared" ref="E8:E11" si="0">D8*C8</f>
        <v>6023940.0000000019</v>
      </c>
      <c r="F8" s="3144"/>
      <c r="G8" s="3144"/>
    </row>
    <row r="9" spans="2:7">
      <c r="B9" s="3147" t="s">
        <v>3408</v>
      </c>
      <c r="C9" s="3148">
        <f>C6</f>
        <v>9035.91</v>
      </c>
      <c r="D9" s="3148">
        <v>2000</v>
      </c>
      <c r="E9" s="3148">
        <f t="shared" si="0"/>
        <v>18071820</v>
      </c>
      <c r="F9" s="3144"/>
      <c r="G9" s="3149">
        <v>1</v>
      </c>
    </row>
    <row r="10" spans="2:7">
      <c r="B10" s="3147" t="s">
        <v>3409</v>
      </c>
      <c r="C10" s="3148">
        <f>C6</f>
        <v>9035.91</v>
      </c>
      <c r="D10" s="3148">
        <v>1500</v>
      </c>
      <c r="E10" s="3148">
        <f t="shared" si="0"/>
        <v>13553865</v>
      </c>
      <c r="F10" s="3144"/>
      <c r="G10" s="3149">
        <v>1</v>
      </c>
    </row>
    <row r="11" spans="2:7">
      <c r="B11" s="3147" t="s">
        <v>3410</v>
      </c>
      <c r="C11" s="3148">
        <v>0</v>
      </c>
      <c r="D11" s="3148">
        <f>D8</f>
        <v>4000</v>
      </c>
      <c r="E11" s="3148">
        <f t="shared" si="0"/>
        <v>0</v>
      </c>
      <c r="F11" s="3144"/>
      <c r="G11" s="3144"/>
    </row>
    <row r="12" spans="2:7">
      <c r="B12" s="3145" t="s">
        <v>3411</v>
      </c>
      <c r="C12" s="3144">
        <f>C6</f>
        <v>9035.91</v>
      </c>
      <c r="D12" s="3144">
        <f>E12/C12</f>
        <v>5833.333333333333</v>
      </c>
      <c r="E12" s="3144">
        <f>E6+E9+E10+E11</f>
        <v>52709475</v>
      </c>
      <c r="F12" s="3144"/>
      <c r="G12" s="3147">
        <f>(G6*E6+G9*E9+G10*E10)/E12</f>
        <v>1</v>
      </c>
    </row>
    <row r="16" spans="2:7">
      <c r="B16" s="3143" t="s">
        <v>3412</v>
      </c>
    </row>
    <row r="17" spans="2:8">
      <c r="B17" s="3144"/>
      <c r="C17" s="3145" t="s">
        <v>3413</v>
      </c>
      <c r="D17" s="3145"/>
      <c r="E17" s="3145" t="s">
        <v>3414</v>
      </c>
      <c r="F17" s="3145" t="s">
        <v>3415</v>
      </c>
      <c r="G17" s="3145" t="s">
        <v>3416</v>
      </c>
      <c r="H17" s="3146" t="s">
        <v>3412</v>
      </c>
    </row>
    <row r="18" spans="2:8">
      <c r="B18" s="3147" t="s">
        <v>3417</v>
      </c>
      <c r="C18" s="3148">
        <v>2012</v>
      </c>
      <c r="D18" s="3148">
        <v>2024</v>
      </c>
      <c r="E18" s="3148">
        <v>50</v>
      </c>
      <c r="F18" s="3144">
        <v>60</v>
      </c>
      <c r="G18" s="3144">
        <v>0</v>
      </c>
      <c r="H18" s="3151">
        <f>ROUND((1-G18)-(D18-C18)/F18,2)</f>
        <v>0.8</v>
      </c>
    </row>
    <row r="19" spans="2:8">
      <c r="B19" s="3145" t="s">
        <v>3418</v>
      </c>
      <c r="C19" s="3150"/>
      <c r="D19" s="3144"/>
      <c r="E19" s="3144"/>
      <c r="F19" s="3144"/>
      <c r="G19" s="3144"/>
      <c r="H19" s="3149">
        <v>0.9</v>
      </c>
    </row>
    <row r="20" spans="2:8">
      <c r="B20" s="3145"/>
      <c r="C20" s="3144"/>
      <c r="D20" s="3144"/>
      <c r="E20" s="3144"/>
      <c r="F20" s="3144"/>
      <c r="G20" s="3144"/>
      <c r="H20" s="3152">
        <f>ROUND((H19+H18)/2,2)</f>
        <v>0.85</v>
      </c>
    </row>
    <row r="22" spans="2:8">
      <c r="B22" s="3144"/>
      <c r="C22" s="3145" t="s">
        <v>3413</v>
      </c>
      <c r="D22" s="3145"/>
      <c r="E22" s="3145" t="s">
        <v>3414</v>
      </c>
      <c r="F22" s="3145" t="s">
        <v>3415</v>
      </c>
      <c r="G22" s="3145" t="s">
        <v>3416</v>
      </c>
      <c r="H22" s="3146" t="s">
        <v>3412</v>
      </c>
    </row>
    <row r="23" spans="2:8">
      <c r="B23" s="3147" t="s">
        <v>3417</v>
      </c>
      <c r="C23" s="3148">
        <v>2012</v>
      </c>
      <c r="D23" s="3148">
        <v>2033</v>
      </c>
      <c r="E23" s="3148">
        <v>50</v>
      </c>
      <c r="F23" s="3144">
        <v>60</v>
      </c>
      <c r="G23" s="3144">
        <v>0</v>
      </c>
      <c r="H23" s="3151">
        <f>ROUND((1-G23)-(D23-C23)/F23,2)</f>
        <v>0.65</v>
      </c>
    </row>
    <row r="24" spans="2:8">
      <c r="B24" s="3145" t="s">
        <v>3418</v>
      </c>
      <c r="C24" s="3150"/>
      <c r="D24" s="3144"/>
      <c r="E24" s="3144"/>
      <c r="F24" s="3144"/>
      <c r="G24" s="3144"/>
      <c r="H24" s="3149">
        <v>0.8</v>
      </c>
    </row>
    <row r="25" spans="2:8">
      <c r="B25" s="3145"/>
      <c r="C25" s="3144"/>
      <c r="D25" s="3144"/>
      <c r="E25" s="3144"/>
      <c r="F25" s="3144"/>
      <c r="G25" s="3144"/>
      <c r="H25" s="3152">
        <f>ROUND((H24+H23)/2,2)</f>
        <v>0.73</v>
      </c>
    </row>
    <row r="30" spans="2:8">
      <c r="B30" s="3143" t="s">
        <v>3419</v>
      </c>
    </row>
    <row r="31" spans="2:8">
      <c r="B31" s="2446"/>
      <c r="C31" s="3153">
        <v>0.03</v>
      </c>
      <c r="D31" s="2446"/>
      <c r="E31" s="2446"/>
      <c r="F31" s="2446"/>
      <c r="G31" s="2446"/>
    </row>
    <row r="32" spans="2:8">
      <c r="B32" s="2446"/>
      <c r="C32" s="2446">
        <v>2018</v>
      </c>
      <c r="D32" s="2446">
        <v>2019</v>
      </c>
      <c r="E32" s="2446">
        <v>2020</v>
      </c>
      <c r="F32" s="2446">
        <v>2021</v>
      </c>
      <c r="G32" s="2446">
        <v>2022</v>
      </c>
    </row>
    <row r="33" spans="1:9">
      <c r="A33" s="3143" t="s">
        <v>2810</v>
      </c>
      <c r="B33" s="2446">
        <f>'数据-基础表'!K13</f>
        <v>6023.94</v>
      </c>
      <c r="C33" s="2446">
        <v>1.5</v>
      </c>
      <c r="D33" s="2446">
        <f>C33*(1+$C$31)</f>
        <v>1.5449999999999999</v>
      </c>
      <c r="E33" s="2446">
        <f t="shared" ref="E33:F33" si="1">D33*(1+$C$31)</f>
        <v>1.59135</v>
      </c>
      <c r="F33" s="2446">
        <f t="shared" si="1"/>
        <v>1.6390905</v>
      </c>
      <c r="G33" s="2446">
        <f>ROUND(F33*(1+$C$31),2)</f>
        <v>1.69</v>
      </c>
      <c r="I33" s="2446">
        <v>4</v>
      </c>
    </row>
    <row r="34" spans="1:9">
      <c r="A34" s="3143" t="s">
        <v>3566</v>
      </c>
      <c r="B34" s="2446">
        <f>'数据-汇总表'!G19</f>
        <v>1505.9850000000006</v>
      </c>
      <c r="C34" s="2446">
        <v>0.5</v>
      </c>
      <c r="D34" s="2446">
        <f>C34*(1+$C$31)</f>
        <v>0.51500000000000001</v>
      </c>
      <c r="E34" s="2446">
        <f t="shared" ref="E34:F34" si="2">D34*(1+$C$31)</f>
        <v>0.53044999999999998</v>
      </c>
      <c r="F34" s="2446">
        <f t="shared" si="2"/>
        <v>0.5463635</v>
      </c>
      <c r="G34" s="2446">
        <f>ROUND(F34*(1+$C$31),2)</f>
        <v>0.56000000000000005</v>
      </c>
      <c r="I34" s="2446">
        <v>1.5</v>
      </c>
    </row>
    <row r="35" spans="1:9">
      <c r="B35" s="2446">
        <f>SUM(B33:B34)</f>
        <v>7529.9250000000002</v>
      </c>
      <c r="C35" s="2446">
        <f>(B33*C33+B34*C34)/B35</f>
        <v>1.3</v>
      </c>
      <c r="D35" s="2446"/>
      <c r="E35" s="2446"/>
      <c r="F35" s="2446"/>
      <c r="G35" s="2446">
        <f>ROUND((B33*G33+B34*G34)/B35,2)</f>
        <v>1.46</v>
      </c>
      <c r="I35" s="2446">
        <f>(B33*I33+B34*I34)/B35</f>
        <v>3.5</v>
      </c>
    </row>
    <row r="36" spans="1:9">
      <c r="B36" s="2446"/>
      <c r="C36" s="2446"/>
      <c r="D36" s="2446"/>
      <c r="E36" s="2446"/>
      <c r="F36" s="2446"/>
      <c r="G36" s="2446"/>
    </row>
    <row r="37" spans="1:9">
      <c r="A37" s="3143" t="s">
        <v>3567</v>
      </c>
      <c r="C37" s="3143">
        <f>C33</f>
        <v>1.5</v>
      </c>
      <c r="D37" s="3143">
        <f t="shared" ref="D37:G37" si="3">D33</f>
        <v>1.5449999999999999</v>
      </c>
      <c r="E37" s="3143">
        <f t="shared" si="3"/>
        <v>1.59135</v>
      </c>
      <c r="F37" s="3143">
        <f t="shared" si="3"/>
        <v>1.6390905</v>
      </c>
      <c r="G37" s="3143">
        <f t="shared" si="3"/>
        <v>1.69</v>
      </c>
      <c r="I37" s="3143">
        <v>5</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F31" sqref="F3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45573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57221</v>
      </c>
      <c r="F6" s="61">
        <f>SUMIF(项目基本情况!C$12:I$12,C6,项目基本情况!C$15:I$15)</f>
        <v>31.91</v>
      </c>
      <c r="G6" s="62">
        <f>IF(ISERROR(ROUND(POWER(1+H6,D6-F6)*(POWER(1+H6,F6)-1)/(POWER(1+H6,D6)-1),3)),0,ROUND(POWER(1+H6,D6-F6)*(POWER(1+H6,F6)-1)/(POWER(1+H6,D6)-1),3))</f>
        <v>0.86499999999999999</v>
      </c>
      <c r="H6" s="691">
        <v>0.05</v>
      </c>
      <c r="I6" s="691">
        <v>5.5E-2</v>
      </c>
      <c r="J6" s="63">
        <v>7.0000000000000007E-2</v>
      </c>
      <c r="K6" s="970">
        <f>SUMIF('数据-汇总表'!C$19:C$33,A6,'数据-汇总表'!E$19:E$33)</f>
        <v>7529.9250000000002</v>
      </c>
      <c r="L6" s="692">
        <v>6000</v>
      </c>
      <c r="M6" s="64">
        <f t="shared" ref="M6:M14" si="0">ROUND(K6*L6/10000,0)</f>
        <v>4518</v>
      </c>
      <c r="N6" s="690">
        <f>Sheet1!H20</f>
        <v>0.85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Sheet1!G35</f>
        <v>1.46</v>
      </c>
      <c r="V6" s="67">
        <v>0</v>
      </c>
      <c r="W6" s="67">
        <v>0</v>
      </c>
      <c r="X6" s="979"/>
      <c r="Y6" s="68">
        <f>N6</f>
        <v>0.85</v>
      </c>
      <c r="Z6" s="69">
        <f>ROUND(Sheet1!I35*(1+AA6)^AF6,2)</f>
        <v>4.16</v>
      </c>
      <c r="AA6" s="63">
        <v>0.02</v>
      </c>
      <c r="AB6" s="63">
        <v>0.1</v>
      </c>
      <c r="AC6" s="979"/>
      <c r="AD6" s="690">
        <f>Sheet1!H25</f>
        <v>0.73</v>
      </c>
      <c r="AE6" s="980">
        <f ca="1">IF(AN6="",0,SUMIF(INDIRECT("'"&amp;AN6&amp;"'"&amp;"!E:E"),$AE$5,INDIRECT("'"&amp;AN6&amp;"'"&amp;"!F:F")))</f>
        <v>31.91</v>
      </c>
      <c r="AF6" s="74">
        <f>项目基本情况!I15</f>
        <v>8.77</v>
      </c>
      <c r="AG6" s="130">
        <f ca="1">IF(AF6="",0,AE6-AF6)</f>
        <v>23.14</v>
      </c>
      <c r="AH6" s="71"/>
      <c r="AI6" s="73">
        <v>365</v>
      </c>
      <c r="AJ6" s="74"/>
      <c r="AK6" s="75">
        <v>5.0000000000000001E-3</v>
      </c>
      <c r="AL6" s="75">
        <v>1E-3</v>
      </c>
      <c r="AM6" s="77">
        <v>5.0000000000000001E-3</v>
      </c>
      <c r="AN6" s="1589" t="s">
        <v>3420</v>
      </c>
      <c r="AO6" s="50">
        <f ca="1">SUMIF(INDIRECT("'"&amp;AN6&amp;"'"&amp;"!A:A"),"总价",INDIRECT("'"&amp;AN6&amp;"'"&amp;"!B:B"))</f>
        <v>10128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商业</v>
      </c>
      <c r="B7" s="1587" t="str">
        <f t="shared" ref="B7:B13" si="1">IF(A7=0,"","经营性")</f>
        <v>经营性</v>
      </c>
      <c r="C7" s="1588" t="s">
        <v>673</v>
      </c>
      <c r="D7" s="805">
        <f>SUMIF(项目基本情况!C$12:I$12,C7,项目基本情况!C$14:I$14)</f>
        <v>40</v>
      </c>
      <c r="E7" s="804">
        <f>IF(B7="","",SUMIF(项目基本情况!C$12:I$12,C7,项目基本情况!C$13:I$13))</f>
        <v>53568</v>
      </c>
      <c r="F7" s="61">
        <f>SUMIF(项目基本情况!C$12:I$12,C7,项目基本情况!C$15:I$15)</f>
        <v>21.9</v>
      </c>
      <c r="G7" s="62">
        <f t="shared" ref="G7:G11" si="2">IF(ISERROR(ROUND(POWER(1+H7,D7-F7)*(POWER(1+H7,F7)-1)/(POWER(1+H7,D7)-1),3)),0,ROUND(POWER(1+H7,D7-F7)*(POWER(1+H7,F7)-1)/(POWER(1+H7,D7)-1),3))</f>
        <v>0.76500000000000001</v>
      </c>
      <c r="H7" s="691">
        <v>0.05</v>
      </c>
      <c r="I7" s="691">
        <v>5.5E-2</v>
      </c>
      <c r="J7" s="63">
        <v>7.0000000000000007E-2</v>
      </c>
      <c r="K7" s="970">
        <f>SUMIF('数据-汇总表'!C$19:C$33,A7,'数据-汇总表'!E$19:E$33)</f>
        <v>1505.9849999999999</v>
      </c>
      <c r="L7" s="692">
        <f>L6</f>
        <v>6000</v>
      </c>
      <c r="M7" s="64">
        <f t="shared" si="0"/>
        <v>904</v>
      </c>
      <c r="N7" s="690">
        <f>N6</f>
        <v>0.85</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f>Sheet1!G33</f>
        <v>1.69</v>
      </c>
      <c r="V7" s="67">
        <v>0</v>
      </c>
      <c r="W7" s="67">
        <v>0</v>
      </c>
      <c r="X7" s="979"/>
      <c r="Y7" s="68">
        <f>Y6</f>
        <v>0.85</v>
      </c>
      <c r="Z7" s="69">
        <f>ROUND(Sheet1!I37*(1+AA7)^AF7,2)</f>
        <v>5.95</v>
      </c>
      <c r="AA7" s="63">
        <v>0.02</v>
      </c>
      <c r="AB7" s="63">
        <v>0.1</v>
      </c>
      <c r="AC7" s="979"/>
      <c r="AD7" s="690">
        <f>AD6</f>
        <v>0.73</v>
      </c>
      <c r="AE7" s="980">
        <f t="shared" ref="AE7:AE13" ca="1" si="6">IF(AN7="",0,SUMIF(INDIRECT("'"&amp;AN7&amp;"'"&amp;"!E:E"),$AE$5,INDIRECT("'"&amp;AN7&amp;"'"&amp;"!F:F")))</f>
        <v>21.9</v>
      </c>
      <c r="AF7" s="74">
        <f>AF6</f>
        <v>8.77</v>
      </c>
      <c r="AG7" s="130">
        <f t="shared" ref="AG7:AG13" ca="1" si="7">IF(AF7="",0,AE7-AF7)</f>
        <v>13.129999999999999</v>
      </c>
      <c r="AH7" s="71"/>
      <c r="AI7" s="73">
        <v>365</v>
      </c>
      <c r="AJ7" s="74"/>
      <c r="AK7" s="75">
        <f>AK6</f>
        <v>5.0000000000000001E-3</v>
      </c>
      <c r="AL7" s="75">
        <f t="shared" ref="AL7:AM7" si="8">AL6</f>
        <v>1E-3</v>
      </c>
      <c r="AM7" s="63">
        <f t="shared" si="8"/>
        <v>5.0000000000000001E-3</v>
      </c>
      <c r="AN7" s="1589" t="s">
        <v>3421</v>
      </c>
      <c r="AO7" s="50">
        <f t="shared" ref="AO7:AO13" ca="1" si="9">SUMIF(INDIRECT("'"&amp;AN7&amp;"'"&amp;"!A:A"),"总价",INDIRECT("'"&amp;AN7&amp;"'"&amp;"!B:B"))</f>
        <v>2098</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9"/>
        <v>#REF!</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9"/>
        <v>#REF!</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0.84799999999999998</v>
      </c>
      <c r="H16" s="84">
        <f>ROUND(SUMPRODUCT(H6:H13,K6:K13)/SUMPRODUCT((H6:H13&gt;0)*(K6:K13)),3)</f>
        <v>0.05</v>
      </c>
      <c r="I16" s="85"/>
      <c r="J16" s="85"/>
      <c r="K16" s="86">
        <f>SUM(K6:K15)</f>
        <v>9035.91</v>
      </c>
      <c r="L16" s="87">
        <f>ROUND(M16*10000/SUM(K6:K14),0)</f>
        <v>6001</v>
      </c>
      <c r="M16" s="87">
        <f>SUM(M6:M14)</f>
        <v>5422</v>
      </c>
      <c r="N16" s="88">
        <f>ROUND(SUMPRODUCT(M6:M14,N6:N14)/M16,3)</f>
        <v>0.85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2299</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1.5</v>
      </c>
      <c r="C20" s="2559" t="s">
        <v>2297</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1.5</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1.5</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1.5</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c r="C27" s="2560" t="s">
        <v>2301</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f>[1]成本法!C10</f>
        <v>181</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0.06</v>
      </c>
      <c r="C33" s="2562" t="s">
        <v>3378</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2291</v>
      </c>
      <c r="D34" s="2457" t="s">
        <v>2298</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3379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0.03</v>
      </c>
      <c r="C37" s="2562" t="s">
        <v>2293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0.03</v>
      </c>
      <c r="C38" s="2562" t="s">
        <v>2293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2308</v>
      </c>
      <c r="B40" s="1015">
        <f ca="1">IF(A40="利息：取LPR",存贷款利率!G1,存贷款利率!G1+C40)</f>
        <v>3.3500000000000002E-2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2302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2294</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2295</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2294</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2296</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12</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110</v>
      </c>
      <c r="C53" s="2438" t="s">
        <v>1246</v>
      </c>
      <c r="D53" s="2563" t="s">
        <v>2300</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9" customFormat="1" ht="18.75" thickBot="1">
      <c r="A1" s="3249" t="s">
        <v>2282</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25.5">
      <c r="A3" s="2247" t="s">
        <v>2280</v>
      </c>
      <c r="B3" s="2264" t="s">
        <v>2252</v>
      </c>
      <c r="C3" s="2265"/>
      <c r="D3" s="2266"/>
      <c r="E3" s="2248" t="s">
        <v>2280</v>
      </c>
      <c r="F3" s="2267" t="s">
        <v>2253</v>
      </c>
      <c r="G3" s="2268" t="s">
        <v>2281</v>
      </c>
      <c r="H3" s="751"/>
      <c r="I3" s="751"/>
      <c r="J3" s="751"/>
      <c r="K3" s="751"/>
      <c r="L3" s="751"/>
      <c r="M3" s="751"/>
      <c r="N3" s="751"/>
      <c r="O3" s="751"/>
      <c r="P3" s="751"/>
      <c r="Q3" s="751"/>
    </row>
    <row r="4" spans="1:29" ht="48">
      <c r="A4" s="2248"/>
      <c r="B4" s="315" t="s">
        <v>2254</v>
      </c>
      <c r="C4" s="3158" t="s">
        <v>3538</v>
      </c>
      <c r="D4" s="2266"/>
      <c r="E4" s="2269"/>
      <c r="F4" s="1281" t="s">
        <v>2255</v>
      </c>
      <c r="G4" s="2270" t="s">
        <v>2256</v>
      </c>
      <c r="H4" s="751"/>
      <c r="I4" s="751"/>
      <c r="J4" s="751"/>
      <c r="K4" s="751"/>
      <c r="L4" s="751"/>
      <c r="M4" s="751"/>
      <c r="N4" s="751"/>
      <c r="O4" s="751"/>
      <c r="P4" s="751"/>
      <c r="Q4" s="751"/>
    </row>
    <row r="5" spans="1:29" ht="48">
      <c r="A5" s="2248"/>
      <c r="B5" s="315" t="s">
        <v>2257</v>
      </c>
      <c r="C5" s="3158" t="s">
        <v>3539</v>
      </c>
      <c r="D5" s="2266"/>
      <c r="E5" s="2269"/>
      <c r="F5" s="315" t="s">
        <v>2258</v>
      </c>
      <c r="G5" s="2270" t="s">
        <v>2259</v>
      </c>
      <c r="H5" s="751"/>
      <c r="I5" s="751"/>
      <c r="J5" s="751"/>
      <c r="K5" s="751"/>
      <c r="L5" s="751"/>
      <c r="M5" s="751"/>
      <c r="N5" s="751"/>
      <c r="O5" s="751"/>
      <c r="P5" s="751"/>
      <c r="Q5" s="751"/>
    </row>
    <row r="6" spans="1:29" ht="48">
      <c r="A6" s="2248"/>
      <c r="B6" s="315" t="s">
        <v>2260</v>
      </c>
      <c r="C6" s="3159" t="s">
        <v>3540</v>
      </c>
      <c r="D6" s="2266"/>
      <c r="E6" s="2269"/>
      <c r="F6" s="315" t="s">
        <v>2261</v>
      </c>
      <c r="G6" s="2270" t="s">
        <v>2262</v>
      </c>
      <c r="H6" s="751"/>
      <c r="I6" s="751"/>
      <c r="J6" s="751"/>
      <c r="K6" s="751"/>
      <c r="L6" s="751"/>
      <c r="M6" s="751"/>
      <c r="N6" s="751"/>
      <c r="O6" s="751"/>
      <c r="P6" s="751"/>
      <c r="Q6" s="751"/>
    </row>
    <row r="7" spans="1:29" ht="35.25" customHeight="1" thickBot="1">
      <c r="A7" s="2248"/>
      <c r="B7" s="315" t="s">
        <v>2258</v>
      </c>
      <c r="C7" s="3159" t="s">
        <v>3541</v>
      </c>
      <c r="D7" s="2245"/>
      <c r="E7" s="2271"/>
      <c r="F7" s="2272" t="s">
        <v>2263</v>
      </c>
      <c r="G7" s="2273" t="s">
        <v>2264</v>
      </c>
      <c r="H7" s="751"/>
      <c r="I7" s="751"/>
      <c r="J7" s="751"/>
      <c r="K7" s="751"/>
      <c r="L7" s="751"/>
      <c r="M7" s="751"/>
      <c r="N7" s="751"/>
      <c r="O7" s="751"/>
      <c r="P7" s="751"/>
      <c r="Q7" s="751"/>
    </row>
    <row r="8" spans="1:29" ht="33.75" customHeight="1">
      <c r="A8" s="2248"/>
      <c r="B8" s="315" t="s">
        <v>2261</v>
      </c>
      <c r="C8" s="3159" t="s">
        <v>3542</v>
      </c>
      <c r="D8" s="2245"/>
      <c r="E8" s="2245"/>
      <c r="F8" s="121"/>
      <c r="G8" s="121"/>
      <c r="H8" s="751"/>
      <c r="I8" s="751"/>
      <c r="J8" s="751"/>
      <c r="K8" s="751"/>
      <c r="L8" s="751"/>
      <c r="M8" s="751"/>
      <c r="N8" s="751"/>
      <c r="O8" s="751"/>
      <c r="P8" s="751"/>
      <c r="Q8" s="751"/>
    </row>
    <row r="9" spans="1:29" ht="36">
      <c r="A9" s="2248"/>
      <c r="B9" s="315" t="s">
        <v>2265</v>
      </c>
      <c r="C9" s="3158" t="s">
        <v>3543</v>
      </c>
      <c r="D9" s="2266"/>
      <c r="E9" s="2245"/>
      <c r="F9" s="121"/>
      <c r="G9" s="121"/>
      <c r="H9" s="751"/>
      <c r="I9" s="751"/>
      <c r="J9" s="751"/>
      <c r="K9" s="751"/>
      <c r="L9" s="751"/>
      <c r="M9" s="751"/>
      <c r="N9" s="751"/>
      <c r="O9" s="751"/>
      <c r="P9" s="751"/>
      <c r="Q9" s="751"/>
    </row>
    <row r="10" spans="1:29" ht="15" thickBot="1">
      <c r="A10" s="2249"/>
      <c r="B10" s="2274" t="s">
        <v>2266</v>
      </c>
      <c r="C10" s="3160" t="s">
        <v>3544</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8">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75" thickBot="1">
      <c r="A13" s="2282" t="s">
        <v>2283</v>
      </c>
      <c r="B13" s="2278"/>
      <c r="C13" s="2278"/>
      <c r="D13" s="2277"/>
      <c r="E13" s="2278"/>
      <c r="F13" s="2278"/>
      <c r="G13" s="2278"/>
    </row>
    <row r="14" spans="1:29" ht="15" thickBot="1">
      <c r="A14" s="2283"/>
      <c r="B14" s="2283"/>
      <c r="C14" s="2284" t="s">
        <v>2267</v>
      </c>
      <c r="D14" s="2266"/>
      <c r="E14" s="2285"/>
      <c r="F14" s="2285"/>
      <c r="G14" s="2262" t="s">
        <v>2268</v>
      </c>
    </row>
    <row r="15" spans="1:29" ht="25.5">
      <c r="A15" s="2250" t="s">
        <v>2269</v>
      </c>
      <c r="B15" s="2286" t="s">
        <v>2252</v>
      </c>
      <c r="C15" s="2287">
        <f>C3</f>
        <v>0</v>
      </c>
      <c r="D15" s="2266"/>
      <c r="E15" s="2251" t="s">
        <v>2270</v>
      </c>
      <c r="F15" s="2286" t="s">
        <v>2271</v>
      </c>
      <c r="G15" s="2288" t="str">
        <f>G3</f>
        <v>估价对象位于XX开发区，园区建设成熟度XX，产业集聚程度XX</v>
      </c>
    </row>
    <row r="16" spans="1:29" ht="51">
      <c r="A16" s="2252"/>
      <c r="B16" s="2289" t="s">
        <v>2254</v>
      </c>
      <c r="C16" s="2290" t="str">
        <f>C4</f>
        <v>估价对象周边商业氛围成熟度一般，有千禧商业街、银座和谐广场，人流量一般，商业繁华度一般</v>
      </c>
      <c r="D16" s="2266"/>
      <c r="E16" s="2253"/>
      <c r="F16" s="2291" t="s">
        <v>2255</v>
      </c>
      <c r="G16" s="2292" t="str">
        <f>G4</f>
        <v>估价对象周边道路状况、公共交通通达情况、停车便捷程度，综合评价交通便捷度较好</v>
      </c>
    </row>
    <row r="17" spans="1:17" ht="51">
      <c r="A17" s="2252"/>
      <c r="B17" s="2289" t="s">
        <v>2257</v>
      </c>
      <c r="C17" s="2290" t="str">
        <f>C5</f>
        <v>估价对象，周边办公楼项目数量一般，有华信大厦、金鑫大厦等写字楼项目，入驻率较高，办公集聚程度一般</v>
      </c>
      <c r="D17" s="2245"/>
      <c r="E17" s="2253"/>
      <c r="F17" s="2291" t="s">
        <v>2272</v>
      </c>
      <c r="G17" s="2293"/>
    </row>
    <row r="18" spans="1:17" ht="51">
      <c r="A18" s="2252"/>
      <c r="B18" s="2291" t="s">
        <v>2260</v>
      </c>
      <c r="C18" s="2292" t="str">
        <f>C6</f>
        <v>估价对象周边道路通达状况较好、有52、57、473、941等公交线路，停车便捷程度一般，综合评价交通便捷度一般</v>
      </c>
      <c r="D18" s="2245"/>
      <c r="E18" s="2253"/>
      <c r="F18" s="2291" t="s">
        <v>2263</v>
      </c>
      <c r="G18" s="2292" t="str">
        <f>G7</f>
        <v>该园区内是否有污染型企业，绿化情况，卫生条件，整体环境状况判断</v>
      </c>
    </row>
    <row r="19" spans="1:17" ht="25.5">
      <c r="A19" s="2252"/>
      <c r="B19" s="2291" t="s">
        <v>2273</v>
      </c>
      <c r="C19" s="2293"/>
      <c r="D19" s="2266"/>
      <c r="E19" s="2253"/>
      <c r="F19" s="315" t="s">
        <v>2258</v>
      </c>
      <c r="G19" s="2292" t="str">
        <f>G5</f>
        <v>估价对象所在区域公共配套设施齐备情况</v>
      </c>
    </row>
    <row r="20" spans="1:17" ht="38.25">
      <c r="A20" s="2252"/>
      <c r="B20" s="2291" t="s">
        <v>2274</v>
      </c>
      <c r="C20" s="2290" t="str">
        <f>C9</f>
        <v>区域自然环境：万丰公园、足球公园等；人文环境；综合评价环境状况一般</v>
      </c>
      <c r="D20" s="2245"/>
      <c r="E20" s="2253"/>
      <c r="F20" s="315" t="s">
        <v>2261</v>
      </c>
      <c r="G20" s="2292" t="str">
        <f>G6</f>
        <v>估价对象所在区域基础设施水平</v>
      </c>
    </row>
    <row r="21" spans="1:17" ht="25.5">
      <c r="A21" s="2252"/>
      <c r="B21" s="315" t="s">
        <v>2258</v>
      </c>
      <c r="C21" s="2292" t="str">
        <f>C7</f>
        <v>估价对象所在区域公共配套设施齐备情况较好</v>
      </c>
      <c r="D21" s="2266"/>
      <c r="E21" s="2253"/>
      <c r="F21" s="2291" t="s">
        <v>2275</v>
      </c>
      <c r="G21" s="2294"/>
    </row>
    <row r="22" spans="1:17" ht="13.5" customHeight="1">
      <c r="A22" s="2252"/>
      <c r="B22" s="315" t="s">
        <v>2261</v>
      </c>
      <c r="C22" s="2292" t="str">
        <f>C8</f>
        <v>七通</v>
      </c>
      <c r="D22" s="2266"/>
      <c r="E22" s="2253"/>
      <c r="F22" s="2291" t="s">
        <v>2266</v>
      </c>
      <c r="G22" s="2293"/>
    </row>
    <row r="23" spans="1:17" s="751" customFormat="1" ht="15"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5" thickBot="1">
      <c r="A24" s="2255"/>
      <c r="B24" s="2295" t="s">
        <v>2277</v>
      </c>
      <c r="C24" s="2297" t="str">
        <f>C10</f>
        <v>次干道-靛厂路</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6" sqref="L16"/>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9035.91</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45573</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22072</v>
      </c>
      <c r="C5" s="2298">
        <f ca="1">IF(B5=D14,结果表!H102,ROUND(B5*10000/$B$1,0))</f>
        <v>24427</v>
      </c>
      <c r="D5" s="2298" t="e">
        <f ca="1">ROUND(B5*10000/$B$2,0)</f>
        <v>#DIV/0!</v>
      </c>
      <c r="E5" s="2459"/>
      <c r="F5" s="2460"/>
      <c r="G5" s="2460"/>
      <c r="H5" s="2460"/>
      <c r="I5" s="2460"/>
      <c r="J5" s="2460"/>
      <c r="K5" s="2460"/>
    </row>
    <row r="6" spans="1:11" ht="16.5">
      <c r="A6" s="2298" t="s">
        <v>656</v>
      </c>
      <c r="B6" s="2298">
        <f ca="1">SUM(G14:G23)</f>
        <v>22072</v>
      </c>
      <c r="C6" s="2298">
        <f ca="1">IF(B6=G14,结果表!H108,ROUND(B6*10000/$B$1,0))</f>
        <v>24427</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9035.91</v>
      </c>
      <c r="C14" s="2304"/>
      <c r="D14" s="2304">
        <f ca="1">结果表!H118</f>
        <v>22072</v>
      </c>
      <c r="E14" s="2304">
        <f ca="1">ROUND(D14*10000/B14,0)</f>
        <v>24427</v>
      </c>
      <c r="F14" s="2304" t="e">
        <f ca="1">ROUND(D14*10000/C14,0)</f>
        <v>#DIV/0!</v>
      </c>
      <c r="G14" s="2304">
        <f ca="1">D14</f>
        <v>22072</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5" zoomScaleNormal="100" zoomScaleSheetLayoutView="85" zoomScalePageLayoutView="80" workbookViewId="0">
      <selection activeCell="J25" sqref="J25:K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3562</v>
      </c>
      <c r="H1" s="1621" t="str">
        <f>IF(G1="现房","——","估价对象范围")</f>
        <v>——</v>
      </c>
      <c r="I1" s="1622" t="s">
        <v>3563</v>
      </c>
    </row>
    <row r="2" spans="1:12" ht="21.75" customHeight="1" thickBot="1">
      <c r="A2" s="3285" t="str">
        <f>项目基本情况!S2</f>
        <v>北京市靛厂路11号房地产</v>
      </c>
      <c r="B2" s="3286"/>
      <c r="C2" s="3286"/>
      <c r="D2" s="3286"/>
      <c r="E2" s="3286"/>
      <c r="F2" s="3286"/>
      <c r="G2" s="3286"/>
      <c r="H2" s="3286"/>
      <c r="I2" s="3287"/>
    </row>
    <row r="3" spans="1:12" ht="12.75">
      <c r="A3" s="3289" t="s">
        <v>1264</v>
      </c>
      <c r="B3" s="3290"/>
      <c r="C3" s="3290"/>
      <c r="D3" s="3290"/>
      <c r="E3" s="3290"/>
      <c r="F3" s="3290"/>
      <c r="G3" s="3290"/>
      <c r="H3" s="3290"/>
      <c r="I3" s="3290"/>
    </row>
    <row r="4" spans="1:12" ht="14.25">
      <c r="A4" s="1624" t="s">
        <v>1265</v>
      </c>
      <c r="B4" s="1625" t="s">
        <v>1266</v>
      </c>
      <c r="C4" s="1626" t="s">
        <v>3564</v>
      </c>
      <c r="D4" s="1626" t="s">
        <v>3565</v>
      </c>
      <c r="E4" s="3291" t="s">
        <v>1267</v>
      </c>
      <c r="F4" s="3292"/>
      <c r="G4" s="3292"/>
      <c r="H4" s="3292"/>
      <c r="I4" s="329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5" t="s">
        <v>1268</v>
      </c>
      <c r="B5" s="3252">
        <v>25</v>
      </c>
      <c r="C5" s="3268"/>
      <c r="D5" s="3288"/>
      <c r="E5" s="123" t="s">
        <v>1269</v>
      </c>
      <c r="F5" s="1627"/>
      <c r="G5" s="1627"/>
      <c r="H5" s="1627"/>
      <c r="I5" s="1281"/>
    </row>
    <row r="6" spans="1:12" ht="12.75">
      <c r="A6" s="3265"/>
      <c r="B6" s="3252"/>
      <c r="C6" s="3269"/>
      <c r="D6" s="3288"/>
      <c r="E6" s="123" t="s">
        <v>1270</v>
      </c>
      <c r="F6" s="1627"/>
      <c r="G6" s="1627"/>
      <c r="H6" s="1627"/>
      <c r="I6" s="1281"/>
    </row>
    <row r="7" spans="1:12" ht="12.75">
      <c r="A7" s="3265"/>
      <c r="B7" s="3252"/>
      <c r="C7" s="3270"/>
      <c r="D7" s="3288"/>
      <c r="E7" s="123" t="s">
        <v>1271</v>
      </c>
      <c r="F7" s="1627"/>
      <c r="G7" s="1627"/>
      <c r="H7" s="1627"/>
      <c r="I7" s="1281"/>
    </row>
    <row r="8" spans="1:12" ht="12.75">
      <c r="A8" s="3265" t="s">
        <v>1272</v>
      </c>
      <c r="B8" s="3252">
        <v>15</v>
      </c>
      <c r="C8" s="3268"/>
      <c r="D8" s="3288"/>
      <c r="E8" s="123" t="s">
        <v>1273</v>
      </c>
      <c r="F8" s="1627"/>
      <c r="G8" s="1627"/>
      <c r="H8" s="1627"/>
      <c r="I8" s="1281"/>
    </row>
    <row r="9" spans="1:12" ht="12.75">
      <c r="A9" s="3265"/>
      <c r="B9" s="3252"/>
      <c r="C9" s="3270"/>
      <c r="D9" s="3288"/>
      <c r="E9" s="123" t="s">
        <v>1274</v>
      </c>
      <c r="F9" s="1627"/>
      <c r="G9" s="1627"/>
      <c r="H9" s="1627"/>
      <c r="I9" s="1281"/>
    </row>
    <row r="10" spans="1:12" ht="12.75">
      <c r="A10" s="3265" t="s">
        <v>1275</v>
      </c>
      <c r="B10" s="3252">
        <v>15</v>
      </c>
      <c r="C10" s="3268"/>
      <c r="D10" s="3288"/>
      <c r="E10" s="123" t="s">
        <v>1276</v>
      </c>
      <c r="F10" s="1627"/>
      <c r="G10" s="1627"/>
      <c r="H10" s="1627"/>
      <c r="I10" s="1281"/>
    </row>
    <row r="11" spans="1:12" ht="12.75">
      <c r="A11" s="3265"/>
      <c r="B11" s="3252"/>
      <c r="C11" s="3270"/>
      <c r="D11" s="3288"/>
      <c r="E11" s="123" t="s">
        <v>1277</v>
      </c>
      <c r="F11" s="1627"/>
      <c r="G11" s="1627"/>
      <c r="H11" s="1627"/>
      <c r="I11" s="1281"/>
    </row>
    <row r="12" spans="1:12" ht="12.75">
      <c r="A12" s="3265" t="s">
        <v>1278</v>
      </c>
      <c r="B12" s="3252">
        <v>15</v>
      </c>
      <c r="C12" s="3268"/>
      <c r="D12" s="3288"/>
      <c r="E12" s="123" t="s">
        <v>1279</v>
      </c>
      <c r="F12" s="1627"/>
      <c r="G12" s="1627"/>
      <c r="H12" s="1627"/>
      <c r="I12" s="1281"/>
    </row>
    <row r="13" spans="1:12" ht="12.75">
      <c r="A13" s="3265"/>
      <c r="B13" s="3252"/>
      <c r="C13" s="3270"/>
      <c r="D13" s="3288"/>
      <c r="E13" s="123" t="s">
        <v>1280</v>
      </c>
      <c r="F13" s="1627"/>
      <c r="G13" s="1627"/>
      <c r="H13" s="1627"/>
      <c r="I13" s="1281"/>
    </row>
    <row r="14" spans="1:12" ht="12.75">
      <c r="A14" s="3265" t="s">
        <v>1281</v>
      </c>
      <c r="B14" s="3252">
        <v>30</v>
      </c>
      <c r="C14" s="3268">
        <v>7</v>
      </c>
      <c r="D14" s="3288">
        <v>3</v>
      </c>
      <c r="E14" s="123" t="s">
        <v>1282</v>
      </c>
      <c r="F14" s="1627"/>
      <c r="G14" s="1627"/>
      <c r="H14" s="1627"/>
      <c r="I14" s="1281"/>
    </row>
    <row r="15" spans="1:12" ht="12.75">
      <c r="A15" s="3265"/>
      <c r="B15" s="3252"/>
      <c r="C15" s="3269"/>
      <c r="D15" s="3288"/>
      <c r="E15" s="123" t="s">
        <v>1283</v>
      </c>
      <c r="F15" s="1627"/>
      <c r="G15" s="1627"/>
      <c r="H15" s="1627"/>
      <c r="I15" s="1281"/>
    </row>
    <row r="16" spans="1:12" ht="12.75">
      <c r="A16" s="3265"/>
      <c r="B16" s="3252"/>
      <c r="C16" s="3270"/>
      <c r="D16" s="3288"/>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75" t="s">
        <v>2131</v>
      </c>
      <c r="F18" s="3276"/>
      <c r="G18" s="3276"/>
      <c r="H18" s="3276"/>
      <c r="I18" s="3276"/>
      <c r="K18" s="294" t="s">
        <v>1289</v>
      </c>
      <c r="L18" s="294">
        <f>IF(C1="",'数据-汇总表'!E3,SUMIF(项目类型,C1,'数据-汇总表'!E17:E26)+SUMIF(项目类型,C1,'数据-汇总表'!I17:I26))</f>
        <v>9035.91</v>
      </c>
      <c r="M18" s="294">
        <f>IF(C1="",'数据-汇总表'!E3,SUMIF(项目类型,C1,'数据-汇总表'!E17:E26))</f>
        <v>9035.91</v>
      </c>
    </row>
    <row r="19" spans="1:36" ht="15">
      <c r="A19" s="1630" t="s">
        <v>1290</v>
      </c>
      <c r="B19" s="1631" t="s">
        <v>1291</v>
      </c>
      <c r="C19" s="126">
        <f ca="1">SUMIF(INDIRECT("'"&amp;C4&amp;"'"&amp;"!A:A"),结果表!B19,INDIRECT("'"&amp;C4&amp;"'"&amp;"!B:B"))</f>
        <v>26292</v>
      </c>
      <c r="D19" s="127">
        <f ca="1">SUMIF(INDIRECT("'"&amp;D4&amp;"'"&amp;"!A:A"),结果表!B19,INDIRECT("'"&amp;D4&amp;"'"&amp;"!B:B"))</f>
        <v>12226</v>
      </c>
      <c r="E19" s="1630" t="s">
        <v>1292</v>
      </c>
      <c r="F19" s="1631" t="s">
        <v>1291</v>
      </c>
      <c r="G19" s="128">
        <f ca="1">ROUND(C19*$C$18+D19*$D$18,0)</f>
        <v>22072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29097</v>
      </c>
      <c r="D20" s="130">
        <f ca="1">SUMIF(INDIRECT("'"&amp;D4&amp;"'"&amp;"!A:A"),结果表!B20,INDIRECT("'"&amp;D4&amp;"'"&amp;"!B:B"))</f>
        <v>13530</v>
      </c>
      <c r="E20" s="1633"/>
      <c r="F20" s="43" t="s">
        <v>1295</v>
      </c>
      <c r="G20" s="131">
        <f ca="1">ROUND(C20*$C$18+D20*$D$18,0)</f>
        <v>24427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1.1504989366922951</v>
      </c>
      <c r="E22" s="121"/>
      <c r="F22" s="121"/>
      <c r="G22" s="121"/>
      <c r="H22" s="121"/>
      <c r="I22" s="121"/>
    </row>
    <row r="23" spans="1:36" ht="13.5" thickBot="1">
      <c r="A23" s="646"/>
      <c r="B23" s="646"/>
      <c r="C23" s="646"/>
      <c r="D23" s="646"/>
      <c r="E23" s="121"/>
      <c r="F23" s="121"/>
      <c r="G23" s="121"/>
      <c r="H23" s="121"/>
      <c r="I23" s="121"/>
    </row>
    <row r="24" spans="1:36" ht="14.25">
      <c r="A24" s="3259" t="s">
        <v>1299</v>
      </c>
      <c r="B24" s="1631" t="s">
        <v>1291</v>
      </c>
      <c r="C24" s="128">
        <f>IF(B30=0,0,D30)</f>
        <v>0</v>
      </c>
      <c r="D24" s="1637"/>
      <c r="E24" s="121"/>
      <c r="F24" s="121"/>
      <c r="G24" s="121"/>
      <c r="H24" s="121"/>
      <c r="I24" s="121"/>
    </row>
    <row r="25" spans="1:36" ht="14.25">
      <c r="A25" s="32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22072</v>
      </c>
      <c r="D32" s="1641" t="s">
        <v>3569</v>
      </c>
      <c r="E32" s="121"/>
      <c r="F32" s="121"/>
      <c r="G32" s="121"/>
      <c r="H32" s="121"/>
      <c r="I32" s="121"/>
    </row>
    <row r="33" spans="1:15" ht="15">
      <c r="A33" s="740" t="s">
        <v>1306</v>
      </c>
      <c r="B33" s="123"/>
      <c r="C33" s="1642" t="s">
        <v>3568</v>
      </c>
      <c r="D33" s="1643" t="s">
        <v>3564</v>
      </c>
      <c r="E33" s="1644" t="s">
        <v>1307</v>
      </c>
      <c r="F33" s="1645" t="str">
        <f>IF(D32="楼面单价","取值（单价）","取值（总价）")</f>
        <v>取值（总价）</v>
      </c>
      <c r="G33" s="121"/>
      <c r="H33" s="121"/>
      <c r="I33" s="121"/>
    </row>
    <row r="34" spans="1:15" ht="15">
      <c r="A34" s="1646"/>
      <c r="B34" s="1647" t="s">
        <v>1308</v>
      </c>
      <c r="C34" s="140">
        <f ca="1">IF(C33="自定义",F34,C32-C35)</f>
        <v>16929</v>
      </c>
      <c r="D34" s="808">
        <f ca="1">IF(C33="自定义",ROUND(C34/C32,3),IF(C33="收益比率",SUMIF(INDIRECT("'"&amp;D33&amp;"'"&amp;"!b:b"),"土地收益比率",INDIRECT("'"&amp;D33&amp;"'"&amp;"!c:c")),SUMIF(INDIRECT("'"&amp;D33&amp;"'"&amp;"!b:b"),"土地成本比率",INDIRECT("'"&amp;D33&amp;"'"&amp;"!c:c"))))</f>
        <v>0.76700000000000002</v>
      </c>
      <c r="E34" s="1648" t="s">
        <v>1309</v>
      </c>
      <c r="F34" s="1243"/>
      <c r="G34" s="121"/>
      <c r="H34" s="121"/>
      <c r="I34" s="121"/>
    </row>
    <row r="35" spans="1:15" ht="15.75" thickBot="1">
      <c r="A35" s="1649"/>
      <c r="B35" s="1650" t="s">
        <v>1310</v>
      </c>
      <c r="C35" s="1090">
        <f ca="1">IF(C33="自定义",F35,ROUND(C32*D35,0))</f>
        <v>5143</v>
      </c>
      <c r="D35" s="1091">
        <f ca="1">IF(C33="自定义",ROUND(C35/C32,3),IF(C33="收益比率",SUMIF(INDIRECT("'"&amp;D33&amp;"'"&amp;"!b:b"),"建筑物收益比率",INDIRECT("'"&amp;D33&amp;"'"&amp;"!c:c")),SUMIF(INDIRECT("'"&amp;D33&amp;"'"&amp;"!b:b"),"建筑物成本比率",INDIRECT("'"&amp;D33&amp;"'"&amp;"!c:c"))))</f>
        <v>0.23300000000000001</v>
      </c>
      <c r="E35" s="1651" t="s">
        <v>1311</v>
      </c>
      <c r="F35" s="146"/>
      <c r="G35" s="121"/>
      <c r="H35" s="121"/>
      <c r="I35" s="121"/>
    </row>
    <row r="36" spans="1:15" ht="15.75" thickBot="1">
      <c r="A36" s="3279" t="s">
        <v>1312</v>
      </c>
      <c r="B36" s="1652" t="s">
        <v>1313</v>
      </c>
      <c r="C36" s="137"/>
      <c r="D36" s="1653"/>
      <c r="E36" s="1567"/>
      <c r="F36" s="1654"/>
      <c r="G36" s="121"/>
      <c r="H36" s="121"/>
      <c r="I36" s="121"/>
    </row>
    <row r="37" spans="1:15" ht="15.75" thickBot="1">
      <c r="A37" s="3280"/>
      <c r="B37" s="1555" t="s">
        <v>1314</v>
      </c>
      <c r="C37" s="139"/>
      <c r="D37" s="1071"/>
      <c r="E37" s="1071"/>
      <c r="F37" s="1654"/>
      <c r="G37" s="121"/>
      <c r="H37" s="121"/>
      <c r="I37" s="121"/>
    </row>
    <row r="38" spans="1:15" ht="15.75" thickBot="1">
      <c r="A38" s="328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6" t="s">
        <v>1326</v>
      </c>
      <c r="B45" s="3257"/>
      <c r="C45" s="3258"/>
      <c r="D45" s="147">
        <f ca="1">ROUND(H101*F45,0)</f>
        <v>22072</v>
      </c>
      <c r="E45" s="148" t="s">
        <v>1327</v>
      </c>
      <c r="F45" s="149">
        <v>1</v>
      </c>
      <c r="G45" s="150" t="s">
        <v>1328</v>
      </c>
      <c r="H45" s="121"/>
      <c r="I45" s="121"/>
      <c r="J45" s="3334" t="s">
        <v>1329</v>
      </c>
      <c r="K45" s="3334"/>
      <c r="L45" s="3334"/>
      <c r="M45" s="3334"/>
      <c r="N45" s="3334"/>
      <c r="O45" s="3334"/>
    </row>
    <row r="46" spans="1:15" ht="14.25" customHeight="1">
      <c r="A46" s="3253" t="s">
        <v>1330</v>
      </c>
      <c r="B46" s="3254"/>
      <c r="C46" s="3254"/>
      <c r="D46" s="3254"/>
      <c r="E46" s="3254"/>
      <c r="F46" s="3254"/>
      <c r="G46" s="3255"/>
      <c r="H46" s="1668"/>
      <c r="I46" s="151"/>
      <c r="J46" s="2308">
        <v>1</v>
      </c>
      <c r="K46" s="3315" t="s">
        <v>1331</v>
      </c>
      <c r="L46" s="3315"/>
      <c r="M46" s="3335"/>
      <c r="N46" s="3335"/>
      <c r="O46" s="3335"/>
    </row>
    <row r="47" spans="1:15" ht="12" customHeight="1">
      <c r="A47" s="152" t="s">
        <v>1332</v>
      </c>
      <c r="B47" s="153"/>
      <c r="C47" s="154"/>
      <c r="D47" s="1024" t="s">
        <v>1333</v>
      </c>
      <c r="E47" s="294" t="s">
        <v>1334</v>
      </c>
      <c r="F47" s="155" t="s">
        <v>1335</v>
      </c>
      <c r="G47" s="2331" t="s">
        <v>1336</v>
      </c>
      <c r="H47" s="2332"/>
      <c r="I47" s="151"/>
      <c r="J47" s="2308">
        <v>2</v>
      </c>
      <c r="K47" s="3315" t="s">
        <v>1337</v>
      </c>
      <c r="L47" s="3315"/>
      <c r="M47" s="3336">
        <f>'数据-取费表'!B2</f>
        <v>45573</v>
      </c>
      <c r="N47" s="3336"/>
      <c r="O47" s="3336"/>
    </row>
    <row r="48" spans="1:15" ht="25.5">
      <c r="A48" s="3284" t="s">
        <v>1338</v>
      </c>
      <c r="B48" s="3267"/>
      <c r="C48" s="326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15" t="s">
        <v>1340</v>
      </c>
      <c r="L48" s="3315"/>
      <c r="M48" s="3337">
        <f ca="1">H101</f>
        <v>22072</v>
      </c>
      <c r="N48" s="3337"/>
      <c r="O48" s="3337"/>
    </row>
    <row r="49" spans="1:35" ht="25.5" customHeight="1">
      <c r="A49" s="2152" t="s">
        <v>1341</v>
      </c>
      <c r="B49" s="3251" t="s">
        <v>1342</v>
      </c>
      <c r="C49" s="3251"/>
      <c r="D49" s="1478">
        <v>0</v>
      </c>
      <c r="E49" s="316" t="s">
        <v>1343</v>
      </c>
      <c r="F49" s="2233" t="s">
        <v>28</v>
      </c>
      <c r="G49" s="3321"/>
      <c r="H49" s="2134" t="s">
        <v>2134</v>
      </c>
      <c r="I49" s="2135"/>
      <c r="J49" s="2308">
        <v>4</v>
      </c>
      <c r="K49" s="3315" t="str">
        <f>IF(项目基本情况!E8="房地产抵押价值","房地产抵押价值","抵押担保权已注销时的房地产抵押价值")</f>
        <v>房地产抵押价值</v>
      </c>
      <c r="L49" s="3315"/>
      <c r="M49" s="3337">
        <f ca="1">IF(项目基本情况!E8="房地产抵押价值",H107,H109)</f>
        <v>22072</v>
      </c>
      <c r="N49" s="3337"/>
      <c r="O49" s="3337"/>
    </row>
    <row r="50" spans="1:35" ht="25.5" customHeight="1">
      <c r="A50" s="2336"/>
      <c r="B50" s="3251" t="s">
        <v>1344</v>
      </c>
      <c r="C50" s="3251"/>
      <c r="D50" s="2189"/>
      <c r="E50" s="323"/>
      <c r="F50" s="2233"/>
      <c r="G50" s="3322"/>
      <c r="H50" s="2136" t="s">
        <v>2135</v>
      </c>
      <c r="I50" s="2135"/>
      <c r="J50" s="3334" t="s">
        <v>1345</v>
      </c>
      <c r="K50" s="3334"/>
      <c r="L50" s="3334"/>
      <c r="M50" s="3334"/>
      <c r="N50" s="3334"/>
      <c r="O50" s="3334"/>
    </row>
    <row r="51" spans="1:35" ht="20.45" customHeight="1">
      <c r="A51" s="2337"/>
      <c r="B51" s="3251" t="s">
        <v>1346</v>
      </c>
      <c r="C51" s="3251"/>
      <c r="D51" s="1024"/>
      <c r="E51" s="319"/>
      <c r="F51" s="2233"/>
      <c r="G51" s="3323"/>
      <c r="H51" s="2136" t="s">
        <v>2136</v>
      </c>
      <c r="I51" s="2135"/>
      <c r="J51" s="2309" t="s">
        <v>1347</v>
      </c>
      <c r="K51" s="3315" t="s">
        <v>1348</v>
      </c>
      <c r="L51" s="3315"/>
      <c r="M51" s="2309" t="s">
        <v>1349</v>
      </c>
      <c r="N51" s="2309" t="s">
        <v>1350</v>
      </c>
      <c r="O51" s="2309" t="s">
        <v>1351</v>
      </c>
    </row>
    <row r="52" spans="1:35" ht="24" customHeight="1">
      <c r="A52" s="2153" t="s">
        <v>1352</v>
      </c>
      <c r="B52" s="3251" t="s">
        <v>1353</v>
      </c>
      <c r="C52" s="3251"/>
      <c r="D52" s="1024">
        <f ca="1">ROUND(D45*'数据-取费表'!B41/(1+'数据-取费表'!C42),0)</f>
        <v>1177</v>
      </c>
      <c r="E52" s="1256" t="s">
        <v>1354</v>
      </c>
      <c r="F52" s="2338">
        <f>'数据-取费表'!B41</f>
        <v>5.6000000000000001E-2</v>
      </c>
      <c r="G52" s="2339"/>
      <c r="H52" s="2329"/>
      <c r="I52" s="1669"/>
      <c r="J52" s="2308">
        <v>1</v>
      </c>
      <c r="K52" s="3316" t="s">
        <v>1355</v>
      </c>
      <c r="L52" s="3316"/>
      <c r="M52" s="2310" t="b">
        <f>D48</f>
        <v>0</v>
      </c>
      <c r="N52" s="2308" t="str">
        <f>E48</f>
        <v>销售额×税（费）率</v>
      </c>
      <c r="O52" s="2311">
        <f>F48</f>
        <v>5.6000000000000001E-2</v>
      </c>
    </row>
    <row r="53" spans="1:35" ht="12" customHeight="1">
      <c r="A53" s="2153" t="s">
        <v>1356</v>
      </c>
      <c r="B53" s="3277" t="s">
        <v>2287</v>
      </c>
      <c r="C53" s="3278"/>
      <c r="D53" s="1024">
        <f ca="1">ROUND(D45*'数据-取费表'!B41/(1+'数据-取费表'!C42),0)</f>
        <v>1177</v>
      </c>
      <c r="E53" s="1256" t="s">
        <v>1354</v>
      </c>
      <c r="F53" s="2338">
        <f>'数据-取费表'!B41</f>
        <v>5.6000000000000001E-2</v>
      </c>
      <c r="G53" s="2339"/>
      <c r="H53" s="2329"/>
      <c r="I53" s="1669"/>
      <c r="J53" s="2308">
        <v>2</v>
      </c>
      <c r="K53" s="3316" t="s">
        <v>1357</v>
      </c>
      <c r="L53" s="3316"/>
      <c r="M53" s="2310">
        <f t="shared" ref="M53:O54" ca="1" si="0">D55</f>
        <v>11</v>
      </c>
      <c r="N53" s="2308" t="str">
        <f t="shared" si="0"/>
        <v>销售额×税（费）率</v>
      </c>
      <c r="O53" s="2311" t="str">
        <f t="shared" si="0"/>
        <v>免征</v>
      </c>
    </row>
    <row r="54" spans="1:35" ht="12" customHeight="1">
      <c r="A54" s="2153" t="s">
        <v>1358</v>
      </c>
      <c r="B54" s="3277" t="s">
        <v>2288</v>
      </c>
      <c r="C54" s="3278"/>
      <c r="D54" s="1024">
        <f ca="1">C68</f>
        <v>1177</v>
      </c>
      <c r="E54" s="319" t="s">
        <v>1359</v>
      </c>
      <c r="F54" s="2338">
        <f>'数据-取费表'!B41</f>
        <v>5.6000000000000001E-2</v>
      </c>
      <c r="G54" s="2339"/>
      <c r="H54" s="2340"/>
      <c r="I54" s="1669"/>
      <c r="J54" s="2308">
        <v>3</v>
      </c>
      <c r="K54" s="3316" t="s">
        <v>1360</v>
      </c>
      <c r="L54" s="3316"/>
      <c r="M54" s="2310">
        <f t="shared" ca="1" si="0"/>
        <v>12493</v>
      </c>
      <c r="N54" s="2308" t="str">
        <f t="shared" si="0"/>
        <v>增值额×税（费）率</v>
      </c>
      <c r="O54" s="2312" t="str">
        <f t="shared" si="0"/>
        <v>免征</v>
      </c>
    </row>
    <row r="55" spans="1:35" ht="24" customHeight="1">
      <c r="A55" s="3266" t="s">
        <v>1361</v>
      </c>
      <c r="B55" s="3267"/>
      <c r="C55" s="3267"/>
      <c r="D55" s="12">
        <f ca="1">IF(H55="个人住宅",0,ROUND(D45*I55,0))</f>
        <v>11</v>
      </c>
      <c r="E55" s="1256" t="s">
        <v>1362</v>
      </c>
      <c r="F55" s="2338" t="str">
        <f>IF(H55="正常",I55,"免征")</f>
        <v>免征</v>
      </c>
      <c r="G55" s="2339"/>
      <c r="H55" s="2335"/>
      <c r="I55" s="157">
        <f>'数据-取费表'!B49</f>
        <v>5.0000000000000001E-4</v>
      </c>
      <c r="J55" s="2308">
        <f>IF(H59="非个人房产","",4)</f>
        <v>4</v>
      </c>
      <c r="K55" s="3316" t="str">
        <f>IF(H59="非个人房产","——","个人所得税")</f>
        <v>个人所得税</v>
      </c>
      <c r="L55" s="3316"/>
      <c r="M55" s="2313">
        <f ca="1">D59</f>
        <v>210</v>
      </c>
      <c r="N55" s="1883" t="str">
        <f>E59</f>
        <v>差额计税</v>
      </c>
      <c r="O55" s="2314">
        <f>F59</f>
        <v>0.01</v>
      </c>
    </row>
    <row r="56" spans="1:35" ht="24.75">
      <c r="A56" s="3266" t="s">
        <v>1363</v>
      </c>
      <c r="B56" s="3267"/>
      <c r="C56" s="3267"/>
      <c r="D56" s="12">
        <f ca="1">IF(H56="个人住宅",D57,D58)</f>
        <v>12493</v>
      </c>
      <c r="E56" s="1256" t="s">
        <v>1364</v>
      </c>
      <c r="F56" s="2338" t="str">
        <f>IF(H56="正常",F58,"免征")</f>
        <v>免征</v>
      </c>
      <c r="G56" s="2341" t="s">
        <v>1365</v>
      </c>
      <c r="H56" s="2342"/>
      <c r="I56" s="1670"/>
      <c r="J56" s="2308" t="str">
        <f>IF(项目基本情况!K6="上海银行",IF(J55="",4,J55+1),"")</f>
        <v/>
      </c>
      <c r="K56" s="3339" t="str">
        <f>IF(项目基本情况!K6="上海银行","其他处置费用","")</f>
        <v/>
      </c>
      <c r="L56" s="3340"/>
      <c r="M56" s="2310" t="str">
        <f>IF(项目基本情况!K6="上海银行",M69,"")</f>
        <v/>
      </c>
      <c r="N56" s="3339" t="str">
        <f>IF(项目基本情况!K6="上海银行","包含处置中涉及的律师、诉讼、拍卖、评估等费用","")</f>
        <v/>
      </c>
      <c r="O56" s="3342"/>
    </row>
    <row r="57" spans="1:35" ht="12.75">
      <c r="A57" s="2153" t="s">
        <v>1341</v>
      </c>
      <c r="B57" s="3277" t="s">
        <v>1366</v>
      </c>
      <c r="C57" s="3278"/>
      <c r="D57" s="1478">
        <v>0</v>
      </c>
      <c r="E57" s="316" t="s">
        <v>1343</v>
      </c>
      <c r="F57" s="294"/>
      <c r="G57" s="2339"/>
      <c r="H57" s="2343"/>
      <c r="I57" s="1670"/>
      <c r="J57" s="3316">
        <f>IF(AND(J55="",J56=""),4,IF(项目基本情况!K6="上海银行",结果表!J56+1,结果表!J55+1))</f>
        <v>5</v>
      </c>
      <c r="K57" s="3316" t="s">
        <v>1367</v>
      </c>
      <c r="L57" s="2315" t="s">
        <v>1368</v>
      </c>
      <c r="M57" s="2316"/>
      <c r="N57" s="2317">
        <f ca="1">SUMIF(M52:M56,"&lt;9e307")</f>
        <v>12714</v>
      </c>
      <c r="O57" s="2318"/>
      <c r="P57" s="2462">
        <f ca="1">N57/M49</f>
        <v>0.57602392171076477</v>
      </c>
    </row>
    <row r="58" spans="1:35" ht="24.75">
      <c r="A58" s="2153" t="s">
        <v>1352</v>
      </c>
      <c r="B58" s="3277" t="s">
        <v>1369</v>
      </c>
      <c r="C58" s="3251"/>
      <c r="D58" s="12">
        <f ca="1">IF(H58="转让取得",C81,C97)</f>
        <v>12493</v>
      </c>
      <c r="E58" s="1256" t="s">
        <v>1364</v>
      </c>
      <c r="F58" s="294" t="s">
        <v>28</v>
      </c>
      <c r="G58" s="2339"/>
      <c r="H58" s="2342"/>
      <c r="I58" s="1670"/>
      <c r="J58" s="3316"/>
      <c r="K58" s="3316"/>
      <c r="L58" s="2315" t="s">
        <v>1370</v>
      </c>
      <c r="M58" s="2319"/>
      <c r="N58" s="2320" t="str">
        <f ca="1">NUMBERSTRING(INT(N57*10000),2)&amp;"元整"</f>
        <v>壹亿贰仟柒佰壹拾肆万元整</v>
      </c>
      <c r="O58" s="2321"/>
    </row>
    <row r="59" spans="1:35" ht="24.75" thickBot="1">
      <c r="A59" s="3319" t="s">
        <v>1371</v>
      </c>
      <c r="B59" s="3320"/>
      <c r="C59" s="3320"/>
      <c r="D59" s="2344">
        <f ca="1">IF(H59="非个人房产","——",IF(H59="个人住宅（满五唯一有凭证）",0,IF(H59="个人其他（无凭证）",ROUND(D45*F59,0),ROUND(C67*F59,0))))</f>
        <v>210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17">
        <f>J57+1</f>
        <v>6</v>
      </c>
      <c r="K59" s="3316" t="s">
        <v>1372</v>
      </c>
      <c r="L59" s="2308" t="s">
        <v>1368</v>
      </c>
      <c r="M59" s="2322"/>
      <c r="N59" s="2323">
        <f ca="1">M49-N57</f>
        <v>9358</v>
      </c>
      <c r="O59" s="2324"/>
    </row>
    <row r="60" spans="1:35" ht="12" customHeight="1">
      <c r="A60" s="1671"/>
      <c r="B60" s="646"/>
      <c r="C60" s="646"/>
      <c r="D60" s="646"/>
      <c r="E60" s="1466"/>
      <c r="F60" s="1670"/>
      <c r="G60" s="1670"/>
      <c r="H60" s="151"/>
      <c r="I60" s="121"/>
      <c r="J60" s="3318"/>
      <c r="K60" s="3316"/>
      <c r="L60" s="2315" t="s">
        <v>1370</v>
      </c>
      <c r="M60" s="2319"/>
      <c r="N60" s="2320" t="str">
        <f ca="1">NUMBERSTRING(INT(N59*10000),2)&amp;"元整"</f>
        <v>玖仟叁佰伍拾捌万元整</v>
      </c>
      <c r="O60" s="2321"/>
    </row>
    <row r="61" spans="1:35" ht="13.5" thickBot="1">
      <c r="A61" s="3264" t="s">
        <v>1373</v>
      </c>
      <c r="B61" s="3264"/>
      <c r="C61" s="3264"/>
      <c r="D61" s="3264"/>
      <c r="E61" s="3264"/>
      <c r="F61" s="1670"/>
      <c r="G61" s="1670"/>
      <c r="H61" s="151"/>
      <c r="I61" s="121"/>
      <c r="J61" s="2308">
        <f>J59+1</f>
        <v>7</v>
      </c>
      <c r="K61" s="3316" t="s">
        <v>1374</v>
      </c>
      <c r="L61" s="3316"/>
      <c r="M61" s="2325"/>
      <c r="N61" s="2326">
        <f ca="1">ROUND(N59*10000/'数据-汇总表'!E3,0)</f>
        <v>10356</v>
      </c>
      <c r="O61" s="2327"/>
    </row>
    <row r="62" spans="1:35" ht="12.75">
      <c r="A62" s="3282" t="s">
        <v>1375</v>
      </c>
      <c r="B62" s="3283"/>
      <c r="C62" s="1865"/>
      <c r="D62" s="1865" t="s">
        <v>1376</v>
      </c>
      <c r="E62" s="158" t="s">
        <v>1377</v>
      </c>
      <c r="F62" s="1670"/>
      <c r="G62" s="1670"/>
      <c r="H62" s="151"/>
      <c r="I62" s="121"/>
    </row>
    <row r="63" spans="1:35" ht="12.75">
      <c r="A63" s="165" t="s">
        <v>330</v>
      </c>
      <c r="B63" s="159" t="s">
        <v>1378</v>
      </c>
      <c r="C63" s="2348">
        <f ca="1">ROUND((C64+C65)/(1+'数据-取费表'!C42),0)</f>
        <v>21021</v>
      </c>
      <c r="D63" s="159"/>
      <c r="E63" s="160"/>
      <c r="F63" s="1670"/>
      <c r="G63" s="1670"/>
      <c r="H63" s="151"/>
      <c r="I63" s="121"/>
      <c r="J63" s="3341" t="s">
        <v>1379</v>
      </c>
      <c r="K63" s="1245" t="s">
        <v>1380</v>
      </c>
      <c r="L63" s="1245">
        <f ca="1">IF(M49&gt;10000,M49*0.5%,IF(AND(M49&gt;1000,M49&lt;=10000),M49*1%,IF(AND(M49&gt;100,M49&lt;=1000),M49*3%,IF(AND(M49&gt;10,M49&lt;=100),M49*5%,M49*8%))))</f>
        <v>110.36</v>
      </c>
      <c r="M63" s="294">
        <f ca="1">ROUND(L63,1)</f>
        <v>110.4</v>
      </c>
      <c r="N63" s="2328"/>
      <c r="Z63" s="1623"/>
      <c r="AI63" s="1561"/>
    </row>
    <row r="64" spans="1:35" ht="14.25" customHeight="1">
      <c r="A64" s="161" t="s">
        <v>325</v>
      </c>
      <c r="B64" s="162" t="s">
        <v>1381</v>
      </c>
      <c r="C64" s="2349">
        <f ca="1">D45</f>
        <v>22072</v>
      </c>
      <c r="D64" s="162" t="s">
        <v>26</v>
      </c>
      <c r="E64" s="164"/>
      <c r="F64" s="1670"/>
      <c r="G64" s="1670"/>
      <c r="H64" s="151"/>
      <c r="I64" s="121"/>
      <c r="J64" s="3341"/>
      <c r="K64" s="1245" t="s">
        <v>1382</v>
      </c>
      <c r="L64" s="1245">
        <f ca="1">IF(M49&gt;2000,M49*0.5%,IF(AND(M49&gt;1000,M49&lt;=2000),M49*0.6%,IF(AND(M49&gt;500,M49&lt;=1000),M49*0.7%,IF(AND(M49&gt;200,M49&lt;=500),M49*0.8%,IF(AND(M49&gt;100,M49&lt;=200),M49*0.9%,IF(AND(M49&gt;50,M49&lt;=100),M49*1%,IF(AND(M49&gt;20,M49&lt;=50),M49*1.5%,IF(AND(M49&gt;10,M49&lt;=20),M49*2%,IF(AND(M49&gt;1,M49&lt;=10),M49*2.5%)))))))))</f>
        <v>110.36</v>
      </c>
      <c r="M64" s="294">
        <f t="shared" ref="M64:M65" ca="1" si="1">ROUND(L64,1)</f>
        <v>110.4</v>
      </c>
      <c r="N64" s="2329" t="s">
        <v>1383</v>
      </c>
      <c r="Z64" s="1623"/>
      <c r="AI64" s="1561"/>
    </row>
    <row r="65" spans="1:35" ht="14.25" customHeight="1">
      <c r="A65" s="161" t="s">
        <v>326</v>
      </c>
      <c r="B65" s="162" t="s">
        <v>1384</v>
      </c>
      <c r="C65" s="2350"/>
      <c r="D65" s="162"/>
      <c r="E65" s="164"/>
      <c r="F65" s="1670"/>
      <c r="G65" s="1670"/>
      <c r="H65" s="151"/>
      <c r="I65" s="121"/>
      <c r="J65" s="3341"/>
      <c r="K65" s="1245" t="s">
        <v>1385</v>
      </c>
      <c r="L65" s="1245">
        <f ca="1">IF(M49&gt;1000,M49*0.1%,IF(AND(M49&gt;500,M49&lt;=1000),M49*0.5%,IF(AND(M49&gt;50,M49&lt;=500),M49*1%,IF(AND(M49&gt;1,M49&lt;=50),M49*1.5%))))</f>
        <v>22.071999999999999</v>
      </c>
      <c r="M65" s="294">
        <f t="shared" ca="1" si="1"/>
        <v>22.1</v>
      </c>
      <c r="N65" s="2329" t="s">
        <v>1383</v>
      </c>
      <c r="Z65" s="1623"/>
      <c r="AI65" s="1561"/>
    </row>
    <row r="66" spans="1:35" ht="14.25" customHeight="1">
      <c r="A66" s="165" t="s">
        <v>327</v>
      </c>
      <c r="B66" s="166" t="s">
        <v>1386</v>
      </c>
      <c r="C66" s="2351"/>
      <c r="D66" s="166" t="s">
        <v>26</v>
      </c>
      <c r="E66" s="1251" t="s">
        <v>671</v>
      </c>
      <c r="F66" s="1670"/>
      <c r="G66" s="1670"/>
      <c r="H66" s="151"/>
      <c r="I66" s="121"/>
      <c r="J66" s="3341"/>
      <c r="K66" s="1245" t="s">
        <v>1387</v>
      </c>
      <c r="L66" s="1245">
        <f ca="1">M49*0.5%</f>
        <v>110.36</v>
      </c>
      <c r="M66" s="294">
        <f ca="1">IF(L66&gt;0.5,0.5,ROUND(L66,0))</f>
        <v>0.5</v>
      </c>
      <c r="N66" s="2329" t="s">
        <v>1388</v>
      </c>
      <c r="Z66" s="1623"/>
      <c r="AI66" s="1561"/>
    </row>
    <row r="67" spans="1:35" ht="14.25" customHeight="1">
      <c r="A67" s="165" t="s">
        <v>328</v>
      </c>
      <c r="B67" s="166" t="s">
        <v>1389</v>
      </c>
      <c r="C67" s="2352">
        <f ca="1">C63-C66</f>
        <v>21021</v>
      </c>
      <c r="D67" s="162" t="s">
        <v>26</v>
      </c>
      <c r="E67" s="164"/>
      <c r="F67" s="1670"/>
      <c r="G67" s="1670"/>
      <c r="H67" s="151"/>
      <c r="I67" s="121"/>
      <c r="J67" s="3341"/>
      <c r="K67" s="1245" t="s">
        <v>1390</v>
      </c>
      <c r="L67" s="1245">
        <f ca="1">IF(M49&gt;=10000,(8.25+(M49-10000)*0.01%),IF(AND(M49&gt;=8000,M49&lt;10000),(7.85+(M49-8000)*0.02%),IF(AND(M49&gt;=5000,M49&lt;8000),(6.65+(M49-5000)*0.04%),IF(AND(M49&gt;=2000,M49&lt;5000),(4.25+(PM49-2000)*0.08%),IF(AND(M49&gt;=1000,M49&lt;2000),(2.75+(M49-1000)*0.15%),IF(AND(M49&gt;=100,M49&lt;1000),(0.5+(M49-100)*0.25%),IF(AND(M49&gt;0,M49&lt;100),M49*0.5%)))))))</f>
        <v>9.4572000000000003</v>
      </c>
      <c r="M67" s="294">
        <f ca="1">ROUND(L67*0.9,1)</f>
        <v>8.5</v>
      </c>
      <c r="N67" s="2328"/>
      <c r="Z67" s="1623"/>
      <c r="AI67" s="1561"/>
    </row>
    <row r="68" spans="1:35" ht="14.25" customHeight="1" thickBot="1">
      <c r="A68" s="168" t="s">
        <v>329</v>
      </c>
      <c r="B68" s="169" t="s">
        <v>1391</v>
      </c>
      <c r="C68" s="2353">
        <f ca="1">IF(C67&lt;=0,0,ROUND(C67*D68,0))</f>
        <v>1177</v>
      </c>
      <c r="D68" s="2354">
        <f>'数据-取费表'!B41</f>
        <v>5.6000000000000001E-2</v>
      </c>
      <c r="E68" s="170"/>
      <c r="F68" s="1670"/>
      <c r="G68" s="1670"/>
      <c r="H68" s="151"/>
      <c r="I68" s="121"/>
      <c r="J68" s="3341"/>
      <c r="K68" s="1245" t="s">
        <v>1392</v>
      </c>
      <c r="L68" s="1245">
        <f ca="1">IF(M49&gt;10000,M49*0.5%,IF(AND(M49&gt;5000,M49&lt;=10000),M49*1%,IF(AND(M49&gt;1000,M49&lt;=5000),M49*2%,IF(AND(M49&gt;200,M49&lt;=1000),M49*3%,M49*5%))))</f>
        <v>110.36</v>
      </c>
      <c r="M68" s="294">
        <f ca="1">ROUND(L68,1)</f>
        <v>110.4</v>
      </c>
      <c r="N68" s="2328"/>
      <c r="Z68" s="1623"/>
      <c r="AI68" s="1561"/>
    </row>
    <row r="69" spans="1:35" ht="16.5" customHeight="1">
      <c r="A69" s="1672"/>
      <c r="B69" s="1673"/>
      <c r="C69" s="1674"/>
      <c r="D69" s="1675"/>
      <c r="E69" s="1676"/>
      <c r="F69" s="1466"/>
      <c r="G69" s="1466"/>
      <c r="H69" s="1467"/>
      <c r="I69" s="646"/>
      <c r="J69" s="3341"/>
      <c r="K69" s="1245" t="s">
        <v>1393</v>
      </c>
      <c r="L69" s="1245"/>
      <c r="M69" s="294">
        <f ca="1">ROUND(SUM(M63:M68),0)</f>
        <v>362</v>
      </c>
      <c r="N69" s="2330">
        <f ca="1">M69/M49</f>
        <v>1.6400869880391446E-2</v>
      </c>
      <c r="Z69" s="1623"/>
      <c r="AI69" s="1561"/>
    </row>
    <row r="70" spans="1:35" s="642" customFormat="1" ht="15"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2" t="s">
        <v>1375</v>
      </c>
      <c r="B71" s="328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21021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126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77" t="s">
        <v>1402</v>
      </c>
      <c r="F76" s="3251"/>
      <c r="G76" s="3251"/>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126</v>
      </c>
      <c r="D78" s="2361">
        <f>'数据-取费表'!B43</f>
        <v>6.000000000000001E-3</v>
      </c>
      <c r="E78" s="3261" t="s">
        <v>1406</v>
      </c>
      <c r="F78" s="3262"/>
      <c r="G78" s="3262"/>
      <c r="H78" s="32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20895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165.83333333333334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12493</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2" t="s">
        <v>1375</v>
      </c>
      <c r="B84" s="328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21021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126</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43" t="s">
        <v>2129</v>
      </c>
      <c r="H90" s="3344"/>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1" t="s">
        <v>1419</v>
      </c>
      <c r="F91" s="3262"/>
      <c r="G91" s="326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1" t="s">
        <v>1422</v>
      </c>
      <c r="F92" s="3262"/>
      <c r="G92" s="3262"/>
      <c r="H92" s="3271"/>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126</v>
      </c>
      <c r="D93" s="2361">
        <f>'数据-取费表'!B43</f>
        <v>6.000000000000001E-3</v>
      </c>
      <c r="E93" s="3261" t="s">
        <v>1406</v>
      </c>
      <c r="F93" s="3262"/>
      <c r="G93" s="3262"/>
      <c r="H93" s="32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72" t="s">
        <v>1426</v>
      </c>
      <c r="F94" s="3273"/>
      <c r="G94" s="3273"/>
      <c r="H94" s="32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20895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165.83333333333334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12493</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63"/>
      <c r="E100" s="3246" t="s">
        <v>1429</v>
      </c>
      <c r="F100" s="3246"/>
      <c r="G100" s="3246"/>
      <c r="H100" s="3263"/>
      <c r="I100" s="121"/>
    </row>
    <row r="101" spans="1:35" ht="18.75" customHeight="1">
      <c r="A101" s="3324" t="s">
        <v>1430</v>
      </c>
      <c r="B101" s="3325"/>
      <c r="C101" s="2369" t="str">
        <f>C4</f>
        <v>成本法</v>
      </c>
      <c r="D101" s="2370" t="str">
        <f>D4</f>
        <v>收益法（汇总）</v>
      </c>
      <c r="E101" s="3338" t="s">
        <v>1431</v>
      </c>
      <c r="F101" s="3295"/>
      <c r="G101" s="1687" t="s">
        <v>1432</v>
      </c>
      <c r="H101" s="2379">
        <f ca="1">H118</f>
        <v>22072</v>
      </c>
      <c r="I101" s="121"/>
    </row>
    <row r="102" spans="1:35" ht="18.75" customHeight="1">
      <c r="A102" s="3297" t="s">
        <v>1433</v>
      </c>
      <c r="B102" s="2368" t="s">
        <v>1432</v>
      </c>
      <c r="C102" s="2369">
        <f ca="1">IF(D32="楼面单价",ROUND(C19,0),C19)</f>
        <v>26292</v>
      </c>
      <c r="D102" s="2370">
        <f ca="1">IF(D32="楼面单价",ROUND(D19,0),D19)</f>
        <v>12226</v>
      </c>
      <c r="E102" s="3338"/>
      <c r="F102" s="3295"/>
      <c r="G102" s="1687" t="s">
        <v>1434</v>
      </c>
      <c r="H102" s="2339">
        <f ca="1">I118</f>
        <v>24427</v>
      </c>
      <c r="I102" s="121"/>
    </row>
    <row r="103" spans="1:35" ht="42.75" customHeight="1">
      <c r="A103" s="3297"/>
      <c r="B103" s="2368" t="s">
        <v>1434</v>
      </c>
      <c r="C103" s="2371">
        <f ca="1">C20</f>
        <v>29097</v>
      </c>
      <c r="D103" s="2372">
        <f ca="1">D20</f>
        <v>13530</v>
      </c>
      <c r="E103" s="3332" t="s">
        <v>1435</v>
      </c>
      <c r="F103" s="3333"/>
      <c r="G103" s="1688" t="s">
        <v>1436</v>
      </c>
      <c r="H103" s="2379">
        <f>IF(D36="正常操作",H104+H105+H106,H105+H106)</f>
        <v>0</v>
      </c>
      <c r="I103" s="121"/>
    </row>
    <row r="104" spans="1:35" ht="18.75" customHeight="1">
      <c r="A104" s="3297" t="s">
        <v>1437</v>
      </c>
      <c r="B104" s="2373" t="s">
        <v>1432</v>
      </c>
      <c r="C104" s="2374">
        <f ca="1">H118</f>
        <v>22072</v>
      </c>
      <c r="D104" s="2375"/>
      <c r="E104" s="1555" t="s">
        <v>1438</v>
      </c>
      <c r="F104" s="1548"/>
      <c r="G104" s="1688" t="s">
        <v>1436</v>
      </c>
      <c r="H104" s="2380">
        <f>IF(D36="同一抵押权人同一抵押物续贷",C36&amp;"（续贷，未扣减，详见特别提示）",C36)</f>
        <v>0</v>
      </c>
      <c r="I104" s="121"/>
    </row>
    <row r="105" spans="1:35" ht="18.75" customHeight="1" thickBot="1">
      <c r="A105" s="3298"/>
      <c r="B105" s="2376" t="s">
        <v>1434</v>
      </c>
      <c r="C105" s="2377">
        <f ca="1">I118</f>
        <v>24427</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4" t="str">
        <f>IF(项目基本情况!E8="已注销","——","3.房地产抵押价值")</f>
        <v>3.房地产抵押价值</v>
      </c>
      <c r="F107" s="3295"/>
      <c r="G107" s="1687" t="s">
        <v>1432</v>
      </c>
      <c r="H107" s="2379">
        <f ca="1">IF(E107="——","——",H101-H103)</f>
        <v>22072</v>
      </c>
      <c r="I107" s="121"/>
    </row>
    <row r="108" spans="1:35" ht="18.75" customHeight="1">
      <c r="A108" s="121"/>
      <c r="B108" s="121"/>
      <c r="C108" s="121"/>
      <c r="D108" s="121"/>
      <c r="E108" s="3294"/>
      <c r="F108" s="3295"/>
      <c r="G108" s="1687" t="s">
        <v>1434</v>
      </c>
      <c r="H108" s="2339">
        <f ca="1">IF(H107=H101,H102,ROUND(H107*10000/'数据-汇总表'!E3,0))</f>
        <v>24427</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7" t="s">
        <v>1432</v>
      </c>
      <c r="H109" s="2382" t="str">
        <f>IF(E109="——","——",H101-H105-H106)</f>
        <v>——</v>
      </c>
      <c r="I109" s="121"/>
    </row>
    <row r="110" spans="1:35" ht="18.75" customHeight="1">
      <c r="A110" s="121"/>
      <c r="B110" s="121"/>
      <c r="C110" s="121"/>
      <c r="D110" s="121"/>
      <c r="E110" s="3294"/>
      <c r="F110" s="3295"/>
      <c r="G110" s="1687" t="s">
        <v>1434</v>
      </c>
      <c r="H110" s="2339"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7" t="s">
        <v>1432</v>
      </c>
      <c r="H111" s="2379" t="str">
        <f>IF(E111="——","——",N59)</f>
        <v>——</v>
      </c>
      <c r="I111" s="121"/>
    </row>
    <row r="112" spans="1:35" ht="18.75" customHeight="1" thickBot="1">
      <c r="A112" s="121"/>
      <c r="B112" s="121"/>
      <c r="C112" s="121"/>
      <c r="D112" s="121"/>
      <c r="E112" s="3327"/>
      <c r="F112" s="3328"/>
      <c r="G112" s="1690" t="s">
        <v>1434</v>
      </c>
      <c r="H112" s="2383"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5" t="s">
        <v>1443</v>
      </c>
      <c r="B116" s="3300" t="s">
        <v>1444</v>
      </c>
      <c r="C116" s="3300" t="s">
        <v>1445</v>
      </c>
      <c r="D116" s="3313" t="s">
        <v>1446</v>
      </c>
      <c r="E116" s="3314"/>
      <c r="F116" s="3308" t="s">
        <v>1447</v>
      </c>
      <c r="G116" s="3308"/>
      <c r="H116" s="3265" t="s">
        <v>1448</v>
      </c>
      <c r="I116" s="3265"/>
    </row>
    <row r="117" spans="1:27" ht="18.75" customHeight="1">
      <c r="A117" s="3265"/>
      <c r="B117" s="3301"/>
      <c r="C117" s="3301"/>
      <c r="D117" s="2150" t="s">
        <v>1449</v>
      </c>
      <c r="E117" s="2150" t="s">
        <v>1450</v>
      </c>
      <c r="F117" s="2150" t="s">
        <v>1449</v>
      </c>
      <c r="G117" s="2150" t="s">
        <v>1451</v>
      </c>
      <c r="H117" s="2150" t="s">
        <v>1449</v>
      </c>
      <c r="I117" s="2150" t="s">
        <v>1451</v>
      </c>
    </row>
    <row r="118" spans="1:27" ht="24.75" customHeight="1">
      <c r="A118" s="2384" t="str">
        <f>项目基本情况!S2</f>
        <v>北京市靛厂路11号房地产</v>
      </c>
      <c r="B118" s="2150">
        <f>M18</f>
        <v>9035.91</v>
      </c>
      <c r="C118" s="2150">
        <f>M19</f>
        <v>0</v>
      </c>
      <c r="D118" s="2150">
        <f ca="1">ROUND(IF(D32="总价",C34,E118*B118/10000),0)</f>
        <v>16929</v>
      </c>
      <c r="E118" s="2150">
        <f ca="1">ROUND(IF(C33="自定义",IF(D32="楼面单价",C34,D118*10000/B118),I118-G118),0)</f>
        <v>18735</v>
      </c>
      <c r="F118" s="2150">
        <f ca="1">ROUND(IF(D32="总价",C35,G118*B118/10000),0)</f>
        <v>5143</v>
      </c>
      <c r="G118" s="2150">
        <f ca="1">ROUND(IF(D32="楼面单价",C35,F118*10000/B118),0)</f>
        <v>5692</v>
      </c>
      <c r="H118" s="2150">
        <f ca="1">ROUND(IF(D32="总价",C32,I118*B118/10000),0)</f>
        <v>22072</v>
      </c>
      <c r="I118" s="2150">
        <f ca="1">ROUND(IF(D32="楼面单价",C32,H118*10000/B118),0)</f>
        <v>24427</v>
      </c>
    </row>
    <row r="119" spans="1:27" ht="18.75" customHeight="1">
      <c r="A119" s="3265" t="s">
        <v>1452</v>
      </c>
      <c r="B119" s="3265"/>
      <c r="C119" s="3265"/>
      <c r="D119" s="3305" t="str">
        <f ca="1">NUMBERSTRING(INT(D118*10000),2)&amp;"元整"</f>
        <v>壹亿陆仟玖佰贰拾玖万元整</v>
      </c>
      <c r="E119" s="3307"/>
      <c r="F119" s="3305" t="str">
        <f ca="1">NUMBERSTRING(INT(F118*10000),2)&amp;"元整"</f>
        <v>伍仟壹佰肆拾叁万元整</v>
      </c>
      <c r="G119" s="3307"/>
      <c r="H119" s="3305" t="str">
        <f ca="1">NUMBERSTRING(INT(H118*10000),2)&amp;"元整"</f>
        <v>贰亿贰仟零柒拾贰万元整</v>
      </c>
      <c r="I119" s="3307"/>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房地产抵押价值</v>
      </c>
      <c r="B122" s="3296"/>
      <c r="C122" s="3296"/>
      <c r="D122" s="3329">
        <f ca="1">H107</f>
        <v>22072</v>
      </c>
      <c r="E122" s="3330"/>
      <c r="F122" s="3330"/>
      <c r="G122" s="3330"/>
      <c r="H122" s="3330"/>
      <c r="I122" s="3331"/>
      <c r="AA122" s="684"/>
    </row>
    <row r="123" spans="1:27" ht="18.75" customHeight="1">
      <c r="A123" s="3265" t="s">
        <v>1452</v>
      </c>
      <c r="B123" s="3265"/>
      <c r="C123" s="3265"/>
      <c r="D123" s="3305" t="str">
        <f ca="1">NUMBERSTRING(INT(D122*10000),2)&amp;"元整"</f>
        <v>贰亿贰仟零柒拾贰万元整</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1452</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1452</v>
      </c>
      <c r="B127" s="3265"/>
      <c r="C127" s="3265"/>
      <c r="D127" s="3305" t="e">
        <f>NUMBERSTRING(INT(D126*10000),2)&amp;"元整"</f>
        <v>#VALUE!</v>
      </c>
      <c r="E127" s="3306"/>
      <c r="F127" s="3306"/>
      <c r="G127" s="3306"/>
      <c r="H127" s="3306"/>
      <c r="I127" s="3307"/>
      <c r="AA127" s="684"/>
    </row>
    <row r="128" spans="1:27" ht="21.75" customHeight="1">
      <c r="A128" s="3312" t="s">
        <v>1453</v>
      </c>
      <c r="B128" s="3312"/>
      <c r="C128" s="3312"/>
      <c r="D128" s="3312"/>
      <c r="E128" s="3312"/>
      <c r="F128" s="3312"/>
      <c r="G128" s="3312"/>
      <c r="H128" s="3312"/>
      <c r="I128" s="331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北京市靛厂路11号房地产抵押价值预评估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29" zoomScale="85" zoomScaleNormal="60" zoomScaleSheetLayoutView="85" workbookViewId="0">
      <selection activeCell="M19" sqref="M19"/>
    </sheetView>
  </sheetViews>
  <sheetFormatPr defaultColWidth="9" defaultRowHeight="14.25"/>
  <cols>
    <col min="1" max="1" width="14.375" style="347" customWidth="1"/>
    <col min="2" max="2" width="15.75" style="347" customWidth="1"/>
    <col min="3" max="3" width="20.12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15867</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17560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ht="60.75" customHeight="1">
      <c r="A5" s="348"/>
      <c r="B5" s="349"/>
      <c r="C5" s="3408" t="s">
        <v>1673</v>
      </c>
      <c r="D5" s="3409"/>
      <c r="E5" s="3415" t="str">
        <f>土地案例!A2</f>
        <v>北京丽泽金融商务区北区A地块建设及综合治理项目FT00-0609-0037(2)地块B4综合性商业金融服务业用地</v>
      </c>
      <c r="F5" s="3416"/>
      <c r="G5" s="3408" t="str">
        <f>土地案例!A3</f>
        <v>北京市丰台区丽泽金融商务区FT00-0612-0016等地块F3其他类多功能用地、S32公交场站设施用地</v>
      </c>
      <c r="H5" s="3409"/>
      <c r="I5" s="3408" t="str">
        <f>土地案例!A4</f>
        <v>北京市丰台区丽泽金融商务区D-01地块B4综合性商业金融服务业用地</v>
      </c>
      <c r="J5" s="3409"/>
      <c r="K5" s="537"/>
      <c r="L5" s="2484"/>
      <c r="M5" s="2485"/>
      <c r="N5" s="2485"/>
      <c r="O5" s="2485"/>
      <c r="P5" s="3396"/>
      <c r="Q5" s="3397"/>
      <c r="R5" s="3402"/>
      <c r="S5" s="3403"/>
      <c r="T5" s="3402"/>
      <c r="U5" s="3403"/>
      <c r="V5" s="3376"/>
      <c r="W5" s="3376"/>
      <c r="X5" s="1265"/>
      <c r="Y5" s="3402"/>
      <c r="Z5" s="3403"/>
      <c r="AA5" s="3388"/>
      <c r="AB5" s="3388"/>
      <c r="AC5" s="3388"/>
    </row>
    <row r="6" spans="1:29" ht="15.75" thickBot="1">
      <c r="A6" s="350"/>
      <c r="B6" s="351"/>
      <c r="C6" s="3406" t="s">
        <v>1677</v>
      </c>
      <c r="D6" s="3407"/>
      <c r="E6" s="3413" t="s">
        <v>1677</v>
      </c>
      <c r="F6" s="3414"/>
      <c r="G6" s="3406" t="s">
        <v>1677</v>
      </c>
      <c r="H6" s="3407"/>
      <c r="I6" s="3406" t="s">
        <v>1677</v>
      </c>
      <c r="J6" s="3407"/>
      <c r="K6" s="537" t="s">
        <v>1678</v>
      </c>
      <c r="L6" s="2484"/>
      <c r="M6" s="2485"/>
      <c r="N6" s="2485"/>
      <c r="O6" s="2485"/>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45573</v>
      </c>
      <c r="D7" s="355">
        <v>100</v>
      </c>
      <c r="E7" s="356">
        <f>土地案例!AG2</f>
        <v>45288.000497685185</v>
      </c>
      <c r="F7" s="357">
        <f>SUMIF(69:69,YEAR(E7)&amp;"-"&amp;INT((MONTH(E7)+2)/3),70:70)</f>
        <v>99.199999999999989</v>
      </c>
      <c r="G7" s="1822">
        <f>土地案例!AG3</f>
        <v>45090.000497685185</v>
      </c>
      <c r="H7" s="355">
        <f>SUMIF(69:69,YEAR(G7)&amp;"-"&amp;INT((MONTH(G7)+2)/3),70:70)</f>
        <v>98.799999999999983</v>
      </c>
      <c r="I7" s="1822">
        <f>土地案例!AG4</f>
        <v>44798.000497685185</v>
      </c>
      <c r="J7" s="355">
        <f>SUMIF(69:69,YEAR(I7)&amp;"-"&amp;INT((MONTH(I7)+2)/3),70:70)</f>
        <v>98.199999999999974</v>
      </c>
      <c r="K7" s="38"/>
      <c r="L7" s="2486"/>
      <c r="M7" s="2438"/>
      <c r="N7" s="2438"/>
      <c r="O7" s="2438"/>
      <c r="P7" s="3410" t="s">
        <v>1680</v>
      </c>
      <c r="Q7" s="3412"/>
      <c r="R7" s="664" t="s">
        <v>14</v>
      </c>
      <c r="S7" s="665">
        <f t="shared" ref="S7:S15" si="0">F7</f>
        <v>99.199999999999989</v>
      </c>
      <c r="T7" s="664" t="s">
        <v>14</v>
      </c>
      <c r="U7" s="665">
        <f t="shared" ref="U7:U15" si="1">H7</f>
        <v>98.799999999999983</v>
      </c>
      <c r="V7" s="664" t="s">
        <v>14</v>
      </c>
      <c r="W7" s="665">
        <f t="shared" ref="W7:W15" si="2">J7</f>
        <v>98.199999999999974</v>
      </c>
      <c r="X7" s="666"/>
      <c r="Y7" s="3410" t="s">
        <v>1680</v>
      </c>
      <c r="Z7" s="3411"/>
      <c r="AA7" s="50">
        <f>D7/F7</f>
        <v>1.0080645161290325</v>
      </c>
      <c r="AB7" s="50">
        <f>D7/H7</f>
        <v>1.0121457489878545</v>
      </c>
      <c r="AC7" s="50">
        <f>D7/J7</f>
        <v>1.0183299389002038</v>
      </c>
    </row>
    <row r="8" spans="1:29" s="102"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6"/>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45" si="3">D8/F8</f>
        <v>1</v>
      </c>
      <c r="AB8" s="50">
        <f t="shared" ref="AB8:AB45" si="4">D8/H8</f>
        <v>1</v>
      </c>
      <c r="AC8" s="50">
        <f t="shared" ref="AC8:AC45" si="5">D8/J8</f>
        <v>1</v>
      </c>
    </row>
    <row r="9" spans="1:29" s="102" customFormat="1">
      <c r="A9" s="359" t="s">
        <v>1684</v>
      </c>
      <c r="B9" s="60" t="s">
        <v>1685</v>
      </c>
      <c r="C9" s="1825" t="s">
        <v>3530</v>
      </c>
      <c r="D9" s="59">
        <v>100</v>
      </c>
      <c r="E9" s="1825" t="s">
        <v>3530</v>
      </c>
      <c r="F9" s="59">
        <f>SUMIF(74:74,E9,75:75)-SUMIF(74:74,C9,75:75)+100</f>
        <v>100</v>
      </c>
      <c r="G9" s="1825" t="s">
        <v>3530</v>
      </c>
      <c r="H9" s="59">
        <f>SUMIF(74:74,G9,75:75)-SUMIF(74:74,C9,75:75)+100</f>
        <v>100</v>
      </c>
      <c r="I9" s="1825" t="s">
        <v>3530</v>
      </c>
      <c r="J9" s="59">
        <f>SUMIF(74:74,I9,75:75)-SUMIF(74:74,C9,75:75)+100</f>
        <v>100</v>
      </c>
      <c r="K9" s="38"/>
      <c r="L9" s="2486"/>
      <c r="M9" s="2438"/>
      <c r="N9" s="2438"/>
      <c r="O9" s="2538"/>
      <c r="P9" s="3375"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118</v>
      </c>
      <c r="G10" s="402"/>
      <c r="H10" s="119">
        <f>ROUND(100/'数据-取费表'!G16,0)</f>
        <v>118</v>
      </c>
      <c r="I10" s="402"/>
      <c r="J10" s="119">
        <f>ROUND(100/'数据-取费表'!G16,0)</f>
        <v>118</v>
      </c>
      <c r="K10" s="592"/>
      <c r="L10" s="2487"/>
      <c r="M10" s="2488"/>
      <c r="N10" s="2488"/>
      <c r="O10" s="2539"/>
      <c r="P10" s="3375"/>
      <c r="Q10" s="530" t="str">
        <f t="shared" si="6"/>
        <v>土地使用年限（年）</v>
      </c>
      <c r="R10" s="664" t="s">
        <v>14</v>
      </c>
      <c r="S10" s="665">
        <f t="shared" si="0"/>
        <v>118</v>
      </c>
      <c r="T10" s="664" t="s">
        <v>14</v>
      </c>
      <c r="U10" s="665">
        <f t="shared" si="1"/>
        <v>118</v>
      </c>
      <c r="V10" s="664" t="s">
        <v>14</v>
      </c>
      <c r="W10" s="665">
        <f t="shared" si="2"/>
        <v>118</v>
      </c>
      <c r="X10" s="666"/>
      <c r="Y10" s="3252"/>
      <c r="Z10" s="50" t="str">
        <f t="shared" si="7"/>
        <v>土地使用年限（年）</v>
      </c>
      <c r="AA10" s="50">
        <f t="shared" si="3"/>
        <v>0.84745762711864403</v>
      </c>
      <c r="AB10" s="50">
        <f t="shared" si="4"/>
        <v>0.84745762711864403</v>
      </c>
      <c r="AC10" s="50">
        <f t="shared" si="5"/>
        <v>0.84745762711864403</v>
      </c>
    </row>
    <row r="11" spans="1:29" ht="15">
      <c r="A11" s="367"/>
      <c r="B11" s="364" t="s">
        <v>1689</v>
      </c>
      <c r="C11" s="368">
        <v>3.65</v>
      </c>
      <c r="D11" s="119">
        <v>100</v>
      </c>
      <c r="E11" s="368">
        <v>7</v>
      </c>
      <c r="F11" s="119">
        <f>LOOKUP(E11,79:79,80:80)-LOOKUP(C11,79:79,80:80)+100</f>
        <v>92</v>
      </c>
      <c r="G11" s="369">
        <f>[2]土地案例!S3</f>
        <v>4.4000000000000004</v>
      </c>
      <c r="H11" s="119">
        <f>LOOKUP(G11,79:79,80:80)-LOOKUP(C11,79:79,80:80)+100</f>
        <v>98</v>
      </c>
      <c r="I11" s="368">
        <v>6.33</v>
      </c>
      <c r="J11" s="119">
        <f>LOOKUP(I11,79:79,80:80)-LOOKUP(C11,79:79,80:80)+100</f>
        <v>94</v>
      </c>
      <c r="K11" s="593">
        <v>2</v>
      </c>
      <c r="L11" s="2489"/>
      <c r="M11" s="2485"/>
      <c r="N11" s="2485"/>
      <c r="O11" s="2540"/>
      <c r="P11" s="3375"/>
      <c r="Q11" s="530" t="str">
        <f t="shared" si="6"/>
        <v>容积率</v>
      </c>
      <c r="R11" s="664" t="s">
        <v>14</v>
      </c>
      <c r="S11" s="665">
        <f t="shared" si="0"/>
        <v>92</v>
      </c>
      <c r="T11" s="664" t="s">
        <v>14</v>
      </c>
      <c r="U11" s="665">
        <f t="shared" si="1"/>
        <v>98</v>
      </c>
      <c r="V11" s="664" t="s">
        <v>14</v>
      </c>
      <c r="W11" s="665">
        <f t="shared" si="2"/>
        <v>94</v>
      </c>
      <c r="X11" s="666"/>
      <c r="Y11" s="3252"/>
      <c r="Z11" s="50" t="str">
        <f t="shared" si="7"/>
        <v>容积率</v>
      </c>
      <c r="AA11" s="50">
        <f t="shared" si="3"/>
        <v>1.0869565217391304</v>
      </c>
      <c r="AB11" s="50">
        <f t="shared" si="4"/>
        <v>1.0204081632653061</v>
      </c>
      <c r="AC11" s="50">
        <f t="shared" si="5"/>
        <v>1.0638297872340425</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75"/>
      <c r="Q12" s="530" t="str">
        <f t="shared" si="6"/>
        <v>配建</v>
      </c>
      <c r="R12" s="664" t="s">
        <v>14</v>
      </c>
      <c r="S12" s="665">
        <f t="shared" si="0"/>
        <v>100</v>
      </c>
      <c r="T12" s="664" t="s">
        <v>14</v>
      </c>
      <c r="U12" s="665">
        <f t="shared" si="1"/>
        <v>100</v>
      </c>
      <c r="V12" s="664" t="s">
        <v>14</v>
      </c>
      <c r="W12" s="665">
        <f t="shared" si="2"/>
        <v>100</v>
      </c>
      <c r="X12" s="666"/>
      <c r="Y12" s="32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75"/>
      <c r="Q13" s="530">
        <f t="shared" si="6"/>
        <v>111</v>
      </c>
      <c r="R13" s="664" t="s">
        <v>14</v>
      </c>
      <c r="S13" s="665">
        <f t="shared" si="0"/>
        <v>100</v>
      </c>
      <c r="T13" s="664" t="s">
        <v>14</v>
      </c>
      <c r="U13" s="665">
        <f t="shared" si="1"/>
        <v>100</v>
      </c>
      <c r="V13" s="664" t="s">
        <v>14</v>
      </c>
      <c r="W13" s="665">
        <f t="shared" si="2"/>
        <v>100</v>
      </c>
      <c r="X13" s="666"/>
      <c r="Y13" s="325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75"/>
      <c r="Q14" s="530">
        <f t="shared" si="6"/>
        <v>111</v>
      </c>
      <c r="R14" s="664" t="s">
        <v>14</v>
      </c>
      <c r="S14" s="665">
        <f t="shared" si="0"/>
        <v>100</v>
      </c>
      <c r="T14" s="664" t="s">
        <v>14</v>
      </c>
      <c r="U14" s="665">
        <f t="shared" si="1"/>
        <v>100</v>
      </c>
      <c r="V14" s="664" t="s">
        <v>14</v>
      </c>
      <c r="W14" s="665">
        <f t="shared" si="2"/>
        <v>100</v>
      </c>
      <c r="X14" s="666"/>
      <c r="Y14" s="325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78"/>
      <c r="Q16" s="1263"/>
      <c r="R16" s="667"/>
      <c r="S16" s="668"/>
      <c r="T16" s="667"/>
      <c r="U16" s="668"/>
      <c r="V16" s="667"/>
      <c r="W16" s="668"/>
      <c r="X16" s="1265"/>
      <c r="Y16" s="3378"/>
      <c r="Z16" s="1264"/>
      <c r="AA16" s="1264">
        <v>1</v>
      </c>
      <c r="AB16" s="1264">
        <v>1</v>
      </c>
      <c r="AC16" s="1264">
        <v>1</v>
      </c>
    </row>
    <row r="17" spans="1:29" ht="71.25">
      <c r="A17" s="367"/>
      <c r="B17" s="390" t="s">
        <v>1777</v>
      </c>
      <c r="C17" s="1806" t="str">
        <f>估价对象房地状况!C16</f>
        <v>估价对象周边商业氛围成熟度一般，有千禧商业街、银座和谐广场，人流量一般，商业繁华度一般</v>
      </c>
      <c r="D17" s="389">
        <v>100</v>
      </c>
      <c r="E17" s="391"/>
      <c r="F17" s="389">
        <f>SUMIF(89:89,E18,90:90)-SUMIF(89:89,C18,90:90)+100</f>
        <v>100</v>
      </c>
      <c r="G17" s="391"/>
      <c r="H17" s="394">
        <f>SUMIF(89:89,G18,90:90)-SUMIF(89:89,C18,90:90)+100</f>
        <v>100</v>
      </c>
      <c r="I17" s="393"/>
      <c r="J17" s="394">
        <f>SUMIF(89:89,I18,90:90)-SUMIF(89:89,C18,90:90)+100</f>
        <v>100</v>
      </c>
      <c r="K17" s="593">
        <v>2</v>
      </c>
      <c r="L17" s="2490"/>
      <c r="M17" s="2485"/>
      <c r="N17" s="2485"/>
      <c r="O17" s="2540"/>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t="s">
        <v>3533</v>
      </c>
      <c r="D18" s="389"/>
      <c r="E18" s="1755" t="s">
        <v>3533</v>
      </c>
      <c r="F18" s="389"/>
      <c r="G18" s="1755" t="s">
        <v>3533</v>
      </c>
      <c r="H18" s="387"/>
      <c r="I18" s="1755" t="s">
        <v>3533</v>
      </c>
      <c r="J18" s="387"/>
      <c r="K18" s="592"/>
      <c r="L18" s="2490"/>
      <c r="M18" s="2485"/>
      <c r="N18" s="2485"/>
      <c r="O18" s="2540"/>
      <c r="P18" s="3378"/>
      <c r="Q18" s="1263"/>
      <c r="R18" s="667"/>
      <c r="S18" s="668"/>
      <c r="T18" s="667"/>
      <c r="U18" s="668"/>
      <c r="V18" s="667"/>
      <c r="W18" s="668"/>
      <c r="X18" s="1265"/>
      <c r="Y18" s="3378"/>
      <c r="Z18" s="1264"/>
      <c r="AA18" s="1264">
        <v>1</v>
      </c>
      <c r="AB18" s="1264">
        <v>1</v>
      </c>
      <c r="AC18" s="1264">
        <v>1</v>
      </c>
    </row>
    <row r="19" spans="1:29" ht="71.25">
      <c r="A19" s="367"/>
      <c r="B19" s="390" t="s">
        <v>1811</v>
      </c>
      <c r="C19" s="1806" t="str">
        <f>估价对象房地状况!C17</f>
        <v>估价对象，周边办公楼项目数量一般，有华信大厦、金鑫大厦等写字楼项目，入驻率较高，办公集聚程度一般</v>
      </c>
      <c r="D19" s="394">
        <v>100</v>
      </c>
      <c r="E19" s="396"/>
      <c r="F19" s="394">
        <f>SUMIF(91:91,E20,92:92)-SUMIF(91:91,C20,92:92)+100</f>
        <v>102</v>
      </c>
      <c r="G19" s="396"/>
      <c r="H19" s="389">
        <f>SUMIF(91:91,G20,92:92)-SUMIF(91:91,C20,92:92)+100</f>
        <v>102</v>
      </c>
      <c r="I19" s="398"/>
      <c r="J19" s="389">
        <f>SUMIF(91:91,I20,92:92)-SUMIF(91:91,C20,92:92)+100</f>
        <v>102</v>
      </c>
      <c r="K19" s="593">
        <v>2</v>
      </c>
      <c r="L19" s="2490"/>
      <c r="M19" s="2485"/>
      <c r="N19" s="2485"/>
      <c r="O19" s="2540"/>
      <c r="P19" s="3378"/>
      <c r="Q19" s="1263" t="str">
        <f>B19</f>
        <v>办公集聚程度</v>
      </c>
      <c r="R19" s="667" t="s">
        <v>14</v>
      </c>
      <c r="S19" s="668">
        <f>F19</f>
        <v>102</v>
      </c>
      <c r="T19" s="667" t="s">
        <v>14</v>
      </c>
      <c r="U19" s="668">
        <f>H19</f>
        <v>102</v>
      </c>
      <c r="V19" s="667" t="s">
        <v>14</v>
      </c>
      <c r="W19" s="668">
        <f>J19</f>
        <v>102</v>
      </c>
      <c r="X19" s="1265"/>
      <c r="Y19" s="3378"/>
      <c r="Z19" s="1264" t="str">
        <f>Q19</f>
        <v>办公集聚程度</v>
      </c>
      <c r="AA19" s="1264">
        <f t="shared" si="3"/>
        <v>0.98039215686274506</v>
      </c>
      <c r="AB19" s="1264">
        <f t="shared" si="4"/>
        <v>0.98039215686274506</v>
      </c>
      <c r="AC19" s="1264">
        <f t="shared" si="5"/>
        <v>0.98039215686274506</v>
      </c>
    </row>
    <row r="20" spans="1:29" ht="15">
      <c r="A20" s="367"/>
      <c r="B20" s="395"/>
      <c r="C20" s="386" t="s">
        <v>3533</v>
      </c>
      <c r="D20" s="387"/>
      <c r="E20" s="386" t="s">
        <v>3532</v>
      </c>
      <c r="F20" s="387"/>
      <c r="G20" s="386" t="s">
        <v>3532</v>
      </c>
      <c r="H20" s="387"/>
      <c r="I20" s="386" t="s">
        <v>3532</v>
      </c>
      <c r="J20" s="387"/>
      <c r="K20" s="592"/>
      <c r="L20" s="2490"/>
      <c r="M20" s="2485"/>
      <c r="N20" s="2485"/>
      <c r="O20" s="2540"/>
      <c r="P20" s="3378"/>
      <c r="Q20" s="1263"/>
      <c r="R20" s="667"/>
      <c r="S20" s="668"/>
      <c r="T20" s="667"/>
      <c r="U20" s="668"/>
      <c r="V20" s="667"/>
      <c r="W20" s="668"/>
      <c r="X20" s="1265"/>
      <c r="Y20" s="3378"/>
      <c r="Z20" s="1264"/>
      <c r="AA20" s="1264">
        <v>1</v>
      </c>
      <c r="AB20" s="1264">
        <v>1</v>
      </c>
      <c r="AC20" s="1264">
        <v>1</v>
      </c>
    </row>
    <row r="21" spans="1:29" ht="71.25">
      <c r="A21" s="367"/>
      <c r="B21" s="390" t="s">
        <v>1833</v>
      </c>
      <c r="C21" s="1754" t="str">
        <f>估价对象房地状况!C18</f>
        <v>估价对象周边道路通达状况较好、有52、57、473、941等公交线路，停车便捷程度一般，综合评价交通便捷度一般</v>
      </c>
      <c r="D21" s="389">
        <v>100</v>
      </c>
      <c r="E21" s="391"/>
      <c r="F21" s="394">
        <f>SUMIF(93:93,E22,94:94)-SUMIF(93:93,C22,94:94)+100</f>
        <v>102</v>
      </c>
      <c r="G21" s="391"/>
      <c r="H21" s="389">
        <f>SUMIF(93:93,G22,94:94)-SUMIF(93:93,C22,94:94)+100</f>
        <v>100</v>
      </c>
      <c r="I21" s="393"/>
      <c r="J21" s="389">
        <f>SUMIF(93:93,I22,94:94)-SUMIF(93:93,C22,94:94)+100</f>
        <v>102</v>
      </c>
      <c r="K21" s="593">
        <v>2</v>
      </c>
      <c r="L21" s="2490"/>
      <c r="M21" s="2485"/>
      <c r="N21" s="2485"/>
      <c r="O21" s="2540"/>
      <c r="P21" s="3378"/>
      <c r="Q21" s="1263" t="str">
        <f>B21</f>
        <v>交通便捷度</v>
      </c>
      <c r="R21" s="667" t="s">
        <v>14</v>
      </c>
      <c r="S21" s="668">
        <f>F21</f>
        <v>102</v>
      </c>
      <c r="T21" s="667" t="s">
        <v>14</v>
      </c>
      <c r="U21" s="668">
        <f>H21</f>
        <v>100</v>
      </c>
      <c r="V21" s="667" t="s">
        <v>14</v>
      </c>
      <c r="W21" s="668">
        <f>J21</f>
        <v>102</v>
      </c>
      <c r="X21" s="1265"/>
      <c r="Y21" s="3378"/>
      <c r="Z21" s="1264" t="str">
        <f>Q21</f>
        <v>交通便捷度</v>
      </c>
      <c r="AA21" s="1264">
        <f t="shared" si="3"/>
        <v>0.98039215686274506</v>
      </c>
      <c r="AB21" s="1264">
        <f t="shared" si="4"/>
        <v>1</v>
      </c>
      <c r="AC21" s="1264">
        <f t="shared" si="5"/>
        <v>0.98039215686274506</v>
      </c>
    </row>
    <row r="22" spans="1:29" ht="15">
      <c r="A22" s="367"/>
      <c r="B22" s="586"/>
      <c r="C22" s="386" t="s">
        <v>3533</v>
      </c>
      <c r="D22" s="389"/>
      <c r="E22" s="1752" t="s">
        <v>3532</v>
      </c>
      <c r="F22" s="387"/>
      <c r="G22" s="1752" t="s">
        <v>3533</v>
      </c>
      <c r="H22" s="387"/>
      <c r="I22" s="1752" t="s">
        <v>3532</v>
      </c>
      <c r="J22" s="387"/>
      <c r="K22" s="592"/>
      <c r="L22" s="2490"/>
      <c r="M22" s="2485"/>
      <c r="N22" s="2485"/>
      <c r="O22" s="2540"/>
      <c r="P22" s="3378"/>
      <c r="Q22" s="1263"/>
      <c r="R22" s="667"/>
      <c r="S22" s="668"/>
      <c r="T22" s="667"/>
      <c r="U22" s="668"/>
      <c r="V22" s="667"/>
      <c r="W22" s="668"/>
      <c r="X22" s="1265"/>
      <c r="Y22" s="337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t="s">
        <v>3532</v>
      </c>
      <c r="D24" s="387"/>
      <c r="E24" s="542" t="s">
        <v>3532</v>
      </c>
      <c r="F24" s="387"/>
      <c r="G24" s="542" t="s">
        <v>3532</v>
      </c>
      <c r="H24" s="387"/>
      <c r="I24" s="542" t="s">
        <v>3532</v>
      </c>
      <c r="J24" s="387"/>
      <c r="K24" s="698"/>
      <c r="L24" s="2490"/>
      <c r="M24" s="2485"/>
      <c r="N24" s="2485"/>
      <c r="O24" s="2540"/>
      <c r="P24" s="3378"/>
      <c r="Q24" s="1263"/>
      <c r="R24" s="667"/>
      <c r="S24" s="668"/>
      <c r="T24" s="667"/>
      <c r="U24" s="668"/>
      <c r="V24" s="667"/>
      <c r="W24" s="668"/>
      <c r="X24" s="1265"/>
      <c r="Y24" s="3378"/>
      <c r="Z24" s="1264"/>
      <c r="AA24" s="1264"/>
      <c r="AB24" s="1264"/>
      <c r="AC24" s="1264"/>
    </row>
    <row r="25" spans="1:29" ht="57">
      <c r="A25" s="348"/>
      <c r="B25" s="586" t="s">
        <v>1872</v>
      </c>
      <c r="C25" s="1806" t="str">
        <f>估价对象房地状况!C20</f>
        <v>区域自然环境：万丰公园、足球公园等；人文环境；综合评价环境状况一般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3</v>
      </c>
      <c r="L25" s="2490"/>
      <c r="M25" s="2485"/>
      <c r="N25" s="2485"/>
      <c r="O25" s="2540"/>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t="s">
        <v>3533</v>
      </c>
      <c r="D26" s="387"/>
      <c r="E26" s="386" t="s">
        <v>3533</v>
      </c>
      <c r="F26" s="387"/>
      <c r="G26" s="386" t="s">
        <v>3533</v>
      </c>
      <c r="H26" s="387"/>
      <c r="I26" s="386" t="s">
        <v>3533</v>
      </c>
      <c r="J26" s="387"/>
      <c r="K26" s="592"/>
      <c r="L26" s="2490"/>
      <c r="M26" s="2485"/>
      <c r="N26" s="2485"/>
      <c r="O26" s="2540"/>
      <c r="P26" s="3378"/>
      <c r="Q26" s="1263"/>
      <c r="R26" s="667"/>
      <c r="S26" s="668"/>
      <c r="T26" s="667"/>
      <c r="U26" s="668"/>
      <c r="V26" s="667"/>
      <c r="W26" s="668"/>
      <c r="X26" s="1265"/>
      <c r="Y26" s="3378"/>
      <c r="Z26" s="1264"/>
      <c r="AA26" s="1264">
        <v>1</v>
      </c>
      <c r="AB26" s="1264">
        <v>1</v>
      </c>
      <c r="AC26" s="1264">
        <v>1</v>
      </c>
    </row>
    <row r="27" spans="1:29" s="102" customFormat="1" ht="28.5">
      <c r="A27" s="443"/>
      <c r="B27" s="586" t="s">
        <v>1778</v>
      </c>
      <c r="C27" s="1754" t="str">
        <f>估价对象房地状况!C21</f>
        <v>估价对象所在区域公共配套设施齐备情况较好</v>
      </c>
      <c r="D27" s="389">
        <v>100</v>
      </c>
      <c r="E27" s="391"/>
      <c r="F27" s="389">
        <f>SUMIF(99:99,E28,100:100)-SUMIF(99:99,C28,100:100)+100</f>
        <v>97</v>
      </c>
      <c r="G27" s="391"/>
      <c r="H27" s="389">
        <f>SUMIF(99:99,G28,100:100)-SUMIF(99:99,C28,100:100)+100</f>
        <v>97</v>
      </c>
      <c r="I27" s="393"/>
      <c r="J27" s="389">
        <f>SUMIF(99:99,I28,100:100)-SUMIF(99:99,C28,100:100)+100</f>
        <v>97</v>
      </c>
      <c r="K27" s="593">
        <v>3</v>
      </c>
      <c r="L27" s="2486"/>
      <c r="M27" s="2438"/>
      <c r="N27" s="2438"/>
      <c r="O27" s="2538"/>
      <c r="P27" s="3378"/>
      <c r="Q27" s="530" t="str">
        <f t="shared" si="8"/>
        <v>公共配套设施</v>
      </c>
      <c r="R27" s="664" t="s">
        <v>14</v>
      </c>
      <c r="S27" s="665">
        <f>F27</f>
        <v>97</v>
      </c>
      <c r="T27" s="664" t="s">
        <v>14</v>
      </c>
      <c r="U27" s="665">
        <f>H27</f>
        <v>97</v>
      </c>
      <c r="V27" s="664" t="s">
        <v>14</v>
      </c>
      <c r="W27" s="665">
        <f>J27</f>
        <v>97</v>
      </c>
      <c r="X27" s="666"/>
      <c r="Y27" s="3378"/>
      <c r="Z27" s="50" t="str">
        <f>Q27</f>
        <v>公共配套设施</v>
      </c>
      <c r="AA27" s="1264">
        <f>D27/F27</f>
        <v>1.0309278350515463</v>
      </c>
      <c r="AB27" s="1264">
        <f>D27/H27</f>
        <v>1.0309278350515463</v>
      </c>
      <c r="AC27" s="1264">
        <f>D27/J27</f>
        <v>1.0309278350515463</v>
      </c>
    </row>
    <row r="28" spans="1:29" s="102" customFormat="1" ht="15">
      <c r="A28" s="443"/>
      <c r="B28" s="395"/>
      <c r="C28" s="1826" t="s">
        <v>3532</v>
      </c>
      <c r="D28" s="387"/>
      <c r="E28" s="386" t="s">
        <v>3533</v>
      </c>
      <c r="F28" s="387"/>
      <c r="G28" s="386" t="s">
        <v>3533</v>
      </c>
      <c r="H28" s="387"/>
      <c r="I28" s="386" t="s">
        <v>3533</v>
      </c>
      <c r="J28" s="387"/>
      <c r="K28" s="592"/>
      <c r="L28" s="2486"/>
      <c r="M28" s="2438"/>
      <c r="N28" s="2438"/>
      <c r="O28" s="2538"/>
      <c r="P28" s="3378"/>
      <c r="Q28" s="530"/>
      <c r="R28" s="664"/>
      <c r="S28" s="665"/>
      <c r="T28" s="664"/>
      <c r="U28" s="665"/>
      <c r="V28" s="664"/>
      <c r="W28" s="665"/>
      <c r="X28" s="666"/>
      <c r="Y28" s="3378"/>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6"/>
      <c r="M29" s="2438"/>
      <c r="N29" s="2438"/>
      <c r="O29" s="2538"/>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6" t="s">
        <v>3534</v>
      </c>
      <c r="D30" s="387"/>
      <c r="E30" s="1826" t="s">
        <v>3534</v>
      </c>
      <c r="F30" s="387"/>
      <c r="G30" s="1826" t="s">
        <v>3534</v>
      </c>
      <c r="H30" s="387"/>
      <c r="I30" s="1826" t="s">
        <v>3534</v>
      </c>
      <c r="J30" s="387"/>
      <c r="K30" s="592"/>
      <c r="L30" s="2486"/>
      <c r="M30" s="2438"/>
      <c r="N30" s="2438"/>
      <c r="O30" s="2538"/>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101</v>
      </c>
      <c r="G32" s="391"/>
      <c r="H32" s="389">
        <f>SUMIF(105:105,G33,106:106)-SUMIF(105:105,C33,106:106)+100</f>
        <v>99</v>
      </c>
      <c r="I32" s="393"/>
      <c r="J32" s="389">
        <f>SUMIF(105:105,I33,106:106)-SUMIF(105:105,C33,106:106)+100</f>
        <v>101</v>
      </c>
      <c r="K32" s="593">
        <v>1</v>
      </c>
      <c r="L32" s="2490"/>
      <c r="M32" s="2485"/>
      <c r="N32" s="2485"/>
      <c r="O32" s="2540"/>
      <c r="P32" s="3378"/>
      <c r="Q32" s="1263" t="str">
        <f t="shared" si="8"/>
        <v>毗邻道路的类型与等级</v>
      </c>
      <c r="R32" s="667" t="s">
        <v>14</v>
      </c>
      <c r="S32" s="668">
        <f t="shared" si="10"/>
        <v>101</v>
      </c>
      <c r="T32" s="667" t="s">
        <v>14</v>
      </c>
      <c r="U32" s="668">
        <f t="shared" si="11"/>
        <v>99</v>
      </c>
      <c r="V32" s="667" t="s">
        <v>14</v>
      </c>
      <c r="W32" s="668">
        <f t="shared" si="12"/>
        <v>101</v>
      </c>
      <c r="X32" s="1265"/>
      <c r="Y32" s="3378"/>
      <c r="Z32" s="1264" t="str">
        <f t="shared" si="13"/>
        <v>毗邻道路的类型与等级</v>
      </c>
      <c r="AA32" s="1264">
        <f t="shared" si="3"/>
        <v>0.99009900990099009</v>
      </c>
      <c r="AB32" s="1264">
        <f t="shared" si="4"/>
        <v>1.0101010101010102</v>
      </c>
      <c r="AC32" s="1264">
        <f t="shared" si="5"/>
        <v>0.99009900990099009</v>
      </c>
    </row>
    <row r="33" spans="1:29" ht="15">
      <c r="A33" s="367"/>
      <c r="B33" s="395"/>
      <c r="C33" s="386" t="s">
        <v>3555</v>
      </c>
      <c r="D33" s="387"/>
      <c r="E33" s="1758" t="s">
        <v>3535</v>
      </c>
      <c r="F33" s="387"/>
      <c r="G33" s="1758" t="s">
        <v>3537</v>
      </c>
      <c r="H33" s="387"/>
      <c r="I33" s="1758" t="s">
        <v>3535</v>
      </c>
      <c r="J33" s="387"/>
      <c r="K33" s="539"/>
      <c r="L33" s="2490"/>
      <c r="M33" s="2485"/>
      <c r="N33" s="2485"/>
      <c r="O33" s="2540"/>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17"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
      <c r="A38" s="409" t="s">
        <v>1694</v>
      </c>
      <c r="B38" s="395" t="s">
        <v>1874</v>
      </c>
      <c r="C38" s="599">
        <v>35247.199999999997</v>
      </c>
      <c r="D38" s="405">
        <v>100</v>
      </c>
      <c r="E38" s="599">
        <f>[2]土地案例!I2</f>
        <v>7467</v>
      </c>
      <c r="F38" s="405">
        <f>LOOKUP(E38,116:116,117:117)-LOOKUP(C38,116:116,117:117)+100</f>
        <v>98</v>
      </c>
      <c r="G38" s="599">
        <f>[2]土地案例!I3</f>
        <v>67829.210000000006</v>
      </c>
      <c r="H38" s="405">
        <f>LOOKUP(G38,116:116,117:117)-LOOKUP(C38,116:116,117:117)+100</f>
        <v>99</v>
      </c>
      <c r="I38" s="462">
        <f>[2]土地案例!I4</f>
        <v>12629.88</v>
      </c>
      <c r="J38" s="405">
        <f>LOOKUP(I38,116:116,117:117)-LOOKUP(C38,116:116,117:117)+100</f>
        <v>99</v>
      </c>
      <c r="K38" s="539"/>
      <c r="L38" s="2490"/>
      <c r="M38" s="2485"/>
      <c r="N38" s="2485"/>
      <c r="O38" s="2540"/>
      <c r="P38" s="3382"/>
      <c r="Q38" s="1263" t="str">
        <f>B38</f>
        <v>宗地面积</v>
      </c>
      <c r="R38" s="667" t="s">
        <v>14</v>
      </c>
      <c r="S38" s="668">
        <f t="shared" si="10"/>
        <v>98</v>
      </c>
      <c r="T38" s="667" t="s">
        <v>14</v>
      </c>
      <c r="U38" s="668">
        <f t="shared" si="11"/>
        <v>99</v>
      </c>
      <c r="V38" s="667" t="s">
        <v>14</v>
      </c>
      <c r="W38" s="668">
        <f t="shared" si="12"/>
        <v>99</v>
      </c>
      <c r="X38" s="1265"/>
      <c r="Y38" s="3382"/>
      <c r="Z38" s="1264" t="str">
        <f t="shared" si="13"/>
        <v>宗地面积</v>
      </c>
      <c r="AA38" s="1264">
        <f t="shared" si="3"/>
        <v>1.0204081632653061</v>
      </c>
      <c r="AB38" s="1264">
        <f t="shared" si="4"/>
        <v>1.0101010101010102</v>
      </c>
      <c r="AC38" s="1264">
        <f t="shared" si="5"/>
        <v>1.0101010101010102</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1876</v>
      </c>
      <c r="C40" s="1760" t="s">
        <v>3532</v>
      </c>
      <c r="D40" s="374">
        <v>100</v>
      </c>
      <c r="E40" s="1760" t="s">
        <v>3532</v>
      </c>
      <c r="F40" s="374">
        <f>SUMIF(120:120,E40,121:121)-SUMIF(120:120,C40,121:121)+100</f>
        <v>100</v>
      </c>
      <c r="G40" s="1760" t="s">
        <v>3532</v>
      </c>
      <c r="H40" s="374">
        <f>SUMIF(120:120,G40,121:121)-SUMIF(120:120,C40,121:121)+100</f>
        <v>100</v>
      </c>
      <c r="I40" s="1760" t="s">
        <v>3532</v>
      </c>
      <c r="J40" s="374">
        <f>SUMIF(120:120,I40,121:121)-SUMIF(120:120,C40,121:121)+100</f>
        <v>100</v>
      </c>
      <c r="K40" s="538">
        <v>2</v>
      </c>
      <c r="L40" s="2490"/>
      <c r="M40" s="2485"/>
      <c r="N40" s="2485"/>
      <c r="O40" s="2540"/>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1877</v>
      </c>
      <c r="C41" s="1828" t="s">
        <v>3552</v>
      </c>
      <c r="D41" s="119">
        <v>100</v>
      </c>
      <c r="E41" s="1828" t="s">
        <v>3536</v>
      </c>
      <c r="F41" s="374">
        <f>SUMIF(122:122,E41,123:123)-SUMIF(122:122,C41,123:123)+100</f>
        <v>97</v>
      </c>
      <c r="G41" s="1828" t="s">
        <v>3536</v>
      </c>
      <c r="H41" s="374">
        <f>SUMIF(122:122,G41,123:123)-SUMIF(122:122,C41,123:123)+100</f>
        <v>97</v>
      </c>
      <c r="I41" s="1828" t="s">
        <v>3536</v>
      </c>
      <c r="J41" s="374">
        <f>SUMIF(122:122,I41,123:123)-SUMIF(122:122,C41,123:123)+100</f>
        <v>97</v>
      </c>
      <c r="K41" s="538">
        <v>1</v>
      </c>
      <c r="L41" s="2486"/>
      <c r="M41" s="2438"/>
      <c r="N41" s="2438"/>
      <c r="O41" s="2538"/>
      <c r="P41" s="3382"/>
      <c r="Q41" s="1263" t="str">
        <f t="shared" si="14"/>
        <v>宗地开发程度</v>
      </c>
      <c r="R41" s="664" t="s">
        <v>14</v>
      </c>
      <c r="S41" s="665">
        <f t="shared" si="10"/>
        <v>97</v>
      </c>
      <c r="T41" s="664" t="s">
        <v>14</v>
      </c>
      <c r="U41" s="665">
        <f t="shared" si="11"/>
        <v>97</v>
      </c>
      <c r="V41" s="664" t="s">
        <v>14</v>
      </c>
      <c r="W41" s="665">
        <f t="shared" si="12"/>
        <v>97</v>
      </c>
      <c r="X41" s="666"/>
      <c r="Y41" s="3382"/>
      <c r="Z41" s="50" t="str">
        <f t="shared" si="13"/>
        <v>宗地开发程度</v>
      </c>
      <c r="AA41" s="50">
        <f t="shared" si="3"/>
        <v>1.0309278350515463</v>
      </c>
      <c r="AB41" s="50">
        <f t="shared" si="4"/>
        <v>1.0309278350515463</v>
      </c>
      <c r="AC41" s="50">
        <f t="shared" si="5"/>
        <v>1.0309278350515463</v>
      </c>
    </row>
    <row r="42" spans="1:29" ht="15">
      <c r="A42" s="409"/>
      <c r="B42" s="364" t="s">
        <v>1878</v>
      </c>
      <c r="C42" s="1760" t="s">
        <v>3532</v>
      </c>
      <c r="D42" s="374">
        <v>100</v>
      </c>
      <c r="E42" s="1760" t="s">
        <v>3532</v>
      </c>
      <c r="F42" s="374">
        <f>SUMIF(124:124,E42,125:125)-SUMIF(124:124,C42,125:125)+100</f>
        <v>100</v>
      </c>
      <c r="G42" s="1760" t="s">
        <v>3532</v>
      </c>
      <c r="H42" s="374">
        <f>SUMIF(124:124,G42,125:125)-SUMIF(124:124,C42,125:125)+100</f>
        <v>100</v>
      </c>
      <c r="I42" s="1760" t="s">
        <v>3532</v>
      </c>
      <c r="J42" s="374">
        <f>SUMIF(124:124,I42,125:125)-SUMIF(124:124,C42,125:125)+100</f>
        <v>100</v>
      </c>
      <c r="K42" s="538">
        <v>2</v>
      </c>
      <c r="L42" s="2490"/>
      <c r="M42" s="2485"/>
      <c r="N42" s="2485"/>
      <c r="O42" s="2540"/>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5">
      <c r="A46" s="416" t="s">
        <v>1844</v>
      </c>
      <c r="B46" s="1830" t="s">
        <v>1879</v>
      </c>
      <c r="C46" s="602" t="s">
        <v>0</v>
      </c>
      <c r="D46" s="418"/>
      <c r="E46" s="419">
        <f>[2]土地案例!AW2</f>
        <v>22692</v>
      </c>
      <c r="F46" s="420"/>
      <c r="G46" s="421">
        <f>[2]土地案例!AW3</f>
        <v>22811</v>
      </c>
      <c r="H46" s="422"/>
      <c r="I46" s="419">
        <f>[2]土地案例!AW4</f>
        <v>20750</v>
      </c>
      <c r="J46" s="422"/>
      <c r="K46" s="674"/>
      <c r="L46" s="2492"/>
      <c r="M46" s="2485"/>
      <c r="N46" s="2485"/>
      <c r="O46" s="2485"/>
      <c r="P46" s="3375" t="str">
        <f>A46</f>
        <v>成交单价</v>
      </c>
      <c r="Q46" s="3375"/>
      <c r="R46" s="3376">
        <f>E46</f>
        <v>22692</v>
      </c>
      <c r="S46" s="3376"/>
      <c r="T46" s="3376">
        <f>G46</f>
        <v>22811</v>
      </c>
      <c r="U46" s="3376"/>
      <c r="V46" s="3376">
        <f>I46</f>
        <v>20750</v>
      </c>
      <c r="W46" s="3376"/>
      <c r="X46" s="385"/>
      <c r="Y46" s="673"/>
      <c r="Z46" s="385"/>
      <c r="AA46" s="385"/>
      <c r="AB46" s="385"/>
      <c r="AC46" s="385"/>
    </row>
    <row r="47" spans="1:29" ht="15.75" thickBot="1">
      <c r="A47" s="423" t="s">
        <v>1793</v>
      </c>
      <c r="B47" s="603"/>
      <c r="C47" s="426">
        <f>R48</f>
        <v>20812</v>
      </c>
      <c r="D47" s="2141" t="s">
        <v>2138</v>
      </c>
      <c r="E47" s="426">
        <f>R47</f>
        <v>21747</v>
      </c>
      <c r="F47" s="2142"/>
      <c r="G47" s="425">
        <f>T47</f>
        <v>21226</v>
      </c>
      <c r="H47" s="2142"/>
      <c r="I47" s="426">
        <f>V47</f>
        <v>19462</v>
      </c>
      <c r="J47" s="2142"/>
      <c r="K47" s="2144">
        <f>F47+H47+J47</f>
        <v>0</v>
      </c>
      <c r="L47" s="2492"/>
      <c r="M47" s="2485"/>
      <c r="N47" s="2485"/>
      <c r="O47" s="2485"/>
      <c r="P47" s="3375" t="str">
        <f>A47</f>
        <v>比较价值（元/平方米）</v>
      </c>
      <c r="Q47" s="3375"/>
      <c r="R47" s="3419">
        <f>ROUND(PRODUCT(R46,AA7:AA45),0)</f>
        <v>21747</v>
      </c>
      <c r="S47" s="3419"/>
      <c r="T47" s="3419">
        <f>ROUND(PRODUCT(T46,AB7:AB45),0)</f>
        <v>21226</v>
      </c>
      <c r="U47" s="3419"/>
      <c r="V47" s="3419">
        <f>ROUND(PRODUCT(V46,AC7:AC45),0)</f>
        <v>19462</v>
      </c>
      <c r="W47" s="3419"/>
      <c r="X47" s="385"/>
      <c r="Y47" s="385"/>
      <c r="Z47" s="385"/>
      <c r="AA47" s="385"/>
      <c r="AB47" s="385"/>
      <c r="AC47" s="385"/>
    </row>
    <row r="48" spans="1:29" ht="15.75" thickBot="1">
      <c r="A48" s="427" t="s">
        <v>1880</v>
      </c>
      <c r="B48" s="428"/>
      <c r="C48" s="429">
        <f>R48</f>
        <v>20812</v>
      </c>
      <c r="D48" s="429"/>
      <c r="E48" s="429"/>
      <c r="F48" s="429"/>
      <c r="G48" s="429"/>
      <c r="H48" s="429"/>
      <c r="I48" s="429"/>
      <c r="J48" s="429"/>
      <c r="K48" s="675"/>
      <c r="L48" s="2492"/>
      <c r="M48" s="2485"/>
      <c r="N48" s="2485"/>
      <c r="O48" s="2485"/>
      <c r="P48" s="3372" t="str">
        <f>A48</f>
        <v>估价对象XX用房的比较价值（楼面单价，元/平方米）</v>
      </c>
      <c r="Q48" s="3373"/>
      <c r="R48" s="3420">
        <f>ROUND(IF(D47="简单平均",AVERAGE(R47:W47),R47*F47+T47*H47+V47*J47),0)</f>
        <v>20812</v>
      </c>
      <c r="S48" s="3420"/>
      <c r="T48" s="3420"/>
      <c r="U48" s="3420"/>
      <c r="V48" s="3420"/>
      <c r="W48" s="342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f>IF(E46&lt;E47,E47/E46-1,E46/E47-1)</f>
        <v>4.3454269554421332E-2</v>
      </c>
      <c r="F51" s="435" t="str">
        <f>IF(OR(E51&gt;=0.3,E51&lt;=-0.3),"超过30%","")</f>
        <v/>
      </c>
      <c r="G51" s="434">
        <f>IF(G46&lt;G47,G47/G46-1,G46/G47-1)</f>
        <v>7.4672571374729158E-2</v>
      </c>
      <c r="H51" s="435" t="str">
        <f>IF(OR(G51&gt;=0.3,G51&lt;=-0.3),"超过30%","")</f>
        <v/>
      </c>
      <c r="I51" s="434">
        <f>IF(I46&lt;I47,I47/I46-1,I46/I47-1)</f>
        <v>6.6180248689754473E-2</v>
      </c>
      <c r="J51" s="435"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f>IF(E47&lt;G47,G47/E47-1,E47/G47-1)</f>
        <v>2.4545368887213703E-2</v>
      </c>
      <c r="F52" s="435" t="str">
        <f>IF(OR(E52&gt;=0.2,E52&lt;=-0.2),"超过20%","")</f>
        <v/>
      </c>
      <c r="G52" s="434">
        <f>IF(G47&lt;I47,I47/G47-1,G47/I47-1)</f>
        <v>9.0638166683794097E-2</v>
      </c>
      <c r="H52" s="435" t="str">
        <f>IF(OR(G52&gt;=0.2,G52&lt;=-0.2),"超过20%","")</f>
        <v/>
      </c>
      <c r="I52" s="434">
        <f>IF(I47&lt;E47,E47/I47-1,I47/E47-1)</f>
        <v>0.11740828280752225</v>
      </c>
      <c r="J52" s="435"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0" t="s">
        <v>1887</v>
      </c>
      <c r="H55" s="3421"/>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f>C48</f>
        <v>20812</v>
      </c>
      <c r="C56" s="610">
        <v>1</v>
      </c>
      <c r="D56" s="890">
        <v>1</v>
      </c>
      <c r="E56" s="610">
        <f>'数据-汇总表'!E8+'数据-汇总表'!E9</f>
        <v>7529.9249999999993</v>
      </c>
      <c r="F56" s="833">
        <f t="shared" ref="F56:F64" si="15">ROUND(B56*E56/10000,0)</f>
        <v>15671</v>
      </c>
      <c r="G56" s="3386"/>
      <c r="H56" s="337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f>ROUND($C$48*C57*D57,0)</f>
        <v>3122</v>
      </c>
      <c r="C57" s="163">
        <f t="shared" ref="C57:C64" si="16">IF($C$55="北京市系数",I57,J57)</f>
        <v>0.6</v>
      </c>
      <c r="D57" s="891">
        <v>0.25</v>
      </c>
      <c r="E57" s="614"/>
      <c r="F57" s="833">
        <f t="shared" si="15"/>
        <v>0</v>
      </c>
      <c r="G57" s="2748" t="s">
        <v>1892</v>
      </c>
      <c r="H57" s="834" t="str">
        <f>项目基本情况!B37</f>
        <v>四级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f t="shared" ref="B58:B64" si="17">ROUND($C$48*C58*D58,0)</f>
        <v>1561</v>
      </c>
      <c r="C58" s="163">
        <f t="shared" si="16"/>
        <v>0.3</v>
      </c>
      <c r="D58" s="891">
        <v>0.25</v>
      </c>
      <c r="E58" s="614"/>
      <c r="F58" s="833">
        <f t="shared" si="15"/>
        <v>0</v>
      </c>
      <c r="G58" s="2749"/>
      <c r="H58" s="834" t="str">
        <f>项目基本情况!B37</f>
        <v>四级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f t="shared" si="17"/>
        <v>1301</v>
      </c>
      <c r="C59" s="163">
        <f t="shared" si="16"/>
        <v>0.25</v>
      </c>
      <c r="D59" s="891">
        <v>0.25</v>
      </c>
      <c r="E59" s="614"/>
      <c r="F59" s="833">
        <f t="shared" si="15"/>
        <v>0</v>
      </c>
      <c r="G59" s="2749"/>
      <c r="H59" s="834" t="str">
        <f>项目基本情况!B37</f>
        <v>四级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f t="shared" si="17"/>
        <v>1301</v>
      </c>
      <c r="C60" s="163">
        <f t="shared" si="16"/>
        <v>0.25</v>
      </c>
      <c r="D60" s="891">
        <v>0.25</v>
      </c>
      <c r="E60" s="209">
        <f>'数据-汇总表'!E11</f>
        <v>1505.9850000000006</v>
      </c>
      <c r="F60" s="833">
        <f t="shared" si="15"/>
        <v>196</v>
      </c>
      <c r="G60" s="1835" t="s">
        <v>1896</v>
      </c>
      <c r="H60" s="834" t="str">
        <f>项目基本情况!C37</f>
        <v>四级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f t="shared" si="17"/>
        <v>1301</v>
      </c>
      <c r="C61" s="163">
        <f t="shared" si="16"/>
        <v>0.25</v>
      </c>
      <c r="D61" s="891">
        <v>0.25</v>
      </c>
      <c r="E61" s="209">
        <f>'数据-汇总表'!E12</f>
        <v>0</v>
      </c>
      <c r="F61" s="833">
        <f t="shared" si="15"/>
        <v>0</v>
      </c>
      <c r="G61" s="839" t="s">
        <v>1898</v>
      </c>
      <c r="H61" s="834" t="str">
        <f>IF(G61="商业",项目基本情况!B37,IF(G61="办公",项目基本情况!C37,IF(G61="住宅",项目基本情况!D37,项目基本情况!E37)))</f>
        <v>四级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f t="shared" si="17"/>
        <v>780</v>
      </c>
      <c r="C63" s="163">
        <f t="shared" si="16"/>
        <v>0.15</v>
      </c>
      <c r="D63" s="891">
        <v>0.25</v>
      </c>
      <c r="E63" s="209">
        <f>'数据-汇总表'!E14</f>
        <v>0</v>
      </c>
      <c r="F63" s="833">
        <f t="shared" si="15"/>
        <v>0</v>
      </c>
      <c r="G63" s="1835" t="s">
        <v>1892</v>
      </c>
      <c r="H63" s="834" t="str">
        <f>项目基本情况!B37</f>
        <v>四级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f t="shared" si="17"/>
        <v>780</v>
      </c>
      <c r="C64" s="163">
        <f t="shared" si="16"/>
        <v>0.15</v>
      </c>
      <c r="D64" s="891">
        <v>0.25</v>
      </c>
      <c r="E64" s="209">
        <f>'数据-汇总表'!E15</f>
        <v>0</v>
      </c>
      <c r="F64" s="833">
        <f t="shared" si="15"/>
        <v>0</v>
      </c>
      <c r="G64" s="1836" t="s">
        <v>1896</v>
      </c>
      <c r="H64" s="844" t="str">
        <f>项目基本情况!C37</f>
        <v>四级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9035.91</v>
      </c>
      <c r="F65" s="617">
        <f>IF(B46="楼面地价",SUM(F56:F64),ROUND(C48*E65/10000,0))</f>
        <v>15867</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f>C70-0.2</f>
        <v>99.8</v>
      </c>
      <c r="E70" s="6">
        <f t="shared" ref="E70:M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3157" t="s">
        <v>3531</v>
      </c>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v>100</v>
      </c>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v>
      </c>
      <c r="L78" s="478" t="str">
        <f t="shared" si="21"/>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v>0</v>
      </c>
      <c r="D79" s="480">
        <v>1</v>
      </c>
      <c r="E79" s="480">
        <v>2</v>
      </c>
      <c r="F79" s="480">
        <v>3</v>
      </c>
      <c r="G79" s="480">
        <v>4</v>
      </c>
      <c r="H79" s="480">
        <v>5</v>
      </c>
      <c r="I79" s="480">
        <v>6</v>
      </c>
      <c r="J79" s="480">
        <v>7</v>
      </c>
      <c r="K79" s="481">
        <v>8</v>
      </c>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2">IF($B$46="单位面积地价",C80+$K11,C80-$K11)</f>
        <v>98</v>
      </c>
      <c r="E80" s="475">
        <f t="shared" si="22"/>
        <v>96</v>
      </c>
      <c r="F80" s="475">
        <f t="shared" si="22"/>
        <v>94</v>
      </c>
      <c r="G80" s="475">
        <f t="shared" si="22"/>
        <v>92</v>
      </c>
      <c r="H80" s="475">
        <f t="shared" si="22"/>
        <v>90</v>
      </c>
      <c r="I80" s="475">
        <f t="shared" si="22"/>
        <v>88</v>
      </c>
      <c r="J80" s="475">
        <f t="shared" si="22"/>
        <v>86</v>
      </c>
      <c r="K80" s="475">
        <f t="shared" si="22"/>
        <v>84</v>
      </c>
      <c r="L80" s="475">
        <f t="shared" si="22"/>
        <v>82</v>
      </c>
      <c r="M80" s="475">
        <f t="shared" si="22"/>
        <v>80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98</v>
      </c>
      <c r="E90" s="475">
        <f>D90-$K17</f>
        <v>96</v>
      </c>
      <c r="F90" s="475">
        <f>E90-$K17</f>
        <v>94</v>
      </c>
      <c r="G90" s="475">
        <f>F90-$K17</f>
        <v>92</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98</v>
      </c>
      <c r="E92" s="475">
        <f>D92-$K19</f>
        <v>96</v>
      </c>
      <c r="F92" s="475">
        <f>E92-$K19</f>
        <v>94</v>
      </c>
      <c r="G92" s="475">
        <f>F92-$K19</f>
        <v>92</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98</v>
      </c>
      <c r="E94" s="475">
        <f>D94-$K21</f>
        <v>96</v>
      </c>
      <c r="F94" s="475">
        <f>E94-$K21</f>
        <v>94</v>
      </c>
      <c r="G94" s="475">
        <f>F94-$K21</f>
        <v>92</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3161" t="s">
        <v>3545</v>
      </c>
      <c r="D105" s="3161" t="s">
        <v>3546</v>
      </c>
      <c r="E105" s="3161" t="s">
        <v>3547</v>
      </c>
      <c r="F105" s="3161" t="s">
        <v>3548</v>
      </c>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C106-$K32</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5">
        <f t="shared" si="24"/>
        <v>90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28.5">
      <c r="A115" s="379" t="s">
        <v>1694</v>
      </c>
      <c r="B115" s="460" t="s">
        <v>1913</v>
      </c>
      <c r="C115" s="461" t="str">
        <f>C116&amp;"(含)"&amp;"-"&amp;D116</f>
        <v>0(含)-10000</v>
      </c>
      <c r="D115" s="461" t="str">
        <f t="shared" ref="D115:M115" si="26">D116&amp;"(含)"&amp;"-"&amp;E116</f>
        <v>10000(含)-30000</v>
      </c>
      <c r="E115" s="461" t="str">
        <f t="shared" si="26"/>
        <v>30000(含)-50000</v>
      </c>
      <c r="F115" s="461" t="str">
        <f t="shared" si="26"/>
        <v>50000(含)-70000</v>
      </c>
      <c r="G115" s="461" t="str">
        <f t="shared" si="26"/>
        <v>70000(含)-</v>
      </c>
      <c r="H115" s="461" t="str">
        <f t="shared" si="26"/>
        <v>(含)-</v>
      </c>
      <c r="I115" s="461" t="str">
        <f t="shared" si="26"/>
        <v>(含)-</v>
      </c>
      <c r="J115" s="461" t="str">
        <f t="shared" si="26"/>
        <v>(含)-</v>
      </c>
      <c r="K115" s="461" t="str">
        <f t="shared" si="26"/>
        <v>(含)-</v>
      </c>
      <c r="L115" s="461" t="str">
        <f t="shared" si="26"/>
        <v>(含)-</v>
      </c>
      <c r="M115" s="461" t="str">
        <f t="shared" si="26"/>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v>0</v>
      </c>
      <c r="D116" s="6">
        <v>10000</v>
      </c>
      <c r="E116" s="6">
        <v>30000</v>
      </c>
      <c r="F116" s="6">
        <v>50000</v>
      </c>
      <c r="G116" s="6">
        <v>70000</v>
      </c>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v>98</v>
      </c>
      <c r="D117" s="521">
        <v>99</v>
      </c>
      <c r="E117" s="521">
        <v>100</v>
      </c>
      <c r="F117" s="521">
        <v>99</v>
      </c>
      <c r="G117" s="521">
        <v>98</v>
      </c>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t="s">
        <v>3549</v>
      </c>
      <c r="D120" s="485" t="s">
        <v>3532</v>
      </c>
      <c r="E120" s="485" t="s">
        <v>3533</v>
      </c>
      <c r="F120" s="513" t="s">
        <v>3550</v>
      </c>
      <c r="G120" s="513" t="s">
        <v>3551</v>
      </c>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t="s">
        <v>3534</v>
      </c>
      <c r="D122" s="485" t="s">
        <v>3552</v>
      </c>
      <c r="E122" s="485" t="s">
        <v>3553</v>
      </c>
      <c r="F122" s="485" t="s">
        <v>3554</v>
      </c>
      <c r="G122" s="485" t="s">
        <v>3536</v>
      </c>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t="s">
        <v>3549</v>
      </c>
      <c r="D124" s="485" t="s">
        <v>3532</v>
      </c>
      <c r="E124" s="513" t="s">
        <v>3533</v>
      </c>
      <c r="F124" s="513" t="s">
        <v>3550</v>
      </c>
      <c r="G124" s="513" t="s">
        <v>3551</v>
      </c>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9" priority="13" stopIfTrue="1">
      <formula>$F$51="超过30%"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F7:F45 H7:H45 J7:J45">
    <cfRule type="cellIs" dxfId="56" priority="1" operator="notEqual">
      <formula>100</formula>
    </cfRule>
  </conditionalFormatting>
  <conditionalFormatting sqref="F47">
    <cfRule type="expression" dxfId="55" priority="4">
      <formula>$D$47="简单平均"</formula>
    </cfRule>
  </conditionalFormatting>
  <conditionalFormatting sqref="F51:F53 H51:H53 J51:J53">
    <cfRule type="containsText" dxfId="54" priority="14" stopIfTrue="1" operator="containsText" text="超过">
      <formula>NOT(ISERROR(SEARCH("超过",F51)))</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G53">
    <cfRule type="expression" dxfId="51" priority="12" stopIfTrue="1">
      <formula>$H$53="超过30%"</formula>
    </cfRule>
  </conditionalFormatting>
  <conditionalFormatting sqref="H47">
    <cfRule type="expression" dxfId="50" priority="3">
      <formula>$D$47="简单平均"</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J47">
    <cfRule type="expression" dxfId="4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0">
        <f ca="1">ROUND(IF(D2="——",C52/10000,C52/10000-E2),4)</f>
        <v>7626.0619999999999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8440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1807182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1807182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1807182</v>
      </c>
      <c r="D10" s="795">
        <f ca="1">IF(B1="",'数据-汇总表'!E6,IF(INDIRECT("'数据-取费表'!c"&amp;$G$1)="住宅",INDIRECT("'数据-取费表'!s"&amp;$G$1),INDIRECT("'数据-取费表'!k"&amp;$G$1)+INDIRECT("'数据-取费表'!s"&amp;$G$1)))</f>
        <v>9035.91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1807182</v>
      </c>
      <c r="D19" s="204">
        <f ca="1">D9+D10</f>
        <v>9035.91</v>
      </c>
      <c r="E19" s="203">
        <f>'数据-取费表'!B31</f>
        <v>200</v>
      </c>
      <c r="F19" s="223"/>
      <c r="G19" s="1714"/>
    </row>
    <row r="20" spans="1:7" s="206" customFormat="1" ht="13.5" customHeight="1">
      <c r="A20" s="247" t="s">
        <v>1574</v>
      </c>
      <c r="B20" s="202" t="s">
        <v>1575</v>
      </c>
      <c r="C20" s="224">
        <f ca="1">ROUND((C5+C19)*F20,0)</f>
        <v>108431</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185847</v>
      </c>
      <c r="D22" s="227">
        <f ca="1">C26</f>
        <v>8.0000000000000004E-4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91567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91567</v>
      </c>
      <c r="D24" s="230"/>
      <c r="E24" s="230"/>
      <c r="F24" s="231"/>
      <c r="G24" s="232" t="s">
        <v>1586</v>
      </c>
    </row>
    <row r="25" spans="1:7" s="206" customFormat="1" ht="24">
      <c r="A25" s="734" t="s">
        <v>1476</v>
      </c>
      <c r="B25" s="207" t="s">
        <v>1587</v>
      </c>
      <c r="C25" s="230">
        <f ca="1">ROUND(IF('数据-取费表'!B22&lt;=1,C20*F22*'数据-取费表'!B22/2,C20*(POWER((1+F22),'数据-取费表'!B22/2)-1)),0)</f>
        <v>2713</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744559</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744559</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5113970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60359879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54215460</v>
      </c>
      <c r="D34" s="209"/>
      <c r="E34" s="212"/>
      <c r="F34" s="249"/>
      <c r="G34" s="211"/>
    </row>
    <row r="35" spans="1:7" ht="13.5" customHeight="1">
      <c r="A35" s="734" t="s">
        <v>351</v>
      </c>
      <c r="B35" s="207" t="s">
        <v>1527</v>
      </c>
      <c r="C35" s="212">
        <f ca="1">ROUND(C34*F35,0)</f>
        <v>3252928</v>
      </c>
      <c r="D35" s="212"/>
      <c r="E35" s="212"/>
      <c r="F35" s="251">
        <f>'数据-取费表'!B33</f>
        <v>0.06</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1807182</v>
      </c>
      <c r="D37" s="209">
        <f ca="1">D19</f>
        <v>9035.91</v>
      </c>
      <c r="E37" s="241">
        <f>'数据-取费表'!B35</f>
        <v>200</v>
      </c>
      <c r="F37" s="251"/>
      <c r="G37" s="253"/>
    </row>
    <row r="38" spans="1:7" ht="13.5" customHeight="1">
      <c r="A38" s="734" t="s">
        <v>354</v>
      </c>
      <c r="B38" s="207" t="s">
        <v>1533</v>
      </c>
      <c r="C38" s="212">
        <f ca="1">ROUND(C34*F38,0)</f>
        <v>1084309</v>
      </c>
      <c r="D38" s="212"/>
      <c r="E38" s="212"/>
      <c r="F38" s="251">
        <f>'数据-取费表'!B36</f>
        <v>0.02</v>
      </c>
      <c r="G38" s="211" t="s">
        <v>1528</v>
      </c>
    </row>
    <row r="39" spans="1:7" s="206" customFormat="1" ht="13.5" customHeight="1">
      <c r="A39" s="247" t="s">
        <v>1534</v>
      </c>
      <c r="B39" s="202" t="s">
        <v>1535</v>
      </c>
      <c r="C39" s="224">
        <f ca="1">ROUND(C33*F20,0)</f>
        <v>1810796</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1555586</v>
      </c>
      <c r="D41" s="227">
        <f ca="1">C44</f>
        <v>8.0000000000000004E-4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1510278</v>
      </c>
      <c r="D42" s="230"/>
      <c r="E42" s="230"/>
      <c r="F42" s="231"/>
      <c r="G42" s="3345" t="s">
        <v>1591</v>
      </c>
    </row>
    <row r="43" spans="1:7" ht="13.5" customHeight="1">
      <c r="A43" s="734" t="s">
        <v>347</v>
      </c>
      <c r="B43" s="207" t="s">
        <v>1545</v>
      </c>
      <c r="C43" s="230">
        <f ca="1">ROUND(IF('数据-取费表'!B22&lt;=1,C39*F22*'数据-取费表'!B20/2,C39*(POWER((1+F22),'数据-取费表'!B20/2)-1)),0)</f>
        <v>45308</v>
      </c>
      <c r="D43" s="230"/>
      <c r="E43" s="230"/>
      <c r="F43" s="231"/>
      <c r="G43" s="3346"/>
    </row>
    <row r="44" spans="1:7" ht="13.5" customHeight="1">
      <c r="A44" s="734" t="s">
        <v>348</v>
      </c>
      <c r="B44" s="207" t="s">
        <v>1546</v>
      </c>
      <c r="C44" s="230">
        <f ca="1">ROUND(IF('数据-取费表'!B22&lt;=1,C40*F22*'数据-取费表'!B20/2,C40*(POWER((1+F22),'数据-取费表'!B20/2)-1)),4)</f>
        <v>8.0000000000000004E-4</v>
      </c>
      <c r="D44" s="230"/>
      <c r="E44" s="230"/>
      <c r="F44" s="231"/>
      <c r="G44" s="3347"/>
    </row>
    <row r="45" spans="1:7" s="206" customFormat="1" ht="13.5" customHeight="1">
      <c r="A45" s="247" t="s">
        <v>1547</v>
      </c>
      <c r="B45" s="236" t="s">
        <v>1513</v>
      </c>
      <c r="C45" s="237">
        <f ca="1">C46</f>
        <v>12434135</v>
      </c>
      <c r="D45" s="227">
        <f ca="1">C47</f>
        <v>6.0000000000000001E-3</v>
      </c>
      <c r="E45" s="228" t="s">
        <v>1539</v>
      </c>
      <c r="F45" s="238">
        <f ca="1">F27</f>
        <v>0.2</v>
      </c>
      <c r="G45" s="239" t="s">
        <v>1548</v>
      </c>
    </row>
    <row r="46" spans="1:7" s="206" customFormat="1" ht="13.5" customHeight="1">
      <c r="A46" s="734" t="s">
        <v>346</v>
      </c>
      <c r="B46" s="240" t="s">
        <v>1549</v>
      </c>
      <c r="C46" s="241">
        <f ca="1">ROUND((C33+C39)*F27,0)</f>
        <v>12434135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83701941</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71146650</v>
      </c>
      <c r="D51" s="224"/>
      <c r="E51" s="224"/>
      <c r="F51" s="256"/>
      <c r="G51" s="226" t="s">
        <v>1560</v>
      </c>
    </row>
    <row r="52" spans="1:7" s="200" customFormat="1" ht="16.5" thickBot="1">
      <c r="A52" s="257" t="s">
        <v>1561</v>
      </c>
      <c r="B52" s="258"/>
      <c r="C52" s="259">
        <f ca="1">C31+C51</f>
        <v>76260620</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8</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0.06</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9035.91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9035.91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181</v>
      </c>
      <c r="D20" s="796">
        <f ca="1">IF(C1="",'数据-汇总表'!E6,IF(INDIRECT("'数据-取费表'!c"&amp;$K$1)="住宅",INDIRECT("'数据-取费表'!s"&amp;$K$1),INDIRECT("'数据-取费表'!k"&amp;$K$1)+INDIRECT("'数据-取费表'!s"&amp;$K$1)))</f>
        <v>9035.91</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0</v>
      </c>
      <c r="D6" s="147" t="s">
        <v>2106</v>
      </c>
      <c r="E6" s="294" t="s">
        <v>696</v>
      </c>
      <c r="F6" s="295">
        <f ca="1">INDIRECT("'数据-取费表'!u"&amp;$G$1)</f>
        <v>0</v>
      </c>
      <c r="G6" s="1292"/>
      <c r="H6" s="1006" t="s">
        <v>398</v>
      </c>
      <c r="I6" s="3348" t="s">
        <v>694</v>
      </c>
      <c r="J6" s="293">
        <f ca="1">ROUND(M6*M8*M7*(1-M9),0)</f>
        <v>0</v>
      </c>
      <c r="K6" s="1284" t="s">
        <v>2107</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#DIV/0!</v>
      </c>
      <c r="D45" s="3128"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15" customHeight="1">
      <c r="A2" s="1293" t="s">
        <v>2313</v>
      </c>
      <c r="B2" s="2592" t="e">
        <f>IF(D2="——",C40,C40+E2)</f>
        <v>#DIV/0!</v>
      </c>
      <c r="C2" s="2593" t="s">
        <v>2314</v>
      </c>
      <c r="D2" s="3136" t="s">
        <v>3357</v>
      </c>
      <c r="E2" s="3137"/>
      <c r="F2" s="2595"/>
      <c r="G2" s="2596"/>
      <c r="H2" s="2597"/>
      <c r="I2" s="2598"/>
      <c r="J2" s="3359" t="s">
        <v>2315</v>
      </c>
      <c r="K2" s="3360"/>
      <c r="L2" s="2599" t="s">
        <v>2316</v>
      </c>
      <c r="M2" s="2599" t="s">
        <v>2317</v>
      </c>
      <c r="N2" s="2599" t="s">
        <v>2318</v>
      </c>
      <c r="O2" s="2599" t="s">
        <v>2319</v>
      </c>
      <c r="P2" s="2599" t="s">
        <v>2320</v>
      </c>
      <c r="Q2" s="2600" t="s">
        <v>2321</v>
      </c>
      <c r="R2" s="2601" t="s">
        <v>2322</v>
      </c>
      <c r="S2" s="2590"/>
      <c r="T2" s="2590"/>
      <c r="U2" s="2590"/>
      <c r="V2" s="2598"/>
    </row>
    <row r="3" spans="1:22" s="2602" customFormat="1" ht="13.15" customHeight="1">
      <c r="A3" s="2603" t="s">
        <v>2323</v>
      </c>
      <c r="B3" s="2604" t="e">
        <f>ROUND(B2*10000/B4,0)</f>
        <v>#DIV/0!</v>
      </c>
      <c r="C3" s="2593" t="s">
        <v>2324</v>
      </c>
      <c r="D3" s="2593"/>
      <c r="E3" s="2594"/>
      <c r="F3" s="2595"/>
      <c r="G3" s="2596"/>
      <c r="H3" s="2597"/>
      <c r="I3" s="2598"/>
      <c r="J3" s="3361" t="s">
        <v>2325</v>
      </c>
      <c r="K3" s="3362"/>
      <c r="L3" s="2605"/>
      <c r="M3" s="2605"/>
      <c r="N3" s="2605"/>
      <c r="O3" s="2605"/>
      <c r="P3" s="2605"/>
      <c r="Q3" s="2606"/>
      <c r="R3" s="2607">
        <f>SUM(L3:Q3)</f>
        <v>0</v>
      </c>
      <c r="S3" s="2590"/>
      <c r="T3" s="2590"/>
      <c r="U3" s="2590"/>
      <c r="V3" s="2598"/>
    </row>
    <row r="4" spans="1:22" s="2602" customFormat="1" ht="13.15" customHeight="1">
      <c r="A4" s="2608" t="s">
        <v>2326</v>
      </c>
      <c r="B4" s="2609"/>
      <c r="C4" s="2593"/>
      <c r="D4" s="2593"/>
      <c r="E4" s="2594"/>
      <c r="F4" s="2595"/>
      <c r="G4" s="2596"/>
      <c r="H4" s="2597"/>
      <c r="I4" s="2598"/>
      <c r="J4" s="3361" t="s">
        <v>2327</v>
      </c>
      <c r="K4" s="3362"/>
      <c r="L4" s="2610"/>
      <c r="M4" s="2610"/>
      <c r="N4" s="2610"/>
      <c r="O4" s="2610"/>
      <c r="P4" s="2610"/>
      <c r="Q4" s="2611"/>
      <c r="R4" s="2612">
        <f>SUM(L4:Q4)</f>
        <v>0</v>
      </c>
      <c r="S4" s="2590"/>
      <c r="T4" s="2590"/>
      <c r="U4" s="2590"/>
      <c r="V4" s="2598"/>
    </row>
    <row r="5" spans="1:22" s="2602" customFormat="1" ht="13.15"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15" customHeight="1" thickBot="1">
      <c r="A6" s="3367" t="s">
        <v>2331</v>
      </c>
      <c r="B6" s="3368"/>
      <c r="C6" s="3369"/>
      <c r="D6" s="2619"/>
      <c r="E6" s="2620"/>
      <c r="F6" s="2621"/>
      <c r="G6" s="2622"/>
      <c r="H6" s="2597"/>
      <c r="I6" s="2598"/>
      <c r="J6" s="3353">
        <v>1</v>
      </c>
      <c r="K6" s="3354"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15" customHeight="1">
      <c r="A7" s="2625" t="s">
        <v>2341</v>
      </c>
      <c r="B7" s="2626"/>
      <c r="C7" s="2627"/>
      <c r="D7" s="2628">
        <f>SUM(D9,D10,D11,D17,0)</f>
        <v>0</v>
      </c>
      <c r="E7" s="2629" t="e">
        <f>E9+E10+E11+E17</f>
        <v>#DIV/0!</v>
      </c>
      <c r="F7" s="2630"/>
      <c r="G7" s="2631"/>
      <c r="H7" s="2597"/>
      <c r="I7" s="2598"/>
      <c r="J7" s="3353"/>
      <c r="K7" s="3355"/>
      <c r="L7" s="2632" t="s">
        <v>2342</v>
      </c>
      <c r="M7" s="2633"/>
      <c r="N7" s="2609"/>
      <c r="O7" s="2634"/>
      <c r="P7" s="2634"/>
      <c r="Q7" s="2635">
        <v>365</v>
      </c>
      <c r="R7" s="2636">
        <f>ROUND(M7*N7*O7*P7*Q7/10000,0)</f>
        <v>0</v>
      </c>
      <c r="S7" s="2590"/>
      <c r="T7" s="2590" t="s">
        <v>2343</v>
      </c>
      <c r="U7" s="2590"/>
      <c r="V7" s="2598"/>
    </row>
    <row r="8" spans="1:22" s="2602" customFormat="1" ht="13.15" customHeight="1">
      <c r="A8" s="2637" t="s">
        <v>2344</v>
      </c>
      <c r="B8" s="3370" t="s">
        <v>2345</v>
      </c>
      <c r="C8" s="3371"/>
      <c r="D8" s="2638" t="s">
        <v>2346</v>
      </c>
      <c r="E8" s="2639" t="s">
        <v>2347</v>
      </c>
      <c r="F8" s="2640" t="s">
        <v>2348</v>
      </c>
      <c r="G8" s="2641"/>
      <c r="H8" s="2597"/>
      <c r="I8" s="2598"/>
      <c r="J8" s="3353"/>
      <c r="K8" s="3355"/>
      <c r="L8" s="2632" t="s">
        <v>2349</v>
      </c>
      <c r="M8" s="2633"/>
      <c r="N8" s="2609"/>
      <c r="O8" s="2634"/>
      <c r="P8" s="2634"/>
      <c r="Q8" s="2635">
        <v>365</v>
      </c>
      <c r="R8" s="2636">
        <f t="shared" ref="R8:R13" si="0">ROUND(M8*N8*O8*P8*Q8/10000,0)</f>
        <v>0</v>
      </c>
      <c r="S8" s="2590"/>
      <c r="T8" s="2590" t="s">
        <v>2350</v>
      </c>
      <c r="U8" s="2590"/>
      <c r="V8" s="2598"/>
    </row>
    <row r="9" spans="1:22" s="2602" customFormat="1" ht="13.15" customHeight="1">
      <c r="A9" s="2637">
        <v>1</v>
      </c>
      <c r="B9" s="3370" t="s">
        <v>2351</v>
      </c>
      <c r="C9" s="3371"/>
      <c r="D9" s="2638">
        <f>ROUND(D6*E9,0)</f>
        <v>0</v>
      </c>
      <c r="E9" s="2642"/>
      <c r="F9" s="2643" t="s">
        <v>2352</v>
      </c>
      <c r="G9" s="2622"/>
      <c r="H9" s="2597"/>
      <c r="I9" s="2598"/>
      <c r="J9" s="3353"/>
      <c r="K9" s="3355"/>
      <c r="L9" s="2632" t="s">
        <v>2353</v>
      </c>
      <c r="M9" s="2633"/>
      <c r="N9" s="2609"/>
      <c r="O9" s="2634"/>
      <c r="P9" s="2634"/>
      <c r="Q9" s="2635">
        <v>365</v>
      </c>
      <c r="R9" s="2636">
        <f t="shared" si="0"/>
        <v>0</v>
      </c>
      <c r="S9" s="2590"/>
      <c r="T9" s="2590"/>
      <c r="U9" s="2590"/>
      <c r="V9" s="2598"/>
    </row>
    <row r="10" spans="1:22" s="2602" customFormat="1" ht="13.15" customHeight="1">
      <c r="A10" s="2637">
        <v>2</v>
      </c>
      <c r="B10" s="3370" t="s">
        <v>2354</v>
      </c>
      <c r="C10" s="3371"/>
      <c r="D10" s="2638">
        <f>ROUND(D6*E10,0)</f>
        <v>0</v>
      </c>
      <c r="E10" s="2642"/>
      <c r="F10" s="2643" t="s">
        <v>2355</v>
      </c>
      <c r="G10" s="2622"/>
      <c r="H10" s="2597"/>
      <c r="I10" s="2598"/>
      <c r="J10" s="3353"/>
      <c r="K10" s="3355"/>
      <c r="L10" s="2632" t="s">
        <v>2356</v>
      </c>
      <c r="M10" s="2633"/>
      <c r="N10" s="2609"/>
      <c r="O10" s="2634"/>
      <c r="P10" s="2634"/>
      <c r="Q10" s="2635">
        <v>365</v>
      </c>
      <c r="R10" s="2636">
        <f t="shared" si="0"/>
        <v>0</v>
      </c>
      <c r="S10" s="2590"/>
      <c r="T10" s="2590"/>
      <c r="U10" s="2590"/>
      <c r="V10" s="2598"/>
    </row>
    <row r="11" spans="1:22" s="2602" customFormat="1" ht="13.15" customHeight="1">
      <c r="A11" s="2637">
        <v>3</v>
      </c>
      <c r="B11" s="3370" t="s">
        <v>2357</v>
      </c>
      <c r="C11" s="3371"/>
      <c r="D11" s="2638">
        <f>D12+D14+D15+D16</f>
        <v>0</v>
      </c>
      <c r="E11" s="2644" t="e">
        <f>D11/D6</f>
        <v>#DIV/0!</v>
      </c>
      <c r="F11" s="2640"/>
      <c r="G11" s="2641"/>
      <c r="H11" s="2597"/>
      <c r="I11" s="2598"/>
      <c r="J11" s="3353"/>
      <c r="K11" s="3355"/>
      <c r="L11" s="2632" t="s">
        <v>2358</v>
      </c>
      <c r="M11" s="2633"/>
      <c r="N11" s="2609"/>
      <c r="O11" s="2634"/>
      <c r="P11" s="2634"/>
      <c r="Q11" s="2635">
        <v>365</v>
      </c>
      <c r="R11" s="2636">
        <f t="shared" si="0"/>
        <v>0</v>
      </c>
      <c r="S11" s="2590"/>
      <c r="T11" s="2590"/>
      <c r="U11" s="2590"/>
      <c r="V11" s="2598"/>
    </row>
    <row r="12" spans="1:22" s="2602" customFormat="1" ht="13.15" customHeight="1">
      <c r="A12" s="2645" t="s">
        <v>2359</v>
      </c>
      <c r="B12" s="3363" t="s">
        <v>2360</v>
      </c>
      <c r="C12" s="3364"/>
      <c r="D12" s="2646">
        <f>ROUND(D13*1.2%*(1-30%),0)</f>
        <v>0</v>
      </c>
      <c r="E12" s="2647">
        <v>1.2E-2</v>
      </c>
      <c r="F12" s="2640" t="s">
        <v>2361</v>
      </c>
      <c r="G12" s="2641"/>
      <c r="H12" s="2597"/>
      <c r="I12" s="2598"/>
      <c r="J12" s="3353"/>
      <c r="K12" s="3355"/>
      <c r="L12" s="2632" t="s">
        <v>2362</v>
      </c>
      <c r="M12" s="2633"/>
      <c r="N12" s="2609"/>
      <c r="O12" s="2634"/>
      <c r="P12" s="2634"/>
      <c r="Q12" s="2635">
        <v>365</v>
      </c>
      <c r="R12" s="2636">
        <f t="shared" si="0"/>
        <v>0</v>
      </c>
      <c r="S12" s="2590"/>
      <c r="T12" s="2590"/>
      <c r="U12" s="2590"/>
      <c r="V12" s="2598"/>
    </row>
    <row r="13" spans="1:22" s="2602" customFormat="1" ht="13.15" customHeight="1">
      <c r="A13" s="2645"/>
      <c r="B13" s="2648"/>
      <c r="C13" s="2649" t="s">
        <v>2363</v>
      </c>
      <c r="D13" s="2650"/>
      <c r="E13" s="2651"/>
      <c r="F13" s="2640"/>
      <c r="G13" s="2641"/>
      <c r="H13" s="2597"/>
      <c r="I13" s="2598"/>
      <c r="J13" s="3353"/>
      <c r="K13" s="3355"/>
      <c r="L13" s="2632" t="s">
        <v>2364</v>
      </c>
      <c r="M13" s="2633"/>
      <c r="N13" s="2609"/>
      <c r="O13" s="2634"/>
      <c r="P13" s="2634"/>
      <c r="Q13" s="2635">
        <v>365</v>
      </c>
      <c r="R13" s="2636">
        <f t="shared" si="0"/>
        <v>0</v>
      </c>
      <c r="S13" s="2590"/>
      <c r="T13" s="2590"/>
      <c r="U13" s="2590"/>
      <c r="V13" s="2598"/>
    </row>
    <row r="14" spans="1:22" s="2602" customFormat="1" ht="13.15" customHeight="1">
      <c r="A14" s="2645" t="s">
        <v>2365</v>
      </c>
      <c r="B14" s="3363" t="s">
        <v>2366</v>
      </c>
      <c r="C14" s="3364"/>
      <c r="D14" s="2646">
        <f>ROUND(E14*B5/10000,0)</f>
        <v>0</v>
      </c>
      <c r="E14" s="2635"/>
      <c r="F14" s="2640" t="s">
        <v>2367</v>
      </c>
      <c r="G14" s="2641"/>
      <c r="H14" s="2597"/>
      <c r="I14" s="2598"/>
      <c r="J14" s="3353"/>
      <c r="K14" s="3356"/>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2369</v>
      </c>
      <c r="B15" s="3363" t="s">
        <v>2370</v>
      </c>
      <c r="C15" s="3364"/>
      <c r="D15" s="2646">
        <f>ROUND(D6*E15,0)</f>
        <v>0</v>
      </c>
      <c r="E15" s="2647">
        <v>5.5E-2</v>
      </c>
      <c r="F15" s="2640" t="s">
        <v>2371</v>
      </c>
      <c r="G15" s="2622"/>
      <c r="H15" s="2597"/>
      <c r="I15" s="2598"/>
      <c r="J15" s="3353">
        <v>2</v>
      </c>
      <c r="K15" s="3354"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15" customHeight="1">
      <c r="A16" s="2645" t="s">
        <v>2378</v>
      </c>
      <c r="B16" s="3363" t="s">
        <v>2379</v>
      </c>
      <c r="C16" s="3364"/>
      <c r="D16" s="2657">
        <f>D6*E16</f>
        <v>0</v>
      </c>
      <c r="E16" s="2658"/>
      <c r="F16" s="2643" t="s">
        <v>2380</v>
      </c>
      <c r="G16" s="2622"/>
      <c r="H16" s="2597"/>
      <c r="I16" s="2598"/>
      <c r="J16" s="3353"/>
      <c r="K16" s="3355"/>
      <c r="L16" s="2632" t="s">
        <v>2381</v>
      </c>
      <c r="M16" s="2633"/>
      <c r="N16" s="2633"/>
      <c r="O16" s="2634"/>
      <c r="P16" s="2635">
        <v>365</v>
      </c>
      <c r="Q16" s="2609"/>
      <c r="R16" s="2656">
        <f>ROUND(M16*N16*O16*P16/10000,0)</f>
        <v>0</v>
      </c>
      <c r="S16" s="2590"/>
      <c r="T16" s="2590"/>
      <c r="U16" s="2590"/>
      <c r="V16" s="2598"/>
    </row>
    <row r="17" spans="1:22" s="2602" customFormat="1" ht="13.15" customHeight="1" thickBot="1">
      <c r="A17" s="2659">
        <v>4</v>
      </c>
      <c r="B17" s="3365" t="s">
        <v>2382</v>
      </c>
      <c r="C17" s="3366"/>
      <c r="D17" s="2660">
        <f>ROUND(D6*E17,0)</f>
        <v>0</v>
      </c>
      <c r="E17" s="2661"/>
      <c r="F17" s="2662" t="s">
        <v>2383</v>
      </c>
      <c r="G17" s="2622"/>
      <c r="H17" s="2597"/>
      <c r="I17" s="2598"/>
      <c r="J17" s="3353"/>
      <c r="K17" s="3355"/>
      <c r="L17" s="2632" t="s">
        <v>2384</v>
      </c>
      <c r="M17" s="2633"/>
      <c r="N17" s="2633"/>
      <c r="O17" s="2634"/>
      <c r="P17" s="2635">
        <v>365</v>
      </c>
      <c r="Q17" s="2609"/>
      <c r="R17" s="2656">
        <f>ROUND(M17*N17*O17*P17/10000,0)</f>
        <v>0</v>
      </c>
      <c r="S17" s="2590"/>
      <c r="T17" s="2590"/>
      <c r="U17" s="2590"/>
      <c r="V17" s="2598"/>
    </row>
    <row r="18" spans="1:22" s="2602" customFormat="1" ht="13.15" customHeight="1" thickBot="1">
      <c r="A18" s="2625" t="s">
        <v>2385</v>
      </c>
      <c r="B18" s="2626"/>
      <c r="C18" s="2626"/>
      <c r="D18" s="2663">
        <f>ROUND(D6*E18,0)</f>
        <v>0</v>
      </c>
      <c r="E18" s="2664"/>
      <c r="F18" s="2665" t="s">
        <v>2386</v>
      </c>
      <c r="G18" s="2622"/>
      <c r="H18" s="2597"/>
      <c r="I18" s="2598"/>
      <c r="J18" s="3353"/>
      <c r="K18" s="3355"/>
      <c r="L18" s="2632" t="s">
        <v>2387</v>
      </c>
      <c r="M18" s="2633"/>
      <c r="N18" s="2633"/>
      <c r="O18" s="2634"/>
      <c r="P18" s="2635">
        <v>365</v>
      </c>
      <c r="Q18" s="2609"/>
      <c r="R18" s="2656">
        <f>ROUND(M18*N18*O18*P18/10000,0)</f>
        <v>0</v>
      </c>
      <c r="S18" s="2590"/>
      <c r="T18" s="2590"/>
      <c r="U18" s="2590"/>
      <c r="V18" s="2598"/>
    </row>
    <row r="19" spans="1:22" s="2602" customFormat="1" ht="13.15" customHeight="1" thickBot="1">
      <c r="A19" s="2666" t="s">
        <v>2388</v>
      </c>
      <c r="B19" s="2620"/>
      <c r="C19" s="2620"/>
      <c r="D19" s="2620"/>
      <c r="E19" s="2620"/>
      <c r="F19" s="2621"/>
      <c r="G19" s="2641"/>
      <c r="H19" s="2597"/>
      <c r="I19" s="2598"/>
      <c r="J19" s="3353"/>
      <c r="K19" s="3356"/>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53">
        <v>3</v>
      </c>
      <c r="K20" s="3354"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15" customHeight="1">
      <c r="A21" s="2625"/>
      <c r="B21" s="2626"/>
      <c r="C21" s="2671" t="s">
        <v>2397</v>
      </c>
      <c r="D21" s="2672" t="s">
        <v>2398</v>
      </c>
      <c r="E21" s="2673" t="s">
        <v>2399</v>
      </c>
      <c r="F21" s="2669"/>
      <c r="G21" s="2641"/>
      <c r="H21" s="2597"/>
      <c r="I21" s="2598"/>
      <c r="J21" s="3353"/>
      <c r="K21" s="3355"/>
      <c r="L21" s="2632" t="s">
        <v>2400</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2401</v>
      </c>
      <c r="D22" s="2676" t="s">
        <v>2402</v>
      </c>
      <c r="E22" s="2677" t="s">
        <v>2403</v>
      </c>
      <c r="F22" s="2669"/>
      <c r="G22" s="2590"/>
      <c r="H22" s="2597"/>
      <c r="I22" s="2598"/>
      <c r="J22" s="3353"/>
      <c r="K22" s="3355"/>
      <c r="L22" s="2632" t="s">
        <v>2404</v>
      </c>
      <c r="M22" s="2633"/>
      <c r="N22" s="2633"/>
      <c r="O22" s="2634"/>
      <c r="P22" s="2635">
        <v>365</v>
      </c>
      <c r="Q22" s="2609"/>
      <c r="R22" s="2674">
        <f>ROUND(M22*N22*O22*P22/10000,0)</f>
        <v>0</v>
      </c>
      <c r="S22" s="2590"/>
      <c r="T22" s="2590"/>
      <c r="U22" s="2590"/>
      <c r="V22" s="2598"/>
    </row>
    <row r="23" spans="1:22" s="2602" customFormat="1" ht="13.15" customHeight="1">
      <c r="A23" s="2678">
        <v>1</v>
      </c>
      <c r="B23" s="2679" t="s">
        <v>2405</v>
      </c>
      <c r="C23" s="2680">
        <f>D6</f>
        <v>0</v>
      </c>
      <c r="D23" s="2681">
        <f>C23*(1+D24)</f>
        <v>0</v>
      </c>
      <c r="E23" s="2682">
        <f>D23*(1+E24)</f>
        <v>0</v>
      </c>
      <c r="F23" s="2683"/>
      <c r="G23" s="2684"/>
      <c r="H23" s="2597"/>
      <c r="I23" s="2598"/>
      <c r="J23" s="3353"/>
      <c r="K23" s="3355"/>
      <c r="L23" s="2632" t="s">
        <v>2406</v>
      </c>
      <c r="M23" s="2633"/>
      <c r="N23" s="2633"/>
      <c r="O23" s="2634"/>
      <c r="P23" s="2635">
        <v>365</v>
      </c>
      <c r="Q23" s="2609"/>
      <c r="R23" s="2674">
        <f>ROUND(M23*N23*O23*P23/10000,0)</f>
        <v>0</v>
      </c>
      <c r="S23" s="2590"/>
      <c r="T23" s="2590"/>
      <c r="U23" s="2590"/>
      <c r="V23" s="2598"/>
    </row>
    <row r="24" spans="1:22" s="2602" customFormat="1" ht="13.15" customHeight="1">
      <c r="A24" s="2685"/>
      <c r="B24" s="2686" t="s">
        <v>2407</v>
      </c>
      <c r="C24" s="2687"/>
      <c r="D24" s="2688"/>
      <c r="E24" s="2689"/>
      <c r="F24" s="2690"/>
      <c r="G24" s="2684"/>
      <c r="H24" s="2597"/>
      <c r="I24" s="2598"/>
      <c r="J24" s="3353"/>
      <c r="K24" s="3356"/>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15" customHeight="1">
      <c r="A26" s="2678">
        <v>2</v>
      </c>
      <c r="B26" s="2679" t="s">
        <v>2409</v>
      </c>
      <c r="C26" s="2680">
        <f>D7</f>
        <v>0</v>
      </c>
      <c r="D26" s="2681">
        <f>D23*D27</f>
        <v>0</v>
      </c>
      <c r="E26" s="2682">
        <f>E23*E27</f>
        <v>0</v>
      </c>
      <c r="F26" s="2683"/>
      <c r="G26" s="2684"/>
      <c r="H26" s="2597"/>
      <c r="I26" s="2598"/>
      <c r="J26" s="3357">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15" customHeight="1">
      <c r="A27" s="2685"/>
      <c r="B27" s="2686" t="s">
        <v>2415</v>
      </c>
      <c r="C27" s="2703" t="e">
        <f>E7</f>
        <v>#DIV/0!</v>
      </c>
      <c r="D27" s="2688"/>
      <c r="E27" s="2689"/>
      <c r="F27" s="2690"/>
      <c r="G27" s="2684"/>
      <c r="H27" s="2704"/>
      <c r="I27" s="2696"/>
      <c r="J27" s="3358"/>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15"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15" customHeight="1">
      <c r="A32" s="2678">
        <v>4</v>
      </c>
      <c r="B32" s="2679" t="s">
        <v>2423</v>
      </c>
      <c r="C32" s="2680">
        <f>C23-C26-C29</f>
        <v>0</v>
      </c>
      <c r="D32" s="2681">
        <f>D23-D26-D29</f>
        <v>0</v>
      </c>
      <c r="E32" s="2682">
        <f>E23-E26-E29</f>
        <v>0</v>
      </c>
      <c r="F32" s="2683"/>
      <c r="G32" s="2590"/>
      <c r="H32" s="2597"/>
      <c r="I32" s="2598"/>
      <c r="J32" s="3359" t="s">
        <v>2315</v>
      </c>
      <c r="K32" s="3360"/>
      <c r="L32" s="2599" t="s">
        <v>2316</v>
      </c>
      <c r="M32" s="2599" t="s">
        <v>2317</v>
      </c>
      <c r="N32" s="2599" t="s">
        <v>2318</v>
      </c>
      <c r="O32" s="2599" t="s">
        <v>2319</v>
      </c>
      <c r="P32" s="2599" t="s">
        <v>2320</v>
      </c>
      <c r="Q32" s="2600" t="s">
        <v>2321</v>
      </c>
      <c r="R32" s="2719" t="s">
        <v>2322</v>
      </c>
      <c r="S32" s="2590"/>
      <c r="T32" s="2590"/>
      <c r="U32" s="2590"/>
      <c r="V32" s="2696"/>
    </row>
    <row r="33" spans="1:23" s="2602" customFormat="1" ht="13.15" customHeight="1">
      <c r="A33" s="2678"/>
      <c r="B33" s="2679"/>
      <c r="C33" s="2680"/>
      <c r="D33" s="2720"/>
      <c r="E33" s="2721"/>
      <c r="F33" s="2683"/>
      <c r="G33" s="2590"/>
      <c r="H33" s="2704"/>
      <c r="I33" s="2696"/>
      <c r="J33" s="3361" t="s">
        <v>2325</v>
      </c>
      <c r="K33" s="3362"/>
      <c r="L33" s="2605"/>
      <c r="M33" s="2605"/>
      <c r="N33" s="2605"/>
      <c r="O33" s="2605"/>
      <c r="P33" s="2605"/>
      <c r="Q33" s="2606"/>
      <c r="R33" s="2722">
        <f>SUM(L33:Q33)</f>
        <v>0</v>
      </c>
      <c r="S33" s="2590"/>
      <c r="T33" s="2590"/>
      <c r="U33" s="2590"/>
      <c r="V33" s="2598"/>
    </row>
    <row r="34" spans="1:23" s="2602" customFormat="1" ht="13.15" customHeight="1">
      <c r="A34" s="2678">
        <v>5</v>
      </c>
      <c r="B34" s="2679" t="s">
        <v>2424</v>
      </c>
      <c r="C34" s="2723"/>
      <c r="D34" s="2724"/>
      <c r="E34" s="2725"/>
      <c r="F34" s="2683"/>
      <c r="G34" s="2590"/>
      <c r="H34" s="2704"/>
      <c r="I34" s="2696"/>
      <c r="J34" s="3361" t="s">
        <v>2327</v>
      </c>
      <c r="K34" s="3362"/>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15" customHeight="1" thickBot="1">
      <c r="A36" s="2678">
        <v>7</v>
      </c>
      <c r="B36" s="2732" t="s">
        <v>2426</v>
      </c>
      <c r="C36" s="2733"/>
      <c r="D36" s="2734"/>
      <c r="E36" s="2735"/>
      <c r="F36" s="2736">
        <f>C36+D36+E36</f>
        <v>0</v>
      </c>
      <c r="G36" s="2590"/>
      <c r="H36" s="2597"/>
      <c r="I36" s="2598"/>
      <c r="J36" s="3353">
        <v>1</v>
      </c>
      <c r="K36" s="3354" t="s">
        <v>2427</v>
      </c>
      <c r="L36" s="2623"/>
      <c r="M36" s="2624"/>
      <c r="N36" s="2624"/>
      <c r="O36" s="2624"/>
      <c r="P36" s="2624"/>
      <c r="Q36" s="2624"/>
      <c r="R36" s="2607" t="s">
        <v>2339</v>
      </c>
      <c r="S36" s="2590"/>
      <c r="T36" s="2590" t="s">
        <v>2340</v>
      </c>
      <c r="U36" s="2590"/>
      <c r="V36" s="2598"/>
    </row>
    <row r="37" spans="1:23" s="2602" customFormat="1" ht="13.15" customHeight="1">
      <c r="A37" s="2678"/>
      <c r="B37" s="2679"/>
      <c r="C37" s="2679"/>
      <c r="D37" s="2679"/>
      <c r="E37" s="2679"/>
      <c r="F37" s="2683"/>
      <c r="G37" s="2590"/>
      <c r="H37" s="2597"/>
      <c r="I37" s="2598"/>
      <c r="J37" s="3353"/>
      <c r="K37" s="3355"/>
      <c r="L37" s="2632"/>
      <c r="M37" s="2633"/>
      <c r="N37" s="2609"/>
      <c r="O37" s="2634"/>
      <c r="P37" s="2634"/>
      <c r="Q37" s="2635"/>
      <c r="R37" s="2636"/>
      <c r="S37" s="2590"/>
      <c r="T37" s="2590" t="s">
        <v>2343</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53"/>
      <c r="K38" s="3355"/>
      <c r="L38" s="2632"/>
      <c r="M38" s="2633"/>
      <c r="N38" s="2609"/>
      <c r="O38" s="2634"/>
      <c r="P38" s="2634"/>
      <c r="Q38" s="2635"/>
      <c r="R38" s="2636"/>
      <c r="S38" s="2590"/>
      <c r="T38" s="2590" t="s">
        <v>2350</v>
      </c>
      <c r="U38" s="2590"/>
      <c r="V38" s="2598"/>
    </row>
    <row r="39" spans="1:23" s="2602" customFormat="1" ht="13.15" customHeight="1">
      <c r="A39" s="2678">
        <v>9</v>
      </c>
      <c r="B39" s="2679" t="s">
        <v>2428</v>
      </c>
      <c r="C39" s="2646" t="e">
        <f>C38</f>
        <v>#DIV/0!</v>
      </c>
      <c r="D39" s="2679">
        <f>D38/(1+D34)^C36</f>
        <v>0</v>
      </c>
      <c r="E39" s="2679">
        <f>E38/(1+E34)^(C36+D36)</f>
        <v>0</v>
      </c>
      <c r="F39" s="2683"/>
      <c r="G39" s="2598"/>
      <c r="H39" s="2597"/>
      <c r="I39" s="2598"/>
      <c r="J39" s="3353"/>
      <c r="K39" s="3355"/>
      <c r="L39" s="2632"/>
      <c r="M39" s="2633"/>
      <c r="N39" s="2609"/>
      <c r="O39" s="2634"/>
      <c r="P39" s="2634"/>
      <c r="Q39" s="2635"/>
      <c r="R39" s="2636"/>
      <c r="S39" s="2590"/>
      <c r="T39" s="2590"/>
      <c r="U39" s="2590"/>
      <c r="V39" s="2598"/>
    </row>
    <row r="40" spans="1:23" s="2602" customFormat="1" ht="13.15" customHeight="1">
      <c r="A40" s="2737">
        <v>10</v>
      </c>
      <c r="B40" s="2679" t="s">
        <v>2429</v>
      </c>
      <c r="C40" s="2738" t="e">
        <f>C39+D39+E39</f>
        <v>#DIV/0!</v>
      </c>
      <c r="D40" s="2739"/>
      <c r="E40" s="2739"/>
      <c r="F40" s="2740"/>
      <c r="G40" s="2590"/>
      <c r="H40" s="2597"/>
      <c r="I40" s="2598"/>
      <c r="J40" s="3353"/>
      <c r="K40" s="3356"/>
      <c r="L40" s="2652" t="s">
        <v>2368</v>
      </c>
      <c r="M40" s="2653"/>
      <c r="N40" s="2653"/>
      <c r="O40" s="2654"/>
      <c r="P40" s="2654"/>
      <c r="Q40" s="2655"/>
      <c r="R40" s="2601">
        <f>SUM(R37:R39)</f>
        <v>0</v>
      </c>
      <c r="S40" s="2590"/>
      <c r="T40" s="2590"/>
      <c r="U40" s="2590"/>
      <c r="V40" s="2598"/>
    </row>
    <row r="41" spans="1:23" s="2602" customFormat="1" ht="13.15"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15" customHeight="1">
      <c r="G42" s="2597"/>
      <c r="H42" s="2597"/>
      <c r="I42" s="2598"/>
      <c r="J42" s="3357">
        <v>3</v>
      </c>
      <c r="K42" s="2698" t="s">
        <v>2410</v>
      </c>
      <c r="L42" s="2699"/>
      <c r="M42" s="2700"/>
      <c r="N42" s="2701" t="s">
        <v>2411</v>
      </c>
      <c r="O42" s="2701" t="s">
        <v>2412</v>
      </c>
      <c r="P42" s="2702" t="s">
        <v>2413</v>
      </c>
      <c r="Q42" s="2702" t="s">
        <v>2414</v>
      </c>
      <c r="R42" s="2607" t="s">
        <v>2339</v>
      </c>
      <c r="S42" s="2641"/>
      <c r="T42" s="2641"/>
      <c r="U42" s="2590"/>
      <c r="V42" s="2598"/>
    </row>
    <row r="43" spans="1:23" ht="13.15" customHeight="1">
      <c r="A43" s="2602"/>
      <c r="B43" s="2602"/>
      <c r="C43" s="2602"/>
      <c r="D43" s="2602"/>
      <c r="E43" s="2602"/>
      <c r="F43" s="2602"/>
      <c r="I43" s="2585"/>
      <c r="J43" s="3358"/>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9035.91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90" t="s">
        <v>1667</v>
      </c>
      <c r="D4" s="3391"/>
      <c r="E4" s="3392" t="s">
        <v>1668</v>
      </c>
      <c r="F4" s="3393"/>
      <c r="G4" s="3390" t="s">
        <v>1669</v>
      </c>
      <c r="H4" s="3391"/>
      <c r="I4" s="3390" t="s">
        <v>1670</v>
      </c>
      <c r="J4" s="3391"/>
      <c r="K4" s="1744" t="s">
        <v>1671</v>
      </c>
      <c r="L4" s="2484"/>
      <c r="M4" s="2485"/>
      <c r="N4" s="2485"/>
      <c r="O4" s="2485"/>
      <c r="P4" s="3394" t="s">
        <v>1672</v>
      </c>
      <c r="Q4" s="3395"/>
      <c r="R4" s="3400" t="s">
        <v>1668</v>
      </c>
      <c r="S4" s="3401"/>
      <c r="T4" s="3400" t="s">
        <v>1669</v>
      </c>
      <c r="U4" s="3401"/>
      <c r="V4" s="3376" t="s">
        <v>1670</v>
      </c>
      <c r="W4" s="3376"/>
      <c r="X4" s="1265"/>
      <c r="Y4" s="3400" t="s">
        <v>1672</v>
      </c>
      <c r="Z4" s="3401"/>
      <c r="AA4" s="3387" t="s">
        <v>1668</v>
      </c>
      <c r="AB4" s="3387" t="s">
        <v>1669</v>
      </c>
      <c r="AC4" s="3387" t="s">
        <v>1670</v>
      </c>
    </row>
    <row r="5" spans="1:29" ht="15">
      <c r="A5" s="348"/>
      <c r="B5" s="349"/>
      <c r="C5" s="3408" t="s">
        <v>1673</v>
      </c>
      <c r="D5" s="3409"/>
      <c r="E5" s="3415" t="s">
        <v>1674</v>
      </c>
      <c r="F5" s="3416"/>
      <c r="G5" s="3408" t="s">
        <v>1675</v>
      </c>
      <c r="H5" s="3409"/>
      <c r="I5" s="3408" t="s">
        <v>1676</v>
      </c>
      <c r="J5" s="3409"/>
      <c r="K5" s="1745"/>
      <c r="L5" s="2484"/>
      <c r="M5" s="2485"/>
      <c r="N5" s="2485"/>
      <c r="O5" s="2485"/>
      <c r="P5" s="3396"/>
      <c r="Q5" s="3397"/>
      <c r="R5" s="3402"/>
      <c r="S5" s="3403"/>
      <c r="T5" s="3402"/>
      <c r="U5" s="3403"/>
      <c r="V5" s="3376"/>
      <c r="W5" s="3376"/>
      <c r="X5" s="1265"/>
      <c r="Y5" s="3402"/>
      <c r="Z5" s="3403"/>
      <c r="AA5" s="3388"/>
      <c r="AB5" s="3388"/>
      <c r="AC5" s="3388"/>
    </row>
    <row r="6" spans="1:29" ht="15.75" thickBot="1">
      <c r="A6" s="350"/>
      <c r="B6" s="351"/>
      <c r="C6" s="3406" t="s">
        <v>1677</v>
      </c>
      <c r="D6" s="3407"/>
      <c r="E6" s="3413" t="s">
        <v>1677</v>
      </c>
      <c r="F6" s="3414"/>
      <c r="G6" s="3406" t="s">
        <v>1677</v>
      </c>
      <c r="H6" s="3407"/>
      <c r="I6" s="3406" t="s">
        <v>1677</v>
      </c>
      <c r="J6" s="3407"/>
      <c r="K6" s="1745" t="s">
        <v>1678</v>
      </c>
      <c r="L6" s="2484"/>
      <c r="M6" s="2485"/>
      <c r="N6" s="2485"/>
      <c r="O6" s="2485"/>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45573</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0" t="s">
        <v>1680</v>
      </c>
      <c r="Q7" s="3412"/>
      <c r="R7" s="664" t="s">
        <v>20</v>
      </c>
      <c r="S7" s="665">
        <f t="shared" ref="S7:S15" si="0">F7</f>
        <v>0</v>
      </c>
      <c r="T7" s="664" t="s">
        <v>20</v>
      </c>
      <c r="U7" s="665">
        <f t="shared" ref="U7:U15" si="1">H7</f>
        <v>0</v>
      </c>
      <c r="V7" s="664" t="s">
        <v>20</v>
      </c>
      <c r="W7" s="665">
        <f t="shared" ref="W7:W15" si="2">J7</f>
        <v>0</v>
      </c>
      <c r="X7" s="666"/>
      <c r="Y7" s="3410" t="s">
        <v>1680</v>
      </c>
      <c r="Z7" s="341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0" t="s">
        <v>1683</v>
      </c>
      <c r="Q8" s="3411"/>
      <c r="R8" s="664" t="s">
        <v>20</v>
      </c>
      <c r="S8" s="665">
        <f t="shared" si="0"/>
        <v>100</v>
      </c>
      <c r="T8" s="664" t="s">
        <v>20</v>
      </c>
      <c r="U8" s="665">
        <f t="shared" si="1"/>
        <v>100</v>
      </c>
      <c r="V8" s="664" t="s">
        <v>20</v>
      </c>
      <c r="W8" s="665">
        <f t="shared" si="2"/>
        <v>100</v>
      </c>
      <c r="X8" s="666"/>
      <c r="Y8" s="3410" t="s">
        <v>1683</v>
      </c>
      <c r="Z8" s="341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6"/>
      <c r="Q11" s="530" t="str">
        <f t="shared" si="6"/>
        <v>容积率</v>
      </c>
      <c r="R11" s="664" t="s">
        <v>18</v>
      </c>
      <c r="S11" s="665" t="e">
        <f t="shared" si="0"/>
        <v>#N/A</v>
      </c>
      <c r="T11" s="664" t="s">
        <v>18</v>
      </c>
      <c r="U11" s="665" t="e">
        <f t="shared" si="1"/>
        <v>#N/A</v>
      </c>
      <c r="V11" s="664" t="s">
        <v>18</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6"/>
      <c r="Q12" s="530">
        <f t="shared" si="6"/>
        <v>111</v>
      </c>
      <c r="R12" s="664" t="s">
        <v>18</v>
      </c>
      <c r="S12" s="665">
        <f t="shared" si="0"/>
        <v>100</v>
      </c>
      <c r="T12" s="664" t="s">
        <v>18</v>
      </c>
      <c r="U12" s="665">
        <f t="shared" si="1"/>
        <v>100</v>
      </c>
      <c r="V12" s="664" t="s">
        <v>18</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6"/>
      <c r="Q13" s="530">
        <f t="shared" si="6"/>
        <v>111</v>
      </c>
      <c r="R13" s="664" t="s">
        <v>18</v>
      </c>
      <c r="S13" s="665">
        <f t="shared" si="0"/>
        <v>100</v>
      </c>
      <c r="T13" s="664" t="s">
        <v>18</v>
      </c>
      <c r="U13" s="665">
        <f t="shared" si="1"/>
        <v>100</v>
      </c>
      <c r="V13" s="664" t="s">
        <v>18</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6"/>
      <c r="Q14" s="530">
        <f t="shared" si="6"/>
        <v>111</v>
      </c>
      <c r="R14" s="664" t="s">
        <v>18</v>
      </c>
      <c r="S14" s="665">
        <f t="shared" si="0"/>
        <v>100</v>
      </c>
      <c r="T14" s="664" t="s">
        <v>18</v>
      </c>
      <c r="U14" s="665">
        <f t="shared" si="1"/>
        <v>100</v>
      </c>
      <c r="V14" s="664" t="s">
        <v>18</v>
      </c>
      <c r="W14" s="665">
        <f t="shared" si="2"/>
        <v>100</v>
      </c>
      <c r="X14" s="666"/>
      <c r="Y14" s="325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84"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85"/>
      <c r="Q16" s="1263"/>
      <c r="R16" s="667"/>
      <c r="S16" s="668"/>
      <c r="T16" s="667"/>
      <c r="U16" s="668"/>
      <c r="V16" s="667"/>
      <c r="W16" s="668"/>
      <c r="X16" s="1265"/>
      <c r="Y16" s="3378"/>
      <c r="Z16" s="1264"/>
      <c r="AA16" s="1264">
        <v>1</v>
      </c>
      <c r="AB16" s="1264">
        <v>1</v>
      </c>
      <c r="AC16" s="1264">
        <v>1</v>
      </c>
    </row>
    <row r="17" spans="1:29" ht="99.75">
      <c r="A17" s="367"/>
      <c r="B17" s="390" t="s">
        <v>1259</v>
      </c>
      <c r="C17" s="1754" t="str">
        <f>估价对象房地状况!C6</f>
        <v>估价对象周边道路通达状况较好、有52、57、473、941等公交线路，停车便捷程度一般，综合评价交通便捷度一般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85"/>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85"/>
      <c r="Q18" s="1263"/>
      <c r="R18" s="667"/>
      <c r="S18" s="668"/>
      <c r="T18" s="667"/>
      <c r="U18" s="668"/>
      <c r="V18" s="667"/>
      <c r="W18" s="668"/>
      <c r="X18" s="1265"/>
      <c r="Y18" s="3378"/>
      <c r="Z18" s="1264"/>
      <c r="AA18" s="1264">
        <v>1</v>
      </c>
      <c r="AB18" s="1264">
        <v>1</v>
      </c>
      <c r="AC18" s="1264">
        <v>1</v>
      </c>
    </row>
    <row r="19" spans="1:29" ht="42.75">
      <c r="A19" s="367"/>
      <c r="B19" s="390" t="s">
        <v>1258</v>
      </c>
      <c r="C19" s="1754" t="str">
        <f>估价对象房地状况!C7</f>
        <v>估价对象所在区域公共配套设施齐备情况较好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85"/>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85"/>
      <c r="Q20" s="1263"/>
      <c r="R20" s="667"/>
      <c r="S20" s="668"/>
      <c r="T20" s="667"/>
      <c r="U20" s="668"/>
      <c r="V20" s="667"/>
      <c r="W20" s="668"/>
      <c r="X20" s="1265"/>
      <c r="Y20" s="3378"/>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85"/>
      <c r="Q22" s="1263"/>
      <c r="R22" s="667"/>
      <c r="S22" s="668"/>
      <c r="T22" s="667"/>
      <c r="U22" s="668"/>
      <c r="V22" s="667"/>
      <c r="W22" s="668"/>
      <c r="X22" s="1265"/>
      <c r="Y22" s="3378"/>
      <c r="Z22" s="1264"/>
      <c r="AA22" s="1264">
        <v>1</v>
      </c>
      <c r="AB22" s="1264">
        <v>1</v>
      </c>
      <c r="AC22" s="1264">
        <v>1</v>
      </c>
    </row>
    <row r="23" spans="1:29" ht="71.25">
      <c r="A23" s="367"/>
      <c r="B23" s="390" t="s">
        <v>1261</v>
      </c>
      <c r="C23" s="1754" t="str">
        <f>估价对象房地状况!C9</f>
        <v>区域自然环境：万丰公园、足球公园等；人文环境；综合评价环境状况一般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85"/>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85"/>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8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85"/>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85"/>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85"/>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85"/>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85"/>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85"/>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9035.91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400" t="s">
        <v>1771</v>
      </c>
      <c r="S4" s="3401"/>
      <c r="T4" s="3400" t="s">
        <v>1772</v>
      </c>
      <c r="U4" s="3401"/>
      <c r="V4" s="3376" t="s">
        <v>1773</v>
      </c>
      <c r="W4" s="3376"/>
      <c r="X4" s="1265"/>
      <c r="Y4" s="3400" t="s">
        <v>1775</v>
      </c>
      <c r="Z4" s="3401"/>
      <c r="AA4" s="3387" t="s">
        <v>1771</v>
      </c>
      <c r="AB4" s="3376" t="s">
        <v>1772</v>
      </c>
      <c r="AC4" s="3387" t="s">
        <v>1773</v>
      </c>
    </row>
    <row r="5" spans="1:29" ht="15">
      <c r="A5" s="348"/>
      <c r="B5" s="349"/>
      <c r="C5" s="3408" t="s">
        <v>1673</v>
      </c>
      <c r="D5" s="3409"/>
      <c r="E5" s="3415" t="s">
        <v>1674</v>
      </c>
      <c r="F5" s="3416"/>
      <c r="G5" s="3408" t="s">
        <v>1675</v>
      </c>
      <c r="H5" s="3409"/>
      <c r="I5" s="3408" t="s">
        <v>1676</v>
      </c>
      <c r="J5" s="3409"/>
      <c r="K5" s="537"/>
      <c r="L5" s="2484"/>
      <c r="M5" s="2485"/>
      <c r="N5" s="2485"/>
      <c r="O5" s="2485"/>
      <c r="P5" s="3396"/>
      <c r="Q5" s="3397"/>
      <c r="R5" s="3402"/>
      <c r="S5" s="3403"/>
      <c r="T5" s="3402"/>
      <c r="U5" s="3403"/>
      <c r="V5" s="3376"/>
      <c r="W5" s="3376"/>
      <c r="X5" s="1265"/>
      <c r="Y5" s="3402"/>
      <c r="Z5" s="3403"/>
      <c r="AA5" s="3388"/>
      <c r="AB5" s="3376"/>
      <c r="AC5" s="3388"/>
    </row>
    <row r="6" spans="1:29" ht="15.75" thickBot="1">
      <c r="A6" s="350"/>
      <c r="B6" s="351"/>
      <c r="C6" s="3406" t="s">
        <v>1677</v>
      </c>
      <c r="D6" s="3407"/>
      <c r="E6" s="3413" t="s">
        <v>1677</v>
      </c>
      <c r="F6" s="3414"/>
      <c r="G6" s="3406" t="s">
        <v>1677</v>
      </c>
      <c r="H6" s="3407"/>
      <c r="I6" s="3406" t="s">
        <v>1677</v>
      </c>
      <c r="J6" s="3407"/>
      <c r="K6" s="537" t="s">
        <v>1678</v>
      </c>
      <c r="L6" s="2484"/>
      <c r="M6" s="2485"/>
      <c r="N6" s="2485"/>
      <c r="O6" s="2485"/>
      <c r="P6" s="3398"/>
      <c r="Q6" s="3399"/>
      <c r="R6" s="3402"/>
      <c r="S6" s="3403"/>
      <c r="T6" s="3404"/>
      <c r="U6" s="3405"/>
      <c r="V6" s="3376"/>
      <c r="W6" s="3376"/>
      <c r="X6" s="1265"/>
      <c r="Y6" s="3404"/>
      <c r="Z6" s="3405"/>
      <c r="AA6" s="3389"/>
      <c r="AB6" s="3376"/>
      <c r="AC6" s="3389"/>
    </row>
    <row r="7" spans="1:29" s="102" customFormat="1" ht="15.75" thickBot="1">
      <c r="A7" s="352" t="s">
        <v>1679</v>
      </c>
      <c r="B7" s="353"/>
      <c r="C7" s="354">
        <f>'数据-取费表'!B2</f>
        <v>45573</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6"/>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6"/>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6"/>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6"/>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99.75">
      <c r="A15" s="379" t="s">
        <v>1690</v>
      </c>
      <c r="B15" s="58" t="s">
        <v>1777</v>
      </c>
      <c r="C15" s="1750" t="str">
        <f>估价对象房地状况!C4</f>
        <v>估价对象周边商业氛围成熟度一般，有千禧商业街、银座和谐广场，人流量一般，商业繁华度一般</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84"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85"/>
      <c r="Q16" s="1263"/>
      <c r="R16" s="667"/>
      <c r="S16" s="668"/>
      <c r="T16" s="667"/>
      <c r="U16" s="668"/>
      <c r="V16" s="667"/>
      <c r="W16" s="668"/>
      <c r="X16" s="1265"/>
      <c r="Y16" s="3378"/>
      <c r="Z16" s="1264"/>
      <c r="AA16" s="1264">
        <v>1</v>
      </c>
      <c r="AB16" s="1264">
        <v>1</v>
      </c>
      <c r="AC16" s="1264">
        <v>1</v>
      </c>
    </row>
    <row r="17" spans="1:29" ht="114">
      <c r="A17" s="367"/>
      <c r="B17" s="390" t="s">
        <v>1259</v>
      </c>
      <c r="C17" s="1754" t="str">
        <f>估价对象房地状况!C6</f>
        <v>估价对象周边道路通达状况较好、有52、57、473、941等公交线路，停车便捷程度一般，综合评价交通便捷度一般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85"/>
      <c r="Q18" s="1263"/>
      <c r="R18" s="667"/>
      <c r="S18" s="668"/>
      <c r="T18" s="667"/>
      <c r="U18" s="668"/>
      <c r="V18" s="667"/>
      <c r="W18" s="668"/>
      <c r="X18" s="1265"/>
      <c r="Y18" s="3378"/>
      <c r="Z18" s="1264"/>
      <c r="AA18" s="1264">
        <v>1</v>
      </c>
      <c r="AB18" s="1264">
        <v>1</v>
      </c>
      <c r="AC18" s="1264">
        <v>1</v>
      </c>
    </row>
    <row r="19" spans="1:29" ht="42.75">
      <c r="A19" s="367"/>
      <c r="B19" s="390" t="s">
        <v>1778</v>
      </c>
      <c r="C19" s="1754" t="str">
        <f>估价对象房地状况!C7</f>
        <v>估价对象所在区域公共配套设施齐备情况较好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85"/>
      <c r="Q20" s="1263"/>
      <c r="R20" s="667"/>
      <c r="S20" s="668"/>
      <c r="T20" s="667"/>
      <c r="U20" s="668"/>
      <c r="V20" s="667"/>
      <c r="W20" s="668"/>
      <c r="X20" s="1265"/>
      <c r="Y20" s="3378"/>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85"/>
      <c r="Q22" s="1263"/>
      <c r="R22" s="667"/>
      <c r="S22" s="668"/>
      <c r="T22" s="667"/>
      <c r="U22" s="668"/>
      <c r="V22" s="667"/>
      <c r="W22" s="668"/>
      <c r="X22" s="1265"/>
      <c r="Y22" s="3378"/>
      <c r="Z22" s="1264"/>
      <c r="AA22" s="1264">
        <v>1</v>
      </c>
      <c r="AB22" s="1264">
        <v>1</v>
      </c>
      <c r="AC22" s="1264">
        <v>1</v>
      </c>
    </row>
    <row r="23" spans="1:29" ht="71.25">
      <c r="A23" s="367"/>
      <c r="B23" s="390" t="s">
        <v>1261</v>
      </c>
      <c r="C23" s="1806" t="str">
        <f>估价对象房地状况!C9</f>
        <v>区域自然环境：万丰公园、足球公园等；人文环境；综合评价环境状况一般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85"/>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85"/>
      <c r="Q24" s="1263"/>
      <c r="R24" s="667"/>
      <c r="S24" s="668"/>
      <c r="T24" s="667"/>
      <c r="U24" s="668"/>
      <c r="V24" s="667"/>
      <c r="W24" s="668"/>
      <c r="X24" s="1265"/>
      <c r="Y24" s="337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85"/>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85"/>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85"/>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8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85"/>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0"/>
      <c r="Q33" s="531" t="str">
        <f t="shared" si="11"/>
        <v>项目建筑规模</v>
      </c>
      <c r="R33" s="669" t="s">
        <v>14</v>
      </c>
      <c r="S33" s="670" t="e">
        <f t="shared" si="12"/>
        <v>#N/A</v>
      </c>
      <c r="T33" s="669" t="s">
        <v>14</v>
      </c>
      <c r="U33" s="670" t="e">
        <f t="shared" si="13"/>
        <v>#N/A</v>
      </c>
      <c r="V33" s="669" t="s">
        <v>14</v>
      </c>
      <c r="W33" s="670" t="e">
        <f t="shared" si="14"/>
        <v>#N/A</v>
      </c>
      <c r="X33" s="671"/>
      <c r="Y33" s="338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0"/>
      <c r="Q36" s="1263" t="str">
        <f t="shared" si="11"/>
        <v>成新度</v>
      </c>
      <c r="R36" s="667" t="s">
        <v>14</v>
      </c>
      <c r="S36" s="668" t="e">
        <f t="shared" si="12"/>
        <v>#N/A</v>
      </c>
      <c r="T36" s="667" t="s">
        <v>14</v>
      </c>
      <c r="U36" s="668" t="e">
        <f t="shared" si="13"/>
        <v>#N/A</v>
      </c>
      <c r="V36" s="667" t="s">
        <v>14</v>
      </c>
      <c r="W36" s="668" t="e">
        <f t="shared" si="14"/>
        <v>#N/A</v>
      </c>
      <c r="X36" s="1265"/>
      <c r="Y36" s="338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80"/>
      <c r="Q42" s="1263" t="str">
        <f t="shared" si="11"/>
        <v>内部装修</v>
      </c>
      <c r="R42" s="667" t="s">
        <v>14</v>
      </c>
      <c r="S42" s="668">
        <f t="shared" si="12"/>
        <v>100</v>
      </c>
      <c r="T42" s="667" t="s">
        <v>14</v>
      </c>
      <c r="U42" s="668">
        <f t="shared" si="13"/>
        <v>100</v>
      </c>
      <c r="V42" s="667" t="s">
        <v>14</v>
      </c>
      <c r="W42" s="668">
        <f t="shared" si="14"/>
        <v>100</v>
      </c>
      <c r="X42" s="1265"/>
      <c r="Y42" s="338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cfRule type="containsText" dxfId="112" priority="17" stopIfTrue="1" operator="containsText" text="超过">
      <formula>NOT(ISERROR(SEARCH("超过",F52)))</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G54">
    <cfRule type="expression" dxfId="109" priority="13"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conditionalFormatting sqref="J52:J54">
    <cfRule type="containsText" dxfId="10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9035.91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ht="15">
      <c r="A5" s="348"/>
      <c r="B5" s="349"/>
      <c r="C5" s="3408" t="s">
        <v>1673</v>
      </c>
      <c r="D5" s="3409"/>
      <c r="E5" s="3415" t="s">
        <v>1674</v>
      </c>
      <c r="F5" s="3416"/>
      <c r="G5" s="3408" t="s">
        <v>1675</v>
      </c>
      <c r="H5" s="3409"/>
      <c r="I5" s="3408" t="s">
        <v>1676</v>
      </c>
      <c r="J5" s="3409"/>
      <c r="K5" s="537"/>
      <c r="L5" s="860"/>
      <c r="M5" s="861"/>
      <c r="N5" s="861"/>
      <c r="O5" s="861"/>
      <c r="P5" s="3396"/>
      <c r="Q5" s="3397"/>
      <c r="R5" s="3402"/>
      <c r="S5" s="3403"/>
      <c r="T5" s="3402"/>
      <c r="U5" s="3403"/>
      <c r="V5" s="3376"/>
      <c r="W5" s="3376"/>
      <c r="X5" s="1265"/>
      <c r="Y5" s="3402"/>
      <c r="Z5" s="3403"/>
      <c r="AA5" s="3388"/>
      <c r="AB5" s="3388"/>
      <c r="AC5" s="3388"/>
    </row>
    <row r="6" spans="1:29" ht="15.75" thickBot="1">
      <c r="A6" s="350"/>
      <c r="B6" s="351"/>
      <c r="C6" s="3406" t="s">
        <v>1677</v>
      </c>
      <c r="D6" s="3407"/>
      <c r="E6" s="3413" t="s">
        <v>1677</v>
      </c>
      <c r="F6" s="3414"/>
      <c r="G6" s="3406" t="s">
        <v>1677</v>
      </c>
      <c r="H6" s="3407"/>
      <c r="I6" s="3406" t="s">
        <v>1677</v>
      </c>
      <c r="J6" s="3407"/>
      <c r="K6" s="537" t="s">
        <v>1678</v>
      </c>
      <c r="L6" s="860"/>
      <c r="M6" s="861"/>
      <c r="N6" s="861"/>
      <c r="O6" s="861"/>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45573</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11"/>
      <c r="R8" s="664" t="s">
        <v>14</v>
      </c>
      <c r="S8" s="665">
        <f t="shared" si="0"/>
        <v>100</v>
      </c>
      <c r="T8" s="664" t="s">
        <v>14</v>
      </c>
      <c r="U8" s="665">
        <f t="shared" si="1"/>
        <v>100</v>
      </c>
      <c r="V8" s="664" t="s">
        <v>14</v>
      </c>
      <c r="W8" s="665">
        <f t="shared" si="2"/>
        <v>100</v>
      </c>
      <c r="X8" s="666"/>
      <c r="Y8" s="3410" t="s">
        <v>1683</v>
      </c>
      <c r="Z8" s="341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5"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75"/>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5"/>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5"/>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5"/>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5"/>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7"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5" t="str">
        <f>A41</f>
        <v>成交单价（元/平方米）</v>
      </c>
      <c r="Q41" s="3375"/>
      <c r="R41" s="3376">
        <f>E41</f>
        <v>0</v>
      </c>
      <c r="S41" s="3376"/>
      <c r="T41" s="3376">
        <f>G41</f>
        <v>0</v>
      </c>
      <c r="U41" s="3376"/>
      <c r="V41" s="3376">
        <f>I41</f>
        <v>0</v>
      </c>
      <c r="W41" s="337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F7:F40 H7:H40 J7:J40">
    <cfRule type="cellIs" dxfId="99" priority="1" operator="notEqual">
      <formula>100</formula>
    </cfRule>
  </conditionalFormatting>
  <conditionalFormatting sqref="F42">
    <cfRule type="expression" dxfId="98" priority="4">
      <formula>$D$42="简单平均"</formula>
    </cfRule>
  </conditionalFormatting>
  <conditionalFormatting sqref="F46:F48 H46:H48">
    <cfRule type="containsText" dxfId="97" priority="17" stopIfTrue="1" operator="containsText" text="超过">
      <formula>NOT(ISERROR(SEARCH("超过",F46)))</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G48">
    <cfRule type="expression" dxfId="94" priority="13" stopIfTrue="1">
      <formula>$H$48="超过30%"</formula>
    </cfRule>
  </conditionalFormatting>
  <conditionalFormatting sqref="H42">
    <cfRule type="expression" dxfId="93" priority="3">
      <formula>$D$42="简单平均"</formula>
    </cfRule>
  </conditionalFormatting>
  <conditionalFormatting sqref="I46">
    <cfRule type="expression" dxfId="92" priority="7" stopIfTrue="1">
      <formula>$J$46="超过30%"</formula>
    </cfRule>
  </conditionalFormatting>
  <conditionalFormatting sqref="I47">
    <cfRule type="expression" dxfId="91" priority="6" stopIfTrue="1">
      <formula>$J$47="超过20%"</formula>
    </cfRule>
  </conditionalFormatting>
  <conditionalFormatting sqref="I48">
    <cfRule type="expression" dxfId="90" priority="5" stopIfTrue="1">
      <formula>$J$48="超过30%"</formula>
    </cfRule>
  </conditionalFormatting>
  <conditionalFormatting sqref="J42">
    <cfRule type="expression" dxfId="89" priority="2">
      <formula>$D$42="简单平均"</formula>
    </cfRule>
  </conditionalFormatting>
  <conditionalFormatting sqref="J46:J48">
    <cfRule type="containsText" dxfId="8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ht="15">
      <c r="A5" s="348"/>
      <c r="B5" s="349"/>
      <c r="C5" s="3408" t="s">
        <v>1673</v>
      </c>
      <c r="D5" s="3409"/>
      <c r="E5" s="3415" t="s">
        <v>1674</v>
      </c>
      <c r="F5" s="3416"/>
      <c r="G5" s="3408" t="s">
        <v>1675</v>
      </c>
      <c r="H5" s="3409"/>
      <c r="I5" s="3408" t="s">
        <v>1676</v>
      </c>
      <c r="J5" s="3409"/>
      <c r="K5" s="537"/>
      <c r="L5" s="2484"/>
      <c r="M5" s="2485"/>
      <c r="N5" s="2485"/>
      <c r="O5" s="2485"/>
      <c r="P5" s="3396"/>
      <c r="Q5" s="3397"/>
      <c r="R5" s="3402"/>
      <c r="S5" s="3403"/>
      <c r="T5" s="3402"/>
      <c r="U5" s="3403"/>
      <c r="V5" s="3376"/>
      <c r="W5" s="3376"/>
      <c r="X5" s="1265"/>
      <c r="Y5" s="3402"/>
      <c r="Z5" s="3403"/>
      <c r="AA5" s="3388"/>
      <c r="AB5" s="3388"/>
      <c r="AC5" s="3388"/>
    </row>
    <row r="6" spans="1:29" ht="15.75" thickBot="1">
      <c r="A6" s="350"/>
      <c r="B6" s="351"/>
      <c r="C6" s="3406" t="s">
        <v>1677</v>
      </c>
      <c r="D6" s="3407"/>
      <c r="E6" s="3413" t="s">
        <v>1677</v>
      </c>
      <c r="F6" s="3414"/>
      <c r="G6" s="3406" t="s">
        <v>1677</v>
      </c>
      <c r="H6" s="3407"/>
      <c r="I6" s="3406" t="s">
        <v>1677</v>
      </c>
      <c r="J6" s="3407"/>
      <c r="K6" s="537" t="s">
        <v>1678</v>
      </c>
      <c r="L6" s="2484"/>
      <c r="M6" s="2485"/>
      <c r="N6" s="2485"/>
      <c r="O6" s="2485"/>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45573</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75"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75"/>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75"/>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75"/>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75"/>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14">
      <c r="A14" s="345" t="s">
        <v>1690</v>
      </c>
      <c r="B14" s="554" t="s">
        <v>1833</v>
      </c>
      <c r="C14" s="1819" t="str">
        <f>IF(B1="工业",估价对象房地状况!G4,估价对象房地状况!C6)</f>
        <v>估价对象周边道路通达状况较好、有52、57、473、941等公交线路，停车便捷程度一般，综合评价交通便捷度一般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78"/>
      <c r="Q15" s="1263"/>
      <c r="R15" s="667"/>
      <c r="S15" s="668"/>
      <c r="T15" s="667"/>
      <c r="U15" s="668"/>
      <c r="V15" s="667"/>
      <c r="W15" s="668"/>
      <c r="X15" s="1265"/>
      <c r="Y15" s="3378"/>
      <c r="Z15" s="1264"/>
      <c r="AA15" s="1264">
        <v>1</v>
      </c>
      <c r="AB15" s="1264">
        <v>1</v>
      </c>
      <c r="AC15" s="1264">
        <v>1</v>
      </c>
    </row>
    <row r="16" spans="1:29" ht="42.75">
      <c r="A16" s="348"/>
      <c r="B16" s="556" t="s">
        <v>1812</v>
      </c>
      <c r="C16" s="1754" t="str">
        <f>IF(B1="工业",估价对象房地状况!G5,估价对象房地状况!C7)</f>
        <v>估价对象所在区域公共配套设施齐备情况较好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78"/>
      <c r="Q17" s="1263"/>
      <c r="R17" s="667"/>
      <c r="S17" s="668"/>
      <c r="T17" s="667"/>
      <c r="U17" s="668"/>
      <c r="V17" s="667"/>
      <c r="W17" s="668"/>
      <c r="X17" s="1265"/>
      <c r="Y17" s="3378"/>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78"/>
      <c r="Q19" s="1263"/>
      <c r="R19" s="667"/>
      <c r="S19" s="668"/>
      <c r="T19" s="667"/>
      <c r="U19" s="668"/>
      <c r="V19" s="667"/>
      <c r="W19" s="668"/>
      <c r="X19" s="1265"/>
      <c r="Y19" s="3378"/>
      <c r="Z19" s="1264"/>
      <c r="AA19" s="1264">
        <v>1</v>
      </c>
      <c r="AB19" s="1264">
        <v>1</v>
      </c>
      <c r="AC19" s="1264">
        <v>1</v>
      </c>
    </row>
    <row r="20" spans="1:29" ht="71.25">
      <c r="A20" s="348"/>
      <c r="B20" s="556" t="s">
        <v>1834</v>
      </c>
      <c r="C20" s="1754" t="str">
        <f>IF(B1="工业",估价对象房地状况!G7,估价对象房地状况!C9)</f>
        <v>区域自然环境：万丰公园、足球公园等；人文环境；综合评价环境状况一般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1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2"/>
      <c r="M37" s="2485"/>
      <c r="N37" s="2485"/>
      <c r="O37" s="2485"/>
      <c r="P37" s="3375" t="str">
        <f>A37</f>
        <v>成交单价</v>
      </c>
      <c r="Q37" s="3375"/>
      <c r="R37" s="3376">
        <f>E37</f>
        <v>0</v>
      </c>
      <c r="S37" s="3376"/>
      <c r="T37" s="3376">
        <f>G37</f>
        <v>0</v>
      </c>
      <c r="U37" s="3376"/>
      <c r="V37" s="3376">
        <f>I37</f>
        <v>0</v>
      </c>
      <c r="W37" s="337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72" t="str">
        <f>A39</f>
        <v>估价对象XX用房的比较价值（楼面单价，元/平方米）</v>
      </c>
      <c r="Q39" s="3373"/>
      <c r="R39" s="3418" t="e">
        <f>IF(F1="售价",ROUND(IF(D38="简单平均",AVERAGE(R38:W38),R38*F38+T38*H38+V38*J38),0),ROUND(IF(D38="简单平均",AVERAGE(R38:V38),R38*F38+T38*H38+V38*J38),1))</f>
        <v>#DIV/0!</v>
      </c>
      <c r="S39" s="3418"/>
      <c r="T39" s="3418"/>
      <c r="U39" s="3418"/>
      <c r="V39" s="3418"/>
      <c r="W39" s="341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7" priority="13" stopIfTrue="1">
      <formula>$F$42="超过30%"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F7:F36 H7:H36 J7:J36">
    <cfRule type="cellIs" dxfId="84" priority="1" operator="notEqual">
      <formula>100</formula>
    </cfRule>
  </conditionalFormatting>
  <conditionalFormatting sqref="F38">
    <cfRule type="expression" dxfId="83" priority="4">
      <formula>$D$38="简单平均"</formula>
    </cfRule>
  </conditionalFormatting>
  <conditionalFormatting sqref="F42:F44 H42:H44 J42:J44">
    <cfRule type="containsText" dxfId="82" priority="14" stopIfTrue="1" operator="containsText" text="超过">
      <formula>NOT(ISERROR(SEARCH("超过",F42)))</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G44">
    <cfRule type="expression" dxfId="79" priority="12" stopIfTrue="1">
      <formula>$H$54+$H$44="超过30%"</formula>
    </cfRule>
  </conditionalFormatting>
  <conditionalFormatting sqref="H38">
    <cfRule type="expression" dxfId="78" priority="3">
      <formula>$D$38="简单平均"</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J38">
    <cfRule type="expression" dxfId="7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ht="15">
      <c r="A5" s="348"/>
      <c r="B5" s="349"/>
      <c r="C5" s="3408" t="s">
        <v>1673</v>
      </c>
      <c r="D5" s="3409"/>
      <c r="E5" s="3415" t="s">
        <v>1674</v>
      </c>
      <c r="F5" s="3416"/>
      <c r="G5" s="3408" t="s">
        <v>1675</v>
      </c>
      <c r="H5" s="3409"/>
      <c r="I5" s="3408" t="s">
        <v>1676</v>
      </c>
      <c r="J5" s="3409"/>
      <c r="K5" s="537"/>
      <c r="L5" s="2484"/>
      <c r="M5" s="2485"/>
      <c r="N5" s="2485"/>
      <c r="O5" s="2485"/>
      <c r="P5" s="3396"/>
      <c r="Q5" s="3397"/>
      <c r="R5" s="3402"/>
      <c r="S5" s="3403"/>
      <c r="T5" s="3402"/>
      <c r="U5" s="3403"/>
      <c r="V5" s="3376"/>
      <c r="W5" s="3376"/>
      <c r="X5" s="1265"/>
      <c r="Y5" s="3402"/>
      <c r="Z5" s="3403"/>
      <c r="AA5" s="3388"/>
      <c r="AB5" s="3388"/>
      <c r="AC5" s="3388"/>
    </row>
    <row r="6" spans="1:29" ht="15.75" thickBot="1">
      <c r="A6" s="350"/>
      <c r="B6" s="351"/>
      <c r="C6" s="3406" t="s">
        <v>1677</v>
      </c>
      <c r="D6" s="3407"/>
      <c r="E6" s="3413" t="s">
        <v>1677</v>
      </c>
      <c r="F6" s="3414"/>
      <c r="G6" s="3406" t="s">
        <v>1677</v>
      </c>
      <c r="H6" s="3407"/>
      <c r="I6" s="3406" t="s">
        <v>1677</v>
      </c>
      <c r="J6" s="3407"/>
      <c r="K6" s="537" t="s">
        <v>1678</v>
      </c>
      <c r="L6" s="2484"/>
      <c r="M6" s="2485"/>
      <c r="N6" s="2485"/>
      <c r="O6" s="2485"/>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45573</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75"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75"/>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75"/>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75"/>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75"/>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估价对象周边道路通达状况较好、有52、57、473、941等公交线路，停车便捷程度一般，综合评价交通便捷度一般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78"/>
      <c r="Q15" s="1263"/>
      <c r="R15" s="667"/>
      <c r="S15" s="668"/>
      <c r="T15" s="667"/>
      <c r="U15" s="668"/>
      <c r="V15" s="667"/>
      <c r="W15" s="668"/>
      <c r="X15" s="1265"/>
      <c r="Y15" s="3378"/>
      <c r="Z15" s="1264"/>
      <c r="AA15" s="1264">
        <v>1</v>
      </c>
      <c r="AB15" s="1264">
        <v>1</v>
      </c>
      <c r="AC15" s="1264">
        <v>1</v>
      </c>
    </row>
    <row r="16" spans="1:29" ht="42.75">
      <c r="A16" s="367"/>
      <c r="B16" s="390" t="s">
        <v>1812</v>
      </c>
      <c r="C16" s="1754" t="str">
        <f>IF(B1="工业",估价对象房地状况!G5,估价对象房地状况!C7)</f>
        <v>估价对象所在区域公共配套设施齐备情况较好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78"/>
      <c r="Q17" s="1263"/>
      <c r="R17" s="667"/>
      <c r="S17" s="668"/>
      <c r="T17" s="667"/>
      <c r="U17" s="668"/>
      <c r="V17" s="667"/>
      <c r="W17" s="668"/>
      <c r="X17" s="1265"/>
      <c r="Y17" s="3378"/>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78"/>
      <c r="Q19" s="1263"/>
      <c r="R19" s="667"/>
      <c r="S19" s="668"/>
      <c r="T19" s="667"/>
      <c r="U19" s="668"/>
      <c r="V19" s="667"/>
      <c r="W19" s="668"/>
      <c r="X19" s="1265"/>
      <c r="Y19" s="3378"/>
      <c r="Z19" s="1264"/>
      <c r="AA19" s="1264">
        <v>1</v>
      </c>
      <c r="AB19" s="1264">
        <v>1</v>
      </c>
      <c r="AC19" s="1264">
        <v>1</v>
      </c>
    </row>
    <row r="20" spans="1:29" ht="71.25">
      <c r="A20" s="367"/>
      <c r="B20" s="390" t="s">
        <v>1834</v>
      </c>
      <c r="C20" s="1754" t="str">
        <f>IF(B1="工业",估价对象房地状况!G7,估价对象房地状况!C9)</f>
        <v>区域自然环境：万丰公园、足球公园等；人文环境；综合评价环境状况一般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1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75" t="str">
        <f>A35</f>
        <v>成交单价（元/平方米）</v>
      </c>
      <c r="Q35" s="3375"/>
      <c r="R35" s="3376">
        <f>E35</f>
        <v>0</v>
      </c>
      <c r="S35" s="3376"/>
      <c r="T35" s="3376">
        <f>G35</f>
        <v>0</v>
      </c>
      <c r="U35" s="3376"/>
      <c r="V35" s="3376">
        <f>I35</f>
        <v>0</v>
      </c>
      <c r="W35" s="337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72" t="str">
        <f>A37</f>
        <v>估价对象XX用房的比较价值（楼面单价，元/平方米）</v>
      </c>
      <c r="Q37" s="3373"/>
      <c r="R37" s="3418" t="e">
        <f>IF(F1="售价",ROUND(IF(D36="简单平均",AVERAGE(R36:W36),R36*F36+T36*H36+V36*J36),0),ROUND(IF(D36="简单平均",AVERAGE(R36:V36),R36*F36+T36*H36+V36*J36),1))</f>
        <v>#DIV/0!</v>
      </c>
      <c r="S37" s="3418"/>
      <c r="T37" s="3418"/>
      <c r="U37" s="3418"/>
      <c r="V37" s="3418"/>
      <c r="W37" s="341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73" priority="13" stopIfTrue="1">
      <formula>$F$40="超过30%"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F7:F34 H7:H34 J7:J34">
    <cfRule type="cellIs" dxfId="70" priority="1" operator="notEqual">
      <formula>100</formula>
    </cfRule>
  </conditionalFormatting>
  <conditionalFormatting sqref="F36">
    <cfRule type="expression" dxfId="69" priority="4">
      <formula>$D$36="简单平均"</formula>
    </cfRule>
  </conditionalFormatting>
  <conditionalFormatting sqref="F40:F42 H40:H42 J40:J42">
    <cfRule type="containsText" dxfId="68" priority="14" stopIfTrue="1" operator="containsText" text="超过">
      <formula>NOT(ISERROR(SEARCH("超过",F40)))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G42">
    <cfRule type="expression" dxfId="65" priority="12" stopIfTrue="1">
      <formula>$H$54+$H$42="超过30%"</formula>
    </cfRule>
  </conditionalFormatting>
  <conditionalFormatting sqref="H36">
    <cfRule type="expression" dxfId="64" priority="3">
      <formula>$D$36="简单平均"</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J36">
    <cfRule type="expression" dxfId="6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受贵公司委托，我公司对北京市靛厂路11号房地产抵押价值进行了预评估。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估价对象为北京市靛厂路11号房地产，为所有。根据《国有土地使用证》[]，估价对象（分摊）出让国有建设用地使用权面积为0平方米，建筑面积为9035.91平方米。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估价对象为北京市靛厂路11号房地产,属开发建设的，该项目尚在开发建设中。根据《国有土地使用证》[]，估价对象（分摊）出让国有建设用地使用权面积为0平方米，规划建筑面积为9035.91平方米。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拟使用北京市靛厂路11号房地产作为抵押担保物，向办理贷款手续。特委托北京康正宏基房地产评估有限公司对上述抵押物进行评估。本次评估为确定房地产抵押贷款额度提供参考依据而评估房地产抵押价值。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2024年10月8日（评估专业人员实地查勘之日）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ht="15">
      <c r="A5" s="348"/>
      <c r="B5" s="349"/>
      <c r="C5" s="3408" t="s">
        <v>1673</v>
      </c>
      <c r="D5" s="3409"/>
      <c r="E5" s="3415" t="s">
        <v>1674</v>
      </c>
      <c r="F5" s="3416"/>
      <c r="G5" s="3408" t="s">
        <v>1675</v>
      </c>
      <c r="H5" s="3409"/>
      <c r="I5" s="3408" t="s">
        <v>1676</v>
      </c>
      <c r="J5" s="3409"/>
      <c r="K5" s="537"/>
      <c r="L5" s="2484"/>
      <c r="M5" s="2485"/>
      <c r="N5" s="2485"/>
      <c r="O5" s="2485"/>
      <c r="P5" s="3396"/>
      <c r="Q5" s="3397"/>
      <c r="R5" s="3402"/>
      <c r="S5" s="3403"/>
      <c r="T5" s="3402"/>
      <c r="U5" s="3403"/>
      <c r="V5" s="3376"/>
      <c r="W5" s="3376"/>
      <c r="X5" s="1265"/>
      <c r="Y5" s="3402"/>
      <c r="Z5" s="3403"/>
      <c r="AA5" s="3388"/>
      <c r="AB5" s="3388"/>
      <c r="AC5" s="3388"/>
    </row>
    <row r="6" spans="1:29" ht="15.75" thickBot="1">
      <c r="A6" s="350"/>
      <c r="B6" s="351"/>
      <c r="C6" s="3422" t="s">
        <v>1919</v>
      </c>
      <c r="D6" s="3423"/>
      <c r="E6" s="3424" t="s">
        <v>1919</v>
      </c>
      <c r="F6" s="3425"/>
      <c r="G6" s="3422" t="s">
        <v>1919</v>
      </c>
      <c r="H6" s="3423"/>
      <c r="I6" s="3422" t="s">
        <v>1919</v>
      </c>
      <c r="J6" s="3423"/>
      <c r="K6" s="537" t="s">
        <v>1678</v>
      </c>
      <c r="L6" s="2484"/>
      <c r="M6" s="2485"/>
      <c r="N6" s="2485"/>
      <c r="O6" s="2485"/>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45573</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0" t="s">
        <v>1683</v>
      </c>
      <c r="Q8" s="3411"/>
      <c r="R8" s="664" t="s">
        <v>14</v>
      </c>
      <c r="S8" s="665">
        <f t="shared" si="0"/>
        <v>0</v>
      </c>
      <c r="T8" s="664" t="s">
        <v>14</v>
      </c>
      <c r="U8" s="665">
        <f t="shared" si="1"/>
        <v>0</v>
      </c>
      <c r="V8" s="664" t="s">
        <v>14</v>
      </c>
      <c r="W8" s="665">
        <f t="shared" si="2"/>
        <v>0</v>
      </c>
      <c r="X8" s="666"/>
      <c r="Y8" s="3410" t="s">
        <v>1683</v>
      </c>
      <c r="Z8" s="341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75"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118</v>
      </c>
      <c r="G10" s="371"/>
      <c r="H10" s="119">
        <f>ROUND(100/'数据-取费表'!G16,0)</f>
        <v>118</v>
      </c>
      <c r="I10" s="371"/>
      <c r="J10" s="119">
        <f>ROUND(100/'数据-取费表'!G16,0)</f>
        <v>118</v>
      </c>
      <c r="K10" s="592"/>
      <c r="L10" s="2487"/>
      <c r="M10" s="2488"/>
      <c r="N10" s="2488"/>
      <c r="O10" s="2539"/>
      <c r="P10" s="3375"/>
      <c r="Q10" s="530" t="str">
        <f t="shared" si="6"/>
        <v>土地使用年限（年）</v>
      </c>
      <c r="R10" s="664" t="s">
        <v>14</v>
      </c>
      <c r="S10" s="665">
        <f t="shared" si="0"/>
        <v>118</v>
      </c>
      <c r="T10" s="664" t="s">
        <v>14</v>
      </c>
      <c r="U10" s="665">
        <f t="shared" si="1"/>
        <v>118</v>
      </c>
      <c r="V10" s="664" t="s">
        <v>14</v>
      </c>
      <c r="W10" s="665">
        <f t="shared" si="2"/>
        <v>118</v>
      </c>
      <c r="X10" s="666"/>
      <c r="Y10" s="3252"/>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75"/>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75"/>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75"/>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75"/>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78"/>
      <c r="Q16" s="1263"/>
      <c r="R16" s="667"/>
      <c r="S16" s="668"/>
      <c r="T16" s="667"/>
      <c r="U16" s="668"/>
      <c r="V16" s="667"/>
      <c r="W16" s="668"/>
      <c r="X16" s="1265"/>
      <c r="Y16" s="337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78"/>
      <c r="Q18" s="1263"/>
      <c r="R18" s="667"/>
      <c r="S18" s="668"/>
      <c r="T18" s="667"/>
      <c r="U18" s="668"/>
      <c r="V18" s="667"/>
      <c r="W18" s="668"/>
      <c r="X18" s="1265"/>
      <c r="Y18" s="337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78"/>
      <c r="Q20" s="1263"/>
      <c r="R20" s="667"/>
      <c r="S20" s="668"/>
      <c r="T20" s="667"/>
      <c r="U20" s="668"/>
      <c r="V20" s="667"/>
      <c r="W20" s="668"/>
      <c r="X20" s="1265"/>
      <c r="Y20" s="337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78"/>
      <c r="Q22" s="1263"/>
      <c r="R22" s="667"/>
      <c r="S22" s="668"/>
      <c r="T22" s="667"/>
      <c r="U22" s="668"/>
      <c r="V22" s="667"/>
      <c r="W22" s="668"/>
      <c r="X22" s="1265"/>
      <c r="Y22" s="337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78"/>
      <c r="Q24" s="530"/>
      <c r="R24" s="664"/>
      <c r="S24" s="665"/>
      <c r="T24" s="664"/>
      <c r="U24" s="665"/>
      <c r="V24" s="664"/>
      <c r="W24" s="665"/>
      <c r="X24" s="666"/>
      <c r="Y24" s="337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17"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375" t="str">
        <f>A41</f>
        <v>成交单价</v>
      </c>
      <c r="Q41" s="3375"/>
      <c r="R41" s="3376">
        <f>E41</f>
        <v>0</v>
      </c>
      <c r="S41" s="3376"/>
      <c r="T41" s="3376">
        <f>G41</f>
        <v>0</v>
      </c>
      <c r="U41" s="3376"/>
      <c r="V41" s="3376">
        <f>I41</f>
        <v>0</v>
      </c>
      <c r="W41" s="337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75" t="str">
        <f>A42</f>
        <v>比较价值（元/平方米）</v>
      </c>
      <c r="Q42" s="3375"/>
      <c r="R42" s="3419" t="e">
        <f>ROUND(PRODUCT(R41,AA7:AA40),0)</f>
        <v>#DIV/0!</v>
      </c>
      <c r="S42" s="3419"/>
      <c r="T42" s="3419" t="e">
        <f>ROUND(PRODUCT(T41,AB7:AB40),0)</f>
        <v>#DIV/0!</v>
      </c>
      <c r="U42" s="3419"/>
      <c r="V42" s="3419" t="e">
        <f>ROUND(PRODUCT(V41,AC7:AC40),0)</f>
        <v>#DIV/0!</v>
      </c>
      <c r="W42" s="341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72" t="str">
        <f>A43</f>
        <v>估价对象XX用房的比较价值（楼面单价，元/平方米）</v>
      </c>
      <c r="Q43" s="3373"/>
      <c r="R43" s="3420" t="e">
        <f>ROUND(IF(D42="简单平均",AVERAGE(R42:W42),R42*F42+T42*H42+V42*J42),0)</f>
        <v>#DIV/0!</v>
      </c>
      <c r="S43" s="3420"/>
      <c r="T43" s="3420"/>
      <c r="U43" s="3420"/>
      <c r="V43" s="3420"/>
      <c r="W43" s="342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90" t="s">
        <v>1887</v>
      </c>
      <c r="H50" s="3421"/>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7529.9249999999993</v>
      </c>
      <c r="F51" s="611" t="e">
        <f t="shared" ref="F51:F60" si="15">ROUND(B51*E51/10000,0)</f>
        <v>#DIV/0!</v>
      </c>
      <c r="G51" s="3386"/>
      <c r="H51" s="337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四级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四级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四级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1505.9850000000006</v>
      </c>
      <c r="F56" s="611" t="e">
        <f t="shared" si="15"/>
        <v>#DIV/0!</v>
      </c>
      <c r="G56" s="1835" t="s">
        <v>1896</v>
      </c>
      <c r="H56" s="834" t="str">
        <f>项目基本情况!C37</f>
        <v>四级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5" priority="13" stopIfTrue="1">
      <formula>$F$46="超过30%"</formula>
    </cfRule>
  </conditionalFormatting>
  <conditionalFormatting sqref="E47">
    <cfRule type="expression" dxfId="44" priority="53" stopIfTrue="1">
      <formula>#REF!+$F$47="超过20%"</formula>
    </cfRule>
  </conditionalFormatting>
  <conditionalFormatting sqref="E48">
    <cfRule type="expression" dxfId="43" priority="10" stopIfTrue="1">
      <formula>$F$48="超过30%"</formula>
    </cfRule>
  </conditionalFormatting>
  <conditionalFormatting sqref="F7:F40 H7:H40 J7:J40">
    <cfRule type="cellIs" dxfId="42" priority="1" operator="notEqual">
      <formula>100</formula>
    </cfRule>
  </conditionalFormatting>
  <conditionalFormatting sqref="F42">
    <cfRule type="expression" dxfId="41" priority="4">
      <formula>$D$42="简单平均"</formula>
    </cfRule>
  </conditionalFormatting>
  <conditionalFormatting sqref="F46:F48 H46:H48 J46:J48">
    <cfRule type="containsText" dxfId="40" priority="14" stopIfTrue="1" operator="containsText" text="超过">
      <formula>NOT(ISERROR(SEARCH("超过",F46)))</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G48">
    <cfRule type="expression" dxfId="37" priority="12" stopIfTrue="1">
      <formula>$H$48="超过30%"</formula>
    </cfRule>
  </conditionalFormatting>
  <conditionalFormatting sqref="H42">
    <cfRule type="expression" dxfId="36" priority="3">
      <formula>$D$42="简单平均"</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J42">
    <cfRule type="expression" dxfId="3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9" t="s">
        <v>2084</v>
      </c>
      <c r="D1" s="3430"/>
      <c r="E1" s="3430"/>
      <c r="F1" s="3430"/>
      <c r="G1" s="3430"/>
      <c r="H1" s="3430"/>
      <c r="I1" s="3430"/>
      <c r="J1" s="3430"/>
      <c r="K1" s="3430"/>
      <c r="L1" s="3430"/>
      <c r="M1" s="3430"/>
      <c r="N1" s="3430"/>
      <c r="O1" s="3430"/>
      <c r="P1" s="3430"/>
      <c r="Q1" s="3430"/>
      <c r="R1" s="3430"/>
      <c r="S1" s="343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6" t="s">
        <v>27</v>
      </c>
      <c r="D22" s="3427"/>
      <c r="E22" s="3427"/>
      <c r="F22" s="3427"/>
      <c r="G22" s="3427"/>
      <c r="H22" s="3427"/>
      <c r="I22" s="3427"/>
      <c r="J22" s="3427"/>
      <c r="K22" s="3427"/>
      <c r="L22" s="3427"/>
      <c r="M22" s="3427"/>
      <c r="N22" s="3427"/>
      <c r="O22" s="3427"/>
      <c r="P22" s="3427"/>
      <c r="Q22" s="342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6" sqref="H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Ⅳ-08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6" t="s">
        <v>2437</v>
      </c>
      <c r="F3" s="1848" t="s">
        <v>3423</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39"/>
      <c r="B4" s="3440"/>
      <c r="C4" s="3440"/>
      <c r="D4" s="3441"/>
      <c r="E4" s="3441"/>
      <c r="F4" s="3441"/>
      <c r="G4" s="3441"/>
      <c r="H4" s="3441"/>
      <c r="I4" s="3441"/>
      <c r="J4" s="3442"/>
      <c r="K4" s="1056"/>
      <c r="L4" s="1847" t="s">
        <v>1946</v>
      </c>
      <c r="M4" s="811">
        <f>SUMPRODUCT((区片价!B55:B86=I2)*(区片价!C3:G3=E2)*(区片价!C55:G86))</f>
        <v>18710</v>
      </c>
      <c r="N4" s="813">
        <f>SUMPRODUCT((因素修正幅度!B55:B86=I2)*(因素修正幅度!C3:G3=E2)*(因素修正幅度!C55:G86))</f>
        <v>0.1</v>
      </c>
      <c r="O4" s="1056"/>
      <c r="P4" s="1056"/>
      <c r="Q4" s="1056"/>
      <c r="R4" s="1129">
        <v>3</v>
      </c>
      <c r="S4" s="3061">
        <f>ROUND(SUMPRODUCT((B106:B110=R4)*(C105:N105=G2)*(C106:N110)),4)</f>
        <v>1.0004999999999999</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f>ROUND(C6*C17+C20,0)</f>
        <v>18584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18710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75" thickBot="1">
      <c r="A7" s="3010"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t="str">
        <f>G2</f>
        <v>四级</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36" t="s">
        <v>1960</v>
      </c>
      <c r="X8" s="343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38"/>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3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3236</v>
      </c>
      <c r="B12" s="3011" t="s">
        <v>3237</v>
      </c>
      <c r="C12" s="3012"/>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3243</v>
      </c>
      <c r="B17" s="3025" t="s">
        <v>3244</v>
      </c>
      <c r="C17" s="3034">
        <f>ROUND(IF(OR(E2="工业",E2="公共服务"),1,IF(AND(E18=0,E19=0),1,IF(AND(E18=J24,E19=G19),0.8,IF(E19=0,1+E17*(-0.2),1+E17*G17*(-0.2))))),4)</f>
        <v>1</v>
      </c>
      <c r="D17" s="3026" t="s">
        <v>3245</v>
      </c>
      <c r="E17" s="3034">
        <f>ROUND(G18/I18,2)</f>
        <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3246</v>
      </c>
      <c r="E18" s="2355"/>
      <c r="F18" s="3028" t="s">
        <v>3249</v>
      </c>
      <c r="G18" s="3032">
        <f>ROUND(1-(1/(POWER(1+G24,E18))),4)</f>
        <v>0</v>
      </c>
      <c r="H18" s="3028" t="s">
        <v>3251</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43" t="s">
        <v>3252</v>
      </c>
      <c r="B20" s="159" t="s">
        <v>1994</v>
      </c>
      <c r="C20" s="3029">
        <f>ROUND(IF(F21="与级别开发程度一致",0,(G21-E21)/C21),0)</f>
        <v>-126</v>
      </c>
      <c r="D20" s="3044" t="s">
        <v>1998</v>
      </c>
      <c r="E20" s="3045"/>
      <c r="F20" s="3449" t="s">
        <v>1995</v>
      </c>
      <c r="G20" s="3450"/>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5" thickBot="1">
      <c r="A21" s="344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0</v>
      </c>
      <c r="D23" s="1896" t="s">
        <v>2002</v>
      </c>
      <c r="E23" s="717">
        <v>44197</v>
      </c>
      <c r="F23" s="1896" t="s">
        <v>2003</v>
      </c>
      <c r="G23" s="718">
        <f>'数据-取费表'!B2</f>
        <v>45573</v>
      </c>
      <c r="H23" s="3046" t="s">
        <v>3254</v>
      </c>
      <c r="I23" s="3047" t="str">
        <f>IF(H23="季度增幅（自定义）",SUMIF(N25:N28,E2,O25:O28),"")</f>
        <v/>
      </c>
      <c r="J23" s="3139" t="s">
        <v>3253</v>
      </c>
      <c r="K23" s="1061"/>
      <c r="L23" s="1897" t="s">
        <v>2004</v>
      </c>
      <c r="M23" s="1241">
        <f>ROUND(SUMIF(地价!B2:G2,E2,地价!B16:G16),0)</f>
        <v>350</v>
      </c>
      <c r="N23" s="1898"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0.7823</v>
      </c>
      <c r="D24" s="1902" t="s">
        <v>2007</v>
      </c>
      <c r="E24" s="1248">
        <f>存贷款利率!E26/100</f>
        <v>4.3499999999999997E-2</v>
      </c>
      <c r="F24" s="1902" t="s">
        <v>1999</v>
      </c>
      <c r="G24" s="724">
        <f>SUMIF(M30:Q30,E2,M33:Q33)</f>
        <v>5.5E-2</v>
      </c>
      <c r="H24" s="1902" t="s">
        <v>2008</v>
      </c>
      <c r="I24" s="725">
        <f>SUMIF('数据-取费表'!C6:C15,E2,'数据-取费表'!F6:F15)/COUNTIF('数据-取费表'!C6:C15,E2)</f>
        <v>21.9</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3333</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3.3500000000000002E-2</v>
      </c>
      <c r="M36" s="2364">
        <f ca="1">ROUND($L$36*(1+M31),3)</f>
        <v>4.2000000000000003E-2</v>
      </c>
      <c r="N36" s="2364">
        <f ca="1">ROUND($L$36*(1+N31),3)</f>
        <v>0.04</v>
      </c>
      <c r="O36" s="2364">
        <f ca="1">ROUND($L$36*(1+O31),3)</f>
        <v>3.9E-2</v>
      </c>
      <c r="P36" s="2364">
        <f ca="1">ROUND($L$36*(1+P31),3)</f>
        <v>3.6999999999999998E-2</v>
      </c>
      <c r="Q36" s="2364">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7"/>
      <c r="B37" s="1955" t="s">
        <v>2036</v>
      </c>
      <c r="C37" s="167">
        <f>ROUND(D5*C22*C23*C24*C28*F37,0)</f>
        <v>0</v>
      </c>
      <c r="D37" s="1940"/>
      <c r="E37" s="163">
        <f>ROUND(C37*D37/10000,0)</f>
        <v>0</v>
      </c>
      <c r="F37" s="163">
        <f>SUMIF(修正!A57:A68,G2,修正!B57:B68)</f>
        <v>0.6</v>
      </c>
      <c r="G37" s="163">
        <f>ROUND(IF(E2="工业",C37*$M$42,C37*$M$41),0)</f>
        <v>0</v>
      </c>
      <c r="H37" s="163">
        <f>D37</f>
        <v>0</v>
      </c>
      <c r="I37" s="163">
        <f>ROUND(G37*H37/10000,0)</f>
        <v>0</v>
      </c>
      <c r="J37" s="2752"/>
      <c r="K37" s="3059" t="s">
        <v>3264</v>
      </c>
      <c r="L37" s="1964">
        <f ca="1">L36+K38</f>
        <v>3.85E-2</v>
      </c>
      <c r="M37" s="2364">
        <f ca="1">ROUND($L$37*(1+M31),3)</f>
        <v>4.8000000000000001E-2</v>
      </c>
      <c r="N37" s="2364">
        <f t="shared" ref="N37:Q37" ca="1" si="3">ROUND($L$37*(1+N31),3)</f>
        <v>4.5999999999999999E-2</v>
      </c>
      <c r="O37" s="2364">
        <f t="shared" ca="1" si="3"/>
        <v>4.3999999999999997E-2</v>
      </c>
      <c r="P37" s="2364">
        <f t="shared" ca="1" si="3"/>
        <v>4.2000000000000003E-2</v>
      </c>
      <c r="Q37" s="2364">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8"/>
      <c r="B38" s="1884" t="s">
        <v>2037</v>
      </c>
      <c r="C38" s="167">
        <f>ROUND(D5*C22*C23*C24*C28*F38,0)</f>
        <v>0</v>
      </c>
      <c r="D38" s="1940"/>
      <c r="E38" s="163">
        <f t="shared" ref="E38:E42" si="4">ROUND(C38*D38/10000,0)</f>
        <v>0</v>
      </c>
      <c r="F38" s="163">
        <f>SUMIF(修正!A57:A68,G2,修正!C57:C68)</f>
        <v>0.3</v>
      </c>
      <c r="G38" s="163">
        <f>ROUND(IF(E2="工业",C38*$M$42,C38*$M$41),0)</f>
        <v>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8"/>
      <c r="B39" s="1884" t="s">
        <v>3257</v>
      </c>
      <c r="C39" s="167">
        <f>ROUND(D5*C22*C23*C24*C28*F39,0)</f>
        <v>0</v>
      </c>
      <c r="D39" s="1940"/>
      <c r="E39" s="163">
        <f t="shared" si="4"/>
        <v>0</v>
      </c>
      <c r="F39" s="163">
        <f>SUMIF(修正!A57:A68,G2,修正!D57:D68)</f>
        <v>0.25</v>
      </c>
      <c r="G39" s="163">
        <f>ROUND(IF(E2="工业",C39*$M$42,C39*$M$41),0)</f>
        <v>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0</v>
      </c>
      <c r="D40" s="1940"/>
      <c r="E40" s="163">
        <f t="shared" si="4"/>
        <v>0</v>
      </c>
      <c r="F40" s="167">
        <f>SUMIF(修正!A57:A68,G2,修正!E57:E68)</f>
        <v>0.25</v>
      </c>
      <c r="G40" s="163">
        <f>ROUND(IF(E2="工业",C40*$M$42,C40*$M$41),0)</f>
        <v>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51">
      <c r="A50" s="1970" t="s">
        <v>2052</v>
      </c>
      <c r="B50" s="1973" t="str">
        <f>估价对象房地状况!C4</f>
        <v>估价对象周边商业氛围成熟度一般，有千禧商业街、银座和谐广场，人流量一般，商业繁华度一般</v>
      </c>
      <c r="C50" s="1887"/>
      <c r="D50" s="1002">
        <f t="shared" ref="D50:D58" si="7">SUMIF($J$49:$N$49,C50,J50:N50)</f>
        <v>0</v>
      </c>
      <c r="E50" s="702">
        <f>ROUND(SUM(D50:D58),4)</f>
        <v>0</v>
      </c>
      <c r="F50" s="1675">
        <f>IF(E2="商业",SUMIF(L1:L12,G2,N1:N12),"——")</f>
        <v>0.1</v>
      </c>
      <c r="G50" s="1000"/>
      <c r="H50" s="1003">
        <f t="shared" ref="H50:H58" si="8">IFERROR(ROUNDDOWN($F$50*I50/2,4),"——")</f>
        <v>1.4999999999999999E-2</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70" t="s">
        <v>2053</v>
      </c>
      <c r="B51" s="1262" t="str">
        <f>估价对象房地状况!C18</f>
        <v>估价对象周边道路通达状况较好、有52、57、473、941等公交线路，停车便捷程度一般，综合评价交通便捷度一般</v>
      </c>
      <c r="C51" s="1887"/>
      <c r="D51" s="1002">
        <f t="shared" si="7"/>
        <v>0</v>
      </c>
      <c r="E51" s="703"/>
      <c r="F51" s="1675"/>
      <c r="G51" s="1000"/>
      <c r="H51" s="1003">
        <f t="shared" si="8"/>
        <v>1.0999999999999999E-2</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3267</v>
      </c>
      <c r="B52" s="1262">
        <f>估价对象房地状况!C19</f>
        <v>0</v>
      </c>
      <c r="C52" s="1887"/>
      <c r="D52" s="1002">
        <f t="shared" si="7"/>
        <v>0</v>
      </c>
      <c r="E52" s="703"/>
      <c r="F52" s="1675"/>
      <c r="G52" s="1000"/>
      <c r="H52" s="1003">
        <f t="shared" si="8"/>
        <v>6.0000000000000001E-3</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f t="shared" si="8"/>
        <v>2.5000000000000001E-3</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次干道-靛厂路</v>
      </c>
      <c r="C54" s="1887"/>
      <c r="D54" s="1002">
        <f t="shared" si="7"/>
        <v>0</v>
      </c>
      <c r="E54" s="703"/>
      <c r="F54" s="1675"/>
      <c r="G54" s="1000"/>
      <c r="H54" s="1003">
        <f t="shared" si="8"/>
        <v>4.0000000000000001E-3</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f t="shared" si="8"/>
        <v>2.5000000000000001E-3</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估价对象所在区域公共配套设施齐备情况较好</v>
      </c>
      <c r="C56" s="1887"/>
      <c r="D56" s="1002">
        <f t="shared" si="7"/>
        <v>0</v>
      </c>
      <c r="E56" s="703"/>
      <c r="F56" s="1675"/>
      <c r="G56" s="1000"/>
      <c r="H56" s="1003">
        <f t="shared" si="8"/>
        <v>2.5000000000000001E-3</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f t="shared" si="8"/>
        <v>4.0000000000000001E-3</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区域自然环境：万丰公园、足球公园等；人文环境；综合评价环境状况一般</v>
      </c>
      <c r="C58" s="1887"/>
      <c r="D58" s="1002">
        <f t="shared" si="7"/>
        <v>0</v>
      </c>
      <c r="E58" s="704"/>
      <c r="F58" s="1675"/>
      <c r="G58" s="1000"/>
      <c r="H58" s="1003">
        <f t="shared" si="8"/>
        <v>2.5000000000000001E-3</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51">
      <c r="A61" s="1970" t="s">
        <v>2064</v>
      </c>
      <c r="B61" s="1973" t="str">
        <f>估价对象房地状况!C17</f>
        <v>估价对象，周边办公楼项目数量一般，有华信大厦、金鑫大厦等写字楼项目，入驻率较高，办公集聚程度一般</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70" t="s">
        <v>2053</v>
      </c>
      <c r="B62" s="1262" t="str">
        <f>估价对象房地状况!C18</f>
        <v>估价对象周边道路通达状况较好、有52、57、473、941等公交线路，停车便捷程度一般，综合评价交通便捷度一般</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次干道-靛厂路</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区域自然环境：万丰公园、足球公园等；人文环境；综合评价环境状况一般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估价对象周边道路通达状况较好、有52、57、473、941等公交线路，停车便捷程度一般，综合评价交通便捷度一般</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次干道-靛厂路</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区域自然环境：万丰公园、足球公园等；人文环境；综合评价环境状况一般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2610</v>
      </c>
      <c r="B91" s="3077">
        <f>1+E93</f>
        <v>1</v>
      </c>
      <c r="C91" s="3070"/>
      <c r="D91" s="3071"/>
      <c r="E91" s="1675"/>
      <c r="F91" s="1675"/>
      <c r="G91" s="3072"/>
      <c r="H91" s="3073"/>
      <c r="I91" s="3074"/>
      <c r="J91" s="3075"/>
      <c r="K91" s="3075"/>
      <c r="L91" s="3075"/>
      <c r="M91" s="3075"/>
      <c r="N91" s="3075"/>
    </row>
    <row r="92" spans="1:37" ht="24.75">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1">
      <c r="A94" s="3078" t="s">
        <v>3271</v>
      </c>
      <c r="B94" s="3069" t="str">
        <f>估价对象房地状况!C18</f>
        <v>估价对象周边道路通达状况较好、有52、57、473、941等公交线路，停车便捷程度一般，综合评价交通便捷度一般</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t="str">
        <f>估价对象房地状况!C24</f>
        <v>次干道-靛厂路</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3275</v>
      </c>
      <c r="B99" s="3069" t="str">
        <f>估价对象房地状况!C21</f>
        <v>估价对象所在区域公共配套设施齐备情况较好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4">
      <c r="A100" s="3078" t="s">
        <v>3276</v>
      </c>
      <c r="B100" s="3069" t="str">
        <f>估价对象房地状况!C22</f>
        <v>七通</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39" thickBot="1">
      <c r="A101" s="3079" t="s">
        <v>3277</v>
      </c>
      <c r="B101" s="3086" t="str">
        <f>估价对象房地状况!C20</f>
        <v>区域自然环境：万丰公园、足球公园等；人文环境；综合评价环境状况一般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45" t="s">
        <v>3292</v>
      </c>
      <c r="B103" s="3445"/>
      <c r="C103" s="3445"/>
      <c r="D103" s="3445"/>
      <c r="E103" s="3445"/>
      <c r="F103" s="3445"/>
      <c r="G103" s="3445"/>
      <c r="H103" s="3445"/>
      <c r="I103" s="3445"/>
      <c r="J103" s="3445"/>
      <c r="K103" s="1667"/>
      <c r="L103" s="1667"/>
      <c r="M103" s="1667"/>
      <c r="N103" s="1667"/>
    </row>
    <row r="104" spans="1:14">
      <c r="A104" s="3446" t="s">
        <v>3293</v>
      </c>
      <c r="B104" s="3446" t="s">
        <v>3294</v>
      </c>
      <c r="C104" s="3088" t="s">
        <v>3295</v>
      </c>
      <c r="D104" s="3089"/>
      <c r="E104" s="3089"/>
      <c r="F104" s="3089"/>
      <c r="G104" s="3089"/>
      <c r="H104" s="3089"/>
      <c r="I104" s="3089"/>
      <c r="J104" s="3090"/>
      <c r="K104" s="3091"/>
      <c r="L104" s="3091"/>
      <c r="M104" s="3091"/>
      <c r="N104" s="3091"/>
    </row>
    <row r="105" spans="1:14">
      <c r="A105" s="3446"/>
      <c r="B105" s="3446"/>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32"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3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3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3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3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33"/>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3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35" t="s">
        <v>3309</v>
      </c>
      <c r="B113" s="3435"/>
      <c r="C113" s="3435"/>
      <c r="D113" s="3435"/>
      <c r="E113" s="3435"/>
      <c r="F113" s="3435"/>
      <c r="G113" s="3435"/>
      <c r="H113" s="3435"/>
      <c r="I113" s="3435"/>
      <c r="J113" s="343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3310</v>
      </c>
      <c r="B116" s="3112">
        <f>G3</f>
        <v>0</v>
      </c>
      <c r="C116" s="3097" t="s">
        <v>3311</v>
      </c>
      <c r="D116" s="3098">
        <f>SUMPRODUCT((A118:A122=F116)*(B117:M117=H116)*B118:M122)</f>
        <v>0.94899999999999995</v>
      </c>
      <c r="E116" s="162" t="s">
        <v>3312</v>
      </c>
      <c r="F116" s="3099" t="str">
        <f>E2</f>
        <v>商业</v>
      </c>
      <c r="G116" s="162" t="s">
        <v>3313</v>
      </c>
      <c r="H116" s="3099" t="str">
        <f>G2</f>
        <v>四级</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3327</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3328</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3329</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2610</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0" priority="6" stopIfTrue="1" operator="notEqual">
      <formula>"——"</formula>
    </cfRule>
  </conditionalFormatting>
  <conditionalFormatting sqref="F61">
    <cfRule type="cellIs" dxfId="29" priority="5" stopIfTrue="1" operator="notEqual">
      <formula>"——"</formula>
    </cfRule>
  </conditionalFormatting>
  <conditionalFormatting sqref="F72">
    <cfRule type="cellIs" dxfId="28" priority="4" stopIfTrue="1" operator="notEqual">
      <formula>"——"</formula>
    </cfRule>
  </conditionalFormatting>
  <conditionalFormatting sqref="F83">
    <cfRule type="cellIs" dxfId="27" priority="3" stopIfTrue="1" operator="notEqual">
      <formula>"——"</formula>
    </cfRule>
  </conditionalFormatting>
  <conditionalFormatting sqref="H50:H58 H61:H69 H72:H80 H83:H91">
    <cfRule type="cellIs" dxfId="26" priority="2" operator="notEqual">
      <formula>"——"</formula>
    </cfRule>
  </conditionalFormatting>
  <conditionalFormatting sqref="H93:H101">
    <cfRule type="cellIs" dxfId="2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75">
      <c r="A3" s="1984" t="s">
        <v>2076</v>
      </c>
      <c r="B3" s="2386" t="e">
        <f ca="1">ROUND(B2*10000/E2,0)</f>
        <v>#DIV/0!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460" t="s">
        <v>2605</v>
      </c>
      <c r="B20" s="3455" t="s">
        <v>2626</v>
      </c>
      <c r="C20" s="2840" t="s">
        <v>2437</v>
      </c>
      <c r="D20" s="2841"/>
      <c r="E20" s="2842">
        <v>1</v>
      </c>
      <c r="F20" s="2843" t="s">
        <v>2438</v>
      </c>
      <c r="G20" s="2843"/>
    </row>
    <row r="21" spans="1:13" ht="19.5" customHeight="1">
      <c r="A21" s="3461"/>
      <c r="B21" s="3454"/>
      <c r="C21" s="2844" t="s">
        <v>2439</v>
      </c>
      <c r="D21" s="2845"/>
      <c r="E21" s="2846">
        <v>1</v>
      </c>
      <c r="F21" s="2843" t="s">
        <v>2440</v>
      </c>
      <c r="G21" s="2843"/>
    </row>
    <row r="22" spans="1:13" ht="19.5" customHeight="1">
      <c r="A22" s="3461"/>
      <c r="B22" s="3454"/>
      <c r="C22" s="2844" t="s">
        <v>2441</v>
      </c>
      <c r="D22" s="2845"/>
      <c r="E22" s="2846">
        <v>0.9</v>
      </c>
      <c r="F22" s="2843" t="s">
        <v>2442</v>
      </c>
      <c r="G22" s="2843"/>
    </row>
    <row r="23" spans="1:13" ht="19.5" customHeight="1">
      <c r="A23" s="3461"/>
      <c r="B23" s="3454"/>
      <c r="C23" s="2844" t="s">
        <v>2443</v>
      </c>
      <c r="D23" s="2845"/>
      <c r="E23" s="2846">
        <v>0.9</v>
      </c>
      <c r="F23" s="2843" t="s">
        <v>2444</v>
      </c>
      <c r="G23" s="2843"/>
    </row>
    <row r="24" spans="1:13" ht="19.5" customHeight="1">
      <c r="A24" s="3461"/>
      <c r="B24" s="3454"/>
      <c r="C24" s="2844" t="s">
        <v>2445</v>
      </c>
      <c r="D24" s="2845"/>
      <c r="E24" s="2846">
        <v>0.8</v>
      </c>
      <c r="F24" s="2843" t="s">
        <v>2446</v>
      </c>
      <c r="G24" s="2843"/>
    </row>
    <row r="25" spans="1:13" ht="19.5" customHeight="1" thickBot="1">
      <c r="A25" s="3462"/>
      <c r="B25" s="3456"/>
      <c r="C25" s="2847" t="s">
        <v>2447</v>
      </c>
      <c r="D25" s="2848"/>
      <c r="E25" s="2849">
        <v>0.8</v>
      </c>
      <c r="F25" s="2843" t="s">
        <v>2448</v>
      </c>
      <c r="G25" s="2843"/>
    </row>
    <row r="26" spans="1:13" ht="19.5" customHeight="1" thickBot="1">
      <c r="A26" s="2850" t="s">
        <v>2627</v>
      </c>
      <c r="B26" s="2851" t="s">
        <v>2626</v>
      </c>
      <c r="C26" s="2852" t="s">
        <v>2628</v>
      </c>
      <c r="D26" s="2853"/>
      <c r="E26" s="2854">
        <v>1</v>
      </c>
      <c r="F26" s="2843" t="s">
        <v>2449</v>
      </c>
      <c r="G26" s="2843"/>
    </row>
    <row r="27" spans="1:13" ht="19.5" customHeight="1">
      <c r="A27" s="3457" t="s">
        <v>2629</v>
      </c>
      <c r="B27" s="3455" t="s">
        <v>2610</v>
      </c>
      <c r="C27" s="2840" t="s">
        <v>2450</v>
      </c>
      <c r="D27" s="2841"/>
      <c r="E27" s="2842">
        <v>1</v>
      </c>
      <c r="F27" s="2843" t="s">
        <v>2451</v>
      </c>
      <c r="G27" s="2843"/>
    </row>
    <row r="28" spans="1:13" ht="19.5" customHeight="1">
      <c r="A28" s="3458"/>
      <c r="B28" s="3454"/>
      <c r="C28" s="2844" t="s">
        <v>2452</v>
      </c>
      <c r="D28" s="2845"/>
      <c r="E28" s="2846">
        <v>1</v>
      </c>
      <c r="F28" s="2843" t="s">
        <v>2453</v>
      </c>
      <c r="G28" s="2843"/>
    </row>
    <row r="29" spans="1:13" ht="19.5" customHeight="1">
      <c r="A29" s="3458"/>
      <c r="B29" s="3454"/>
      <c r="C29" s="2844" t="s">
        <v>2454</v>
      </c>
      <c r="D29" s="2845"/>
      <c r="E29" s="2846">
        <v>0.8</v>
      </c>
      <c r="F29" s="2843" t="s">
        <v>2455</v>
      </c>
      <c r="G29" s="2843"/>
    </row>
    <row r="30" spans="1:13" ht="19.5" customHeight="1">
      <c r="A30" s="3458"/>
      <c r="B30" s="3454"/>
      <c r="C30" s="2844" t="s">
        <v>2456</v>
      </c>
      <c r="D30" s="2845"/>
      <c r="E30" s="2846">
        <v>0.8</v>
      </c>
      <c r="F30" s="2843" t="s">
        <v>2457</v>
      </c>
      <c r="G30" s="2843"/>
    </row>
    <row r="31" spans="1:13" ht="19.5" customHeight="1">
      <c r="A31" s="3458"/>
      <c r="B31" s="3454"/>
      <c r="C31" s="2844" t="s">
        <v>2458</v>
      </c>
      <c r="D31" s="2845"/>
      <c r="E31" s="2846">
        <v>0.8</v>
      </c>
      <c r="F31" s="2843" t="s">
        <v>2459</v>
      </c>
      <c r="G31" s="2843"/>
    </row>
    <row r="32" spans="1:13" ht="19.5" customHeight="1">
      <c r="A32" s="3458"/>
      <c r="B32" s="3454"/>
      <c r="C32" s="2844" t="s">
        <v>2460</v>
      </c>
      <c r="D32" s="2845"/>
      <c r="E32" s="2846">
        <v>0.7</v>
      </c>
      <c r="F32" s="2843" t="s">
        <v>2461</v>
      </c>
      <c r="G32" s="2843"/>
    </row>
    <row r="33" spans="1:7" ht="19.5" customHeight="1">
      <c r="A33" s="3458"/>
      <c r="B33" s="3454"/>
      <c r="C33" s="2844" t="s">
        <v>2462</v>
      </c>
      <c r="D33" s="2845"/>
      <c r="E33" s="2846">
        <v>0.8</v>
      </c>
      <c r="F33" s="2843" t="s">
        <v>2463</v>
      </c>
      <c r="G33" s="2843"/>
    </row>
    <row r="34" spans="1:7" ht="19.5" customHeight="1">
      <c r="A34" s="3458"/>
      <c r="B34" s="3454"/>
      <c r="C34" s="2844" t="s">
        <v>2464</v>
      </c>
      <c r="D34" s="2845"/>
      <c r="E34" s="2846">
        <v>0.6</v>
      </c>
      <c r="F34" s="2843" t="s">
        <v>2465</v>
      </c>
      <c r="G34" s="2843"/>
    </row>
    <row r="35" spans="1:7" ht="19.5" customHeight="1">
      <c r="A35" s="3458"/>
      <c r="B35" s="3454"/>
      <c r="C35" s="2844" t="s">
        <v>2466</v>
      </c>
      <c r="D35" s="2845"/>
      <c r="E35" s="2846">
        <v>0.2</v>
      </c>
      <c r="F35" s="2843" t="s">
        <v>2467</v>
      </c>
      <c r="G35" s="2843"/>
    </row>
    <row r="36" spans="1:7" ht="19.5" customHeight="1">
      <c r="A36" s="3458"/>
      <c r="B36" s="3454"/>
      <c r="C36" s="2844" t="s">
        <v>2468</v>
      </c>
      <c r="D36" s="2845"/>
      <c r="E36" s="2846">
        <v>0.2</v>
      </c>
      <c r="F36" s="2843" t="s">
        <v>2469</v>
      </c>
      <c r="G36" s="2843"/>
    </row>
    <row r="37" spans="1:7" ht="19.5" customHeight="1">
      <c r="A37" s="3458"/>
      <c r="B37" s="3452" t="s">
        <v>2630</v>
      </c>
      <c r="C37" s="2844" t="s">
        <v>2470</v>
      </c>
      <c r="D37" s="2845"/>
      <c r="E37" s="2846">
        <v>0.6</v>
      </c>
      <c r="F37" s="2843" t="s">
        <v>2471</v>
      </c>
      <c r="G37" s="2843"/>
    </row>
    <row r="38" spans="1:7" ht="19.5" customHeight="1">
      <c r="A38" s="3458"/>
      <c r="B38" s="3454"/>
      <c r="C38" s="2844" t="s">
        <v>2472</v>
      </c>
      <c r="D38" s="2845"/>
      <c r="E38" s="2846">
        <v>0.6</v>
      </c>
      <c r="F38" s="2843" t="s">
        <v>2473</v>
      </c>
      <c r="G38" s="2843"/>
    </row>
    <row r="39" spans="1:7" ht="19.5" customHeight="1" thickBot="1">
      <c r="A39" s="3459"/>
      <c r="B39" s="3456"/>
      <c r="C39" s="2847" t="s">
        <v>2474</v>
      </c>
      <c r="D39" s="2848"/>
      <c r="E39" s="2849">
        <v>0.6</v>
      </c>
      <c r="F39" s="2843" t="s">
        <v>2475</v>
      </c>
      <c r="G39" s="2843"/>
    </row>
    <row r="40" spans="1:7" ht="19.5" customHeight="1" thickBot="1">
      <c r="A40" s="2850" t="s">
        <v>2607</v>
      </c>
      <c r="B40" s="2851" t="s">
        <v>2607</v>
      </c>
      <c r="C40" s="2852" t="s">
        <v>2631</v>
      </c>
      <c r="D40" s="2853"/>
      <c r="E40" s="2854">
        <v>1</v>
      </c>
      <c r="F40" s="2843" t="s">
        <v>2476</v>
      </c>
      <c r="G40" s="2843"/>
    </row>
    <row r="41" spans="1:7" ht="19.5" customHeight="1">
      <c r="A41" s="3460" t="s">
        <v>2608</v>
      </c>
      <c r="B41" s="3455" t="s">
        <v>2632</v>
      </c>
      <c r="C41" s="2840" t="s">
        <v>2477</v>
      </c>
      <c r="D41" s="2841"/>
      <c r="E41" s="2842">
        <v>1</v>
      </c>
      <c r="F41" s="2843" t="s">
        <v>2478</v>
      </c>
      <c r="G41" s="2843"/>
    </row>
    <row r="42" spans="1:7" ht="19.5" customHeight="1">
      <c r="A42" s="3461"/>
      <c r="B42" s="3454"/>
      <c r="C42" s="2844" t="s">
        <v>2479</v>
      </c>
      <c r="D42" s="2845"/>
      <c r="E42" s="2846">
        <v>1</v>
      </c>
      <c r="F42" s="2843" t="s">
        <v>2480</v>
      </c>
      <c r="G42" s="2843"/>
    </row>
    <row r="43" spans="1:7" ht="19.5" customHeight="1">
      <c r="A43" s="3461"/>
      <c r="B43" s="3453"/>
      <c r="C43" s="2844" t="s">
        <v>2481</v>
      </c>
      <c r="D43" s="2845"/>
      <c r="E43" s="2846">
        <v>1.5</v>
      </c>
      <c r="F43" s="2843" t="s">
        <v>2482</v>
      </c>
      <c r="G43" s="2843"/>
    </row>
    <row r="44" spans="1:7" ht="19.5" customHeight="1">
      <c r="A44" s="3461"/>
      <c r="B44" s="2855" t="s">
        <v>2633</v>
      </c>
      <c r="C44" s="2844" t="s">
        <v>2634</v>
      </c>
      <c r="D44" s="2845"/>
      <c r="E44" s="2846">
        <v>2</v>
      </c>
      <c r="F44" s="2843" t="s">
        <v>2483</v>
      </c>
      <c r="G44" s="2843"/>
    </row>
    <row r="45" spans="1:7" ht="19.5" customHeight="1">
      <c r="A45" s="3461"/>
      <c r="B45" s="3452" t="s">
        <v>2635</v>
      </c>
      <c r="C45" s="2844" t="s">
        <v>2484</v>
      </c>
      <c r="D45" s="2845"/>
      <c r="E45" s="2846">
        <v>1</v>
      </c>
      <c r="F45" s="2843" t="s">
        <v>2485</v>
      </c>
      <c r="G45" s="2843"/>
    </row>
    <row r="46" spans="1:7" ht="19.5" customHeight="1">
      <c r="A46" s="3461"/>
      <c r="B46" s="3454"/>
      <c r="C46" s="2844" t="s">
        <v>2486</v>
      </c>
      <c r="D46" s="2845"/>
      <c r="E46" s="2846">
        <v>1</v>
      </c>
      <c r="F46" s="2843" t="s">
        <v>2487</v>
      </c>
      <c r="G46" s="2843"/>
    </row>
    <row r="47" spans="1:7" ht="19.5" customHeight="1">
      <c r="A47" s="3461"/>
      <c r="B47" s="3454"/>
      <c r="C47" s="2844" t="s">
        <v>2488</v>
      </c>
      <c r="D47" s="2845"/>
      <c r="E47" s="2846">
        <v>1</v>
      </c>
      <c r="F47" s="2843" t="s">
        <v>2489</v>
      </c>
      <c r="G47" s="2843"/>
    </row>
    <row r="48" spans="1:7" ht="19.5" customHeight="1">
      <c r="A48" s="3461"/>
      <c r="B48" s="3454"/>
      <c r="C48" s="2844" t="s">
        <v>2490</v>
      </c>
      <c r="D48" s="2845"/>
      <c r="E48" s="2846">
        <v>1</v>
      </c>
      <c r="F48" s="2843" t="s">
        <v>2491</v>
      </c>
      <c r="G48" s="2843"/>
    </row>
    <row r="49" spans="1:7" ht="19.5" customHeight="1">
      <c r="A49" s="3461"/>
      <c r="B49" s="3454"/>
      <c r="C49" s="2844" t="s">
        <v>2492</v>
      </c>
      <c r="D49" s="2845"/>
      <c r="E49" s="2846">
        <v>1</v>
      </c>
      <c r="F49" s="2843" t="s">
        <v>2493</v>
      </c>
      <c r="G49" s="2843"/>
    </row>
    <row r="50" spans="1:7" ht="19.5" customHeight="1">
      <c r="A50" s="3461"/>
      <c r="B50" s="3454"/>
      <c r="C50" s="2844" t="s">
        <v>2494</v>
      </c>
      <c r="D50" s="2845"/>
      <c r="E50" s="2846">
        <v>1</v>
      </c>
      <c r="F50" s="2843" t="s">
        <v>2495</v>
      </c>
      <c r="G50" s="2843"/>
    </row>
    <row r="51" spans="1:7" ht="19.5" customHeight="1" thickBot="1">
      <c r="A51" s="3462"/>
      <c r="B51" s="3456"/>
      <c r="C51" s="2847" t="s">
        <v>2496</v>
      </c>
      <c r="D51" s="2848"/>
      <c r="E51" s="2849">
        <v>1</v>
      </c>
      <c r="F51" s="2843" t="s">
        <v>2497</v>
      </c>
      <c r="G51" s="2843"/>
    </row>
    <row r="52" spans="1:7" ht="19.5" customHeight="1">
      <c r="A52" s="2856"/>
      <c r="B52" s="2856"/>
      <c r="C52" s="2856"/>
      <c r="D52" s="2856"/>
      <c r="E52" s="2856"/>
      <c r="F52" s="2856"/>
      <c r="G52" s="2856"/>
    </row>
    <row r="54" spans="1:7" ht="19.5" customHeight="1">
      <c r="A54" s="2857"/>
      <c r="B54" s="2829" t="s">
        <v>2636</v>
      </c>
      <c r="C54" s="2829" t="s">
        <v>2636</v>
      </c>
      <c r="D54" s="2829" t="s">
        <v>2636</v>
      </c>
      <c r="E54" s="2832" t="s">
        <v>2636</v>
      </c>
      <c r="F54" s="2832" t="s">
        <v>2637</v>
      </c>
      <c r="G54" s="2832" t="s">
        <v>2638</v>
      </c>
    </row>
    <row r="55" spans="1:7" ht="19.5" customHeight="1">
      <c r="A55" s="2858"/>
      <c r="B55" s="2832" t="s">
        <v>2605</v>
      </c>
      <c r="C55" s="2832" t="s">
        <v>2605</v>
      </c>
      <c r="D55" s="2832" t="s">
        <v>2605</v>
      </c>
      <c r="E55" s="2829" t="s">
        <v>2606</v>
      </c>
      <c r="F55" s="2829" t="s">
        <v>2608</v>
      </c>
      <c r="G55" s="2829" t="s">
        <v>2639</v>
      </c>
    </row>
    <row r="56" spans="1:7" ht="19.5" customHeight="1">
      <c r="A56" s="2859"/>
      <c r="B56" s="2829">
        <v>1</v>
      </c>
      <c r="C56" s="2829">
        <v>2</v>
      </c>
      <c r="D56" s="2829">
        <v>3</v>
      </c>
      <c r="E56" s="2860" t="s">
        <v>2640</v>
      </c>
      <c r="F56" s="2860" t="s">
        <v>2640</v>
      </c>
      <c r="G56" s="2860" t="s">
        <v>2640</v>
      </c>
    </row>
    <row r="57" spans="1:7" ht="19.5" customHeight="1">
      <c r="A57" s="2861" t="s">
        <v>2593</v>
      </c>
      <c r="B57" s="2829">
        <v>0.7</v>
      </c>
      <c r="C57" s="2829">
        <v>0.4</v>
      </c>
      <c r="D57" s="2829">
        <v>0.3</v>
      </c>
      <c r="E57" s="2860">
        <v>0.3</v>
      </c>
      <c r="F57" s="2829">
        <v>0.3</v>
      </c>
      <c r="G57" s="2829">
        <v>0.2</v>
      </c>
    </row>
    <row r="58" spans="1:7" ht="19.5" customHeight="1">
      <c r="A58" s="2861" t="s">
        <v>2594</v>
      </c>
      <c r="B58" s="2829">
        <v>0.7</v>
      </c>
      <c r="C58" s="2829">
        <v>0.4</v>
      </c>
      <c r="D58" s="2829">
        <v>0.3</v>
      </c>
      <c r="E58" s="2829">
        <v>0.3</v>
      </c>
      <c r="F58" s="2829">
        <v>0.3</v>
      </c>
      <c r="G58" s="2829">
        <v>0.2</v>
      </c>
    </row>
    <row r="59" spans="1:7" ht="19.5" customHeight="1">
      <c r="A59" s="2861" t="s">
        <v>2595</v>
      </c>
      <c r="B59" s="2829">
        <v>0.6</v>
      </c>
      <c r="C59" s="2829">
        <v>0.3</v>
      </c>
      <c r="D59" s="2829">
        <v>0.25</v>
      </c>
      <c r="E59" s="2829">
        <v>0.25</v>
      </c>
      <c r="F59" s="2829">
        <v>0.25</v>
      </c>
      <c r="G59" s="2829">
        <v>0.15</v>
      </c>
    </row>
    <row r="60" spans="1:7" ht="19.5" customHeight="1">
      <c r="A60" s="2861" t="s">
        <v>2596</v>
      </c>
      <c r="B60" s="2829">
        <v>0.6</v>
      </c>
      <c r="C60" s="2829">
        <v>0.3</v>
      </c>
      <c r="D60" s="2829">
        <v>0.25</v>
      </c>
      <c r="E60" s="2829">
        <v>0.25</v>
      </c>
      <c r="F60" s="2829">
        <v>0.25</v>
      </c>
      <c r="G60" s="2829">
        <v>0.15</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0.5</v>
      </c>
      <c r="C64" s="2829">
        <v>0.2</v>
      </c>
      <c r="D64" s="2829">
        <v>0.2</v>
      </c>
      <c r="E64" s="2829">
        <v>0.2</v>
      </c>
      <c r="F64" s="2829">
        <v>0.2</v>
      </c>
      <c r="G64" s="2829">
        <v>0.1</v>
      </c>
    </row>
    <row r="65" spans="1:7" ht="19.5" customHeight="1">
      <c r="A65" s="2861" t="s">
        <v>2601</v>
      </c>
      <c r="B65" s="2829">
        <v>0.5</v>
      </c>
      <c r="C65" s="2829">
        <v>0.2</v>
      </c>
      <c r="D65" s="2829">
        <v>0.2</v>
      </c>
      <c r="E65" s="2829">
        <v>0.2</v>
      </c>
      <c r="F65" s="2829">
        <v>0.2</v>
      </c>
      <c r="G65" s="2829">
        <v>0.1</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70" spans="1:7" ht="19.5" customHeight="1">
      <c r="A70" s="2843"/>
      <c r="B70" s="2862"/>
      <c r="C70" s="2862"/>
      <c r="D70" s="2862" t="s">
        <v>2641</v>
      </c>
      <c r="E70" s="2862"/>
      <c r="F70" s="2862"/>
    </row>
    <row r="71" spans="1:7" ht="19.5" customHeight="1">
      <c r="A71" s="2855" t="s">
        <v>2642</v>
      </c>
      <c r="B71" s="2855" t="s">
        <v>2643</v>
      </c>
      <c r="C71" s="2855" t="s">
        <v>2644</v>
      </c>
      <c r="D71" s="2855" t="s">
        <v>2645</v>
      </c>
      <c r="E71" s="2855" t="s">
        <v>2646</v>
      </c>
      <c r="F71" s="2855" t="s">
        <v>2647</v>
      </c>
    </row>
    <row r="72" spans="1:7" ht="13.5">
      <c r="A72" s="2855"/>
      <c r="B72" s="2855"/>
      <c r="C72" s="2855" t="s">
        <v>2648</v>
      </c>
      <c r="D72" s="2855"/>
      <c r="E72" s="2855" t="s">
        <v>2619</v>
      </c>
      <c r="F72" s="2855" t="s">
        <v>2619</v>
      </c>
    </row>
    <row r="73" spans="1:7" ht="13.5">
      <c r="A73" s="2855">
        <v>1</v>
      </c>
      <c r="B73" s="3452" t="s">
        <v>2649</v>
      </c>
      <c r="C73" s="2829" t="s">
        <v>2650</v>
      </c>
      <c r="D73" s="2829" t="s">
        <v>2651</v>
      </c>
      <c r="E73" s="2855">
        <v>0.2</v>
      </c>
      <c r="F73" s="2855">
        <v>25</v>
      </c>
    </row>
    <row r="74" spans="1:7" ht="24">
      <c r="A74" s="2855">
        <v>2</v>
      </c>
      <c r="B74" s="3454"/>
      <c r="C74" s="2829" t="s">
        <v>2652</v>
      </c>
      <c r="D74" s="2829" t="s">
        <v>2653</v>
      </c>
      <c r="E74" s="2855">
        <v>0.2</v>
      </c>
      <c r="F74" s="2855">
        <v>25</v>
      </c>
    </row>
    <row r="75" spans="1:7" ht="24">
      <c r="A75" s="2855">
        <v>3</v>
      </c>
      <c r="B75" s="3454"/>
      <c r="C75" s="2829" t="s">
        <v>2654</v>
      </c>
      <c r="D75" s="2829" t="s">
        <v>2655</v>
      </c>
      <c r="E75" s="2855">
        <v>0.2</v>
      </c>
      <c r="F75" s="2855">
        <v>25</v>
      </c>
    </row>
    <row r="76" spans="1:7" ht="13.5">
      <c r="A76" s="2855">
        <v>4</v>
      </c>
      <c r="B76" s="3454"/>
      <c r="C76" s="2829" t="s">
        <v>2656</v>
      </c>
      <c r="D76" s="2829" t="s">
        <v>2657</v>
      </c>
      <c r="E76" s="2855">
        <v>0.15</v>
      </c>
      <c r="F76" s="2855">
        <v>20</v>
      </c>
    </row>
    <row r="77" spans="1:7" ht="24">
      <c r="A77" s="2855">
        <v>5</v>
      </c>
      <c r="B77" s="3454"/>
      <c r="C77" s="2829" t="s">
        <v>2658</v>
      </c>
      <c r="D77" s="2829" t="s">
        <v>2659</v>
      </c>
      <c r="E77" s="2855">
        <v>0.15</v>
      </c>
      <c r="F77" s="2855">
        <v>20</v>
      </c>
    </row>
    <row r="78" spans="1:7" ht="24">
      <c r="A78" s="2855">
        <v>6</v>
      </c>
      <c r="B78" s="3454"/>
      <c r="C78" s="2829" t="s">
        <v>2660</v>
      </c>
      <c r="D78" s="2829" t="s">
        <v>2661</v>
      </c>
      <c r="E78" s="2855">
        <v>0.15</v>
      </c>
      <c r="F78" s="2855">
        <v>20</v>
      </c>
    </row>
    <row r="79" spans="1:7" ht="24">
      <c r="A79" s="2855">
        <v>7</v>
      </c>
      <c r="B79" s="3454"/>
      <c r="C79" s="2829" t="s">
        <v>2662</v>
      </c>
      <c r="D79" s="2829" t="s">
        <v>2663</v>
      </c>
      <c r="E79" s="2855">
        <v>0.15</v>
      </c>
      <c r="F79" s="2855">
        <v>20</v>
      </c>
    </row>
    <row r="80" spans="1:7" ht="24">
      <c r="A80" s="2855">
        <v>8</v>
      </c>
      <c r="B80" s="3454"/>
      <c r="C80" s="2829" t="s">
        <v>2664</v>
      </c>
      <c r="D80" s="2829" t="s">
        <v>2665</v>
      </c>
      <c r="E80" s="2855">
        <v>0.1</v>
      </c>
      <c r="F80" s="2855">
        <v>15</v>
      </c>
    </row>
    <row r="81" spans="1:6" ht="24">
      <c r="A81" s="2855">
        <v>9</v>
      </c>
      <c r="B81" s="3454"/>
      <c r="C81" s="2829" t="s">
        <v>2666</v>
      </c>
      <c r="D81" s="2829" t="s">
        <v>2667</v>
      </c>
      <c r="E81" s="2855">
        <v>0.1</v>
      </c>
      <c r="F81" s="2855">
        <v>15</v>
      </c>
    </row>
    <row r="82" spans="1:6" ht="24">
      <c r="A82" s="2855">
        <v>10</v>
      </c>
      <c r="B82" s="3454"/>
      <c r="C82" s="2829" t="s">
        <v>2668</v>
      </c>
      <c r="D82" s="2829" t="s">
        <v>2669</v>
      </c>
      <c r="E82" s="2855">
        <v>0.1</v>
      </c>
      <c r="F82" s="2855">
        <v>15</v>
      </c>
    </row>
    <row r="83" spans="1:6" ht="24">
      <c r="A83" s="2855">
        <v>11</v>
      </c>
      <c r="B83" s="3454"/>
      <c r="C83" s="2829" t="s">
        <v>2670</v>
      </c>
      <c r="D83" s="2829" t="s">
        <v>2671</v>
      </c>
      <c r="E83" s="2855">
        <v>0.1</v>
      </c>
      <c r="F83" s="2855">
        <v>15</v>
      </c>
    </row>
    <row r="84" spans="1:6" ht="24">
      <c r="A84" s="2855">
        <v>12</v>
      </c>
      <c r="B84" s="3454"/>
      <c r="C84" s="2829" t="s">
        <v>2672</v>
      </c>
      <c r="D84" s="2829" t="s">
        <v>2673</v>
      </c>
      <c r="E84" s="2855">
        <v>0.1</v>
      </c>
      <c r="F84" s="2855">
        <v>15</v>
      </c>
    </row>
    <row r="85" spans="1:6" ht="13.5">
      <c r="A85" s="2855">
        <v>13</v>
      </c>
      <c r="B85" s="3454"/>
      <c r="C85" s="2829" t="s">
        <v>2674</v>
      </c>
      <c r="D85" s="2829" t="s">
        <v>2675</v>
      </c>
      <c r="E85" s="2855">
        <v>0.1</v>
      </c>
      <c r="F85" s="2855">
        <v>15</v>
      </c>
    </row>
    <row r="86" spans="1:6" ht="13.5">
      <c r="A86" s="2855">
        <v>14</v>
      </c>
      <c r="B86" s="3454"/>
      <c r="C86" s="2829" t="s">
        <v>2676</v>
      </c>
      <c r="D86" s="2829" t="s">
        <v>2677</v>
      </c>
      <c r="E86" s="2855">
        <v>0.1</v>
      </c>
      <c r="F86" s="2855">
        <v>15</v>
      </c>
    </row>
    <row r="87" spans="1:6" ht="13.5">
      <c r="A87" s="2855">
        <v>15</v>
      </c>
      <c r="B87" s="3454"/>
      <c r="C87" s="2829" t="s">
        <v>2678</v>
      </c>
      <c r="D87" s="2829" t="s">
        <v>2679</v>
      </c>
      <c r="E87" s="2855">
        <v>0.1</v>
      </c>
      <c r="F87" s="2855">
        <v>15</v>
      </c>
    </row>
    <row r="88" spans="1:6" ht="24">
      <c r="A88" s="2855">
        <v>16</v>
      </c>
      <c r="B88" s="3454"/>
      <c r="C88" s="2829" t="s">
        <v>2680</v>
      </c>
      <c r="D88" s="2829" t="s">
        <v>2681</v>
      </c>
      <c r="E88" s="2855">
        <v>0.1</v>
      </c>
      <c r="F88" s="2855">
        <v>15</v>
      </c>
    </row>
    <row r="89" spans="1:6" ht="24">
      <c r="A89" s="2855">
        <v>17</v>
      </c>
      <c r="B89" s="3453"/>
      <c r="C89" s="2829" t="s">
        <v>2682</v>
      </c>
      <c r="D89" s="2829" t="s">
        <v>2683</v>
      </c>
      <c r="E89" s="2855">
        <v>0.1</v>
      </c>
      <c r="F89" s="2855">
        <v>15</v>
      </c>
    </row>
    <row r="90" spans="1:6" ht="13.5">
      <c r="A90" s="2855">
        <v>18</v>
      </c>
      <c r="B90" s="3452" t="s">
        <v>2684</v>
      </c>
      <c r="C90" s="2829" t="s">
        <v>2685</v>
      </c>
      <c r="D90" s="2829" t="s">
        <v>2686</v>
      </c>
      <c r="E90" s="2855">
        <v>0.2</v>
      </c>
      <c r="F90" s="2855">
        <v>25</v>
      </c>
    </row>
    <row r="91" spans="1:6" ht="24">
      <c r="A91" s="2855">
        <v>19</v>
      </c>
      <c r="B91" s="3454"/>
      <c r="C91" s="2829" t="s">
        <v>2687</v>
      </c>
      <c r="D91" s="2829" t="s">
        <v>2688</v>
      </c>
      <c r="E91" s="2855">
        <v>0.2</v>
      </c>
      <c r="F91" s="2855">
        <v>25</v>
      </c>
    </row>
    <row r="92" spans="1:6" ht="13.5">
      <c r="A92" s="2855">
        <v>20</v>
      </c>
      <c r="B92" s="3454"/>
      <c r="C92" s="2829" t="s">
        <v>2689</v>
      </c>
      <c r="D92" s="2829" t="s">
        <v>2690</v>
      </c>
      <c r="E92" s="2855">
        <v>0.15</v>
      </c>
      <c r="F92" s="2855">
        <v>20</v>
      </c>
    </row>
    <row r="93" spans="1:6" ht="13.5">
      <c r="A93" s="2855">
        <v>21</v>
      </c>
      <c r="B93" s="3454"/>
      <c r="C93" s="2829" t="s">
        <v>2691</v>
      </c>
      <c r="D93" s="2829" t="s">
        <v>2692</v>
      </c>
      <c r="E93" s="2855">
        <v>0.15</v>
      </c>
      <c r="F93" s="2855">
        <v>20</v>
      </c>
    </row>
    <row r="94" spans="1:6" ht="13.5">
      <c r="A94" s="2855">
        <v>22</v>
      </c>
      <c r="B94" s="3454"/>
      <c r="C94" s="2829" t="s">
        <v>2693</v>
      </c>
      <c r="D94" s="2829" t="s">
        <v>2694</v>
      </c>
      <c r="E94" s="2855">
        <v>0.15</v>
      </c>
      <c r="F94" s="2855">
        <v>20</v>
      </c>
    </row>
    <row r="95" spans="1:6" ht="36">
      <c r="A95" s="2855">
        <v>23</v>
      </c>
      <c r="B95" s="3454"/>
      <c r="C95" s="2829" t="s">
        <v>2695</v>
      </c>
      <c r="D95" s="2829" t="s">
        <v>2696</v>
      </c>
      <c r="E95" s="2855">
        <v>0.15</v>
      </c>
      <c r="F95" s="2855">
        <v>20</v>
      </c>
    </row>
    <row r="96" spans="1:6" ht="13.5">
      <c r="A96" s="2855">
        <v>24</v>
      </c>
      <c r="B96" s="3454"/>
      <c r="C96" s="2829" t="s">
        <v>2697</v>
      </c>
      <c r="D96" s="2829" t="s">
        <v>2698</v>
      </c>
      <c r="E96" s="2855">
        <v>0.1</v>
      </c>
      <c r="F96" s="2855">
        <v>15</v>
      </c>
    </row>
    <row r="97" spans="1:6" ht="13.5">
      <c r="A97" s="2855">
        <v>25</v>
      </c>
      <c r="B97" s="3454"/>
      <c r="C97" s="2829" t="s">
        <v>2699</v>
      </c>
      <c r="D97" s="2829" t="s">
        <v>2700</v>
      </c>
      <c r="E97" s="2855">
        <v>0.1</v>
      </c>
      <c r="F97" s="2855">
        <v>15</v>
      </c>
    </row>
    <row r="98" spans="1:6" ht="24">
      <c r="A98" s="2855">
        <v>26</v>
      </c>
      <c r="B98" s="3454"/>
      <c r="C98" s="2829" t="s">
        <v>2701</v>
      </c>
      <c r="D98" s="2829" t="s">
        <v>2702</v>
      </c>
      <c r="E98" s="2855">
        <v>0.1</v>
      </c>
      <c r="F98" s="2855">
        <v>15</v>
      </c>
    </row>
    <row r="99" spans="1:6" ht="24">
      <c r="A99" s="2855">
        <v>27</v>
      </c>
      <c r="B99" s="3454"/>
      <c r="C99" s="2829" t="s">
        <v>2703</v>
      </c>
      <c r="D99" s="2829" t="s">
        <v>2704</v>
      </c>
      <c r="E99" s="2855">
        <v>0.1</v>
      </c>
      <c r="F99" s="2855">
        <v>15</v>
      </c>
    </row>
    <row r="100" spans="1:6" ht="13.5">
      <c r="A100" s="2855">
        <v>28</v>
      </c>
      <c r="B100" s="3454"/>
      <c r="C100" s="2829" t="s">
        <v>2705</v>
      </c>
      <c r="D100" s="2829" t="s">
        <v>2706</v>
      </c>
      <c r="E100" s="2855">
        <v>0.1</v>
      </c>
      <c r="F100" s="2855">
        <v>15</v>
      </c>
    </row>
    <row r="101" spans="1:6" ht="13.5">
      <c r="A101" s="2855">
        <v>29</v>
      </c>
      <c r="B101" s="3454"/>
      <c r="C101" s="2829" t="s">
        <v>2707</v>
      </c>
      <c r="D101" s="2829" t="s">
        <v>2708</v>
      </c>
      <c r="E101" s="2855">
        <v>0.1</v>
      </c>
      <c r="F101" s="2855">
        <v>15</v>
      </c>
    </row>
    <row r="102" spans="1:6" ht="13.5">
      <c r="A102" s="2855">
        <v>30</v>
      </c>
      <c r="B102" s="3454"/>
      <c r="C102" s="2829" t="s">
        <v>2709</v>
      </c>
      <c r="D102" s="2829" t="s">
        <v>2710</v>
      </c>
      <c r="E102" s="2855">
        <v>0.1</v>
      </c>
      <c r="F102" s="2855">
        <v>15</v>
      </c>
    </row>
    <row r="103" spans="1:6" ht="24">
      <c r="A103" s="2855">
        <v>31</v>
      </c>
      <c r="B103" s="3454"/>
      <c r="C103" s="2829" t="s">
        <v>2711</v>
      </c>
      <c r="D103" s="2829" t="s">
        <v>2712</v>
      </c>
      <c r="E103" s="2855">
        <v>0.1</v>
      </c>
      <c r="F103" s="2855">
        <v>15</v>
      </c>
    </row>
    <row r="104" spans="1:6" ht="24">
      <c r="A104" s="2855">
        <v>32</v>
      </c>
      <c r="B104" s="3454"/>
      <c r="C104" s="2829" t="s">
        <v>2713</v>
      </c>
      <c r="D104" s="2829" t="s">
        <v>2714</v>
      </c>
      <c r="E104" s="2855">
        <v>0.1</v>
      </c>
      <c r="F104" s="2855">
        <v>15</v>
      </c>
    </row>
    <row r="105" spans="1:6" ht="24">
      <c r="A105" s="2855">
        <v>33</v>
      </c>
      <c r="B105" s="3454"/>
      <c r="C105" s="2829" t="s">
        <v>2715</v>
      </c>
      <c r="D105" s="2829" t="s">
        <v>2716</v>
      </c>
      <c r="E105" s="2855">
        <v>0.1</v>
      </c>
      <c r="F105" s="2855">
        <v>15</v>
      </c>
    </row>
    <row r="106" spans="1:6" ht="24">
      <c r="A106" s="2855">
        <v>34</v>
      </c>
      <c r="B106" s="3453"/>
      <c r="C106" s="2829" t="s">
        <v>2717</v>
      </c>
      <c r="D106" s="2829" t="s">
        <v>2718</v>
      </c>
      <c r="E106" s="2855">
        <v>0.1</v>
      </c>
      <c r="F106" s="2855">
        <v>15</v>
      </c>
    </row>
    <row r="107" spans="1:6" ht="24">
      <c r="A107" s="2855">
        <v>35</v>
      </c>
      <c r="B107" s="3452" t="s">
        <v>2719</v>
      </c>
      <c r="C107" s="2855" t="s">
        <v>2720</v>
      </c>
      <c r="D107" s="2829" t="s">
        <v>2721</v>
      </c>
      <c r="E107" s="2855">
        <v>0.15</v>
      </c>
      <c r="F107" s="2855">
        <v>20</v>
      </c>
    </row>
    <row r="108" spans="1:6" ht="13.5">
      <c r="A108" s="2855">
        <v>36</v>
      </c>
      <c r="B108" s="3454"/>
      <c r="C108" s="2855" t="s">
        <v>2722</v>
      </c>
      <c r="D108" s="2829" t="s">
        <v>2723</v>
      </c>
      <c r="E108" s="2855">
        <v>0.15</v>
      </c>
      <c r="F108" s="2855">
        <v>20</v>
      </c>
    </row>
    <row r="109" spans="1:6" ht="13.5">
      <c r="A109" s="2855">
        <v>37</v>
      </c>
      <c r="B109" s="3454"/>
      <c r="C109" s="2855" t="s">
        <v>2724</v>
      </c>
      <c r="D109" s="2829" t="s">
        <v>2725</v>
      </c>
      <c r="E109" s="2855">
        <v>0.15</v>
      </c>
      <c r="F109" s="2855">
        <v>20</v>
      </c>
    </row>
    <row r="110" spans="1:6" ht="13.5">
      <c r="A110" s="2855">
        <v>38</v>
      </c>
      <c r="B110" s="3454"/>
      <c r="C110" s="2855" t="s">
        <v>2726</v>
      </c>
      <c r="D110" s="2829" t="s">
        <v>2727</v>
      </c>
      <c r="E110" s="2855">
        <v>0.1</v>
      </c>
      <c r="F110" s="2855">
        <v>15</v>
      </c>
    </row>
    <row r="111" spans="1:6" ht="24">
      <c r="A111" s="2855">
        <v>39</v>
      </c>
      <c r="B111" s="3454"/>
      <c r="C111" s="2855" t="s">
        <v>2728</v>
      </c>
      <c r="D111" s="2829" t="s">
        <v>2729</v>
      </c>
      <c r="E111" s="2855">
        <v>0.1</v>
      </c>
      <c r="F111" s="2855">
        <v>15</v>
      </c>
    </row>
    <row r="112" spans="1:6" ht="24">
      <c r="A112" s="2855">
        <v>40</v>
      </c>
      <c r="B112" s="3453"/>
      <c r="C112" s="2855" t="s">
        <v>2730</v>
      </c>
      <c r="D112" s="2829" t="s">
        <v>2731</v>
      </c>
      <c r="E112" s="2855">
        <v>0.1</v>
      </c>
      <c r="F112" s="2855">
        <v>15</v>
      </c>
    </row>
    <row r="113" spans="1:6" ht="13.5">
      <c r="A113" s="2855">
        <v>41</v>
      </c>
      <c r="B113" s="3451" t="s">
        <v>2732</v>
      </c>
      <c r="C113" s="2855" t="s">
        <v>2733</v>
      </c>
      <c r="D113" s="2829" t="s">
        <v>2734</v>
      </c>
      <c r="E113" s="2855">
        <v>0.1</v>
      </c>
      <c r="F113" s="2855">
        <v>15</v>
      </c>
    </row>
    <row r="114" spans="1:6" ht="13.5">
      <c r="A114" s="2855">
        <v>42</v>
      </c>
      <c r="B114" s="3451"/>
      <c r="C114" s="2855" t="s">
        <v>2735</v>
      </c>
      <c r="D114" s="2829" t="s">
        <v>2736</v>
      </c>
      <c r="E114" s="2855">
        <v>0.1</v>
      </c>
      <c r="F114" s="2855">
        <v>15</v>
      </c>
    </row>
    <row r="115" spans="1:6" ht="24">
      <c r="A115" s="2855">
        <v>43</v>
      </c>
      <c r="B115" s="3451"/>
      <c r="C115" s="2855" t="s">
        <v>2737</v>
      </c>
      <c r="D115" s="2829" t="s">
        <v>2738</v>
      </c>
      <c r="E115" s="2855">
        <v>0.1</v>
      </c>
      <c r="F115" s="2855">
        <v>15</v>
      </c>
    </row>
    <row r="116" spans="1:6" ht="13.5">
      <c r="A116" s="2855">
        <v>44</v>
      </c>
      <c r="B116" s="3452" t="s">
        <v>2739</v>
      </c>
      <c r="C116" s="2855" t="s">
        <v>2740</v>
      </c>
      <c r="D116" s="2829" t="s">
        <v>2741</v>
      </c>
      <c r="E116" s="2855">
        <v>0.1</v>
      </c>
      <c r="F116" s="2855">
        <v>15</v>
      </c>
    </row>
    <row r="117" spans="1:6" ht="24">
      <c r="A117" s="2855">
        <v>45</v>
      </c>
      <c r="B117" s="3453"/>
      <c r="C117" s="2829" t="s">
        <v>2742</v>
      </c>
      <c r="D117" s="2829" t="s">
        <v>2743</v>
      </c>
      <c r="E117" s="2855">
        <v>0.1</v>
      </c>
      <c r="F117" s="2855">
        <v>15</v>
      </c>
    </row>
    <row r="118" spans="1:6" ht="24">
      <c r="A118" s="2855">
        <v>46</v>
      </c>
      <c r="B118" s="3452" t="s">
        <v>2744</v>
      </c>
      <c r="C118" s="2855" t="s">
        <v>2745</v>
      </c>
      <c r="D118" s="2829" t="s">
        <v>2746</v>
      </c>
      <c r="E118" s="2855">
        <v>0.1</v>
      </c>
      <c r="F118" s="2855">
        <v>15</v>
      </c>
    </row>
    <row r="119" spans="1:6" ht="24">
      <c r="A119" s="2855">
        <v>47</v>
      </c>
      <c r="B119" s="3453"/>
      <c r="C119" s="2855" t="s">
        <v>2747</v>
      </c>
      <c r="D119" s="2829" t="s">
        <v>2748</v>
      </c>
      <c r="E119" s="2855">
        <v>0.1</v>
      </c>
      <c r="F119" s="2855">
        <v>15</v>
      </c>
    </row>
    <row r="120" spans="1:6" ht="13.5">
      <c r="A120" s="2855">
        <v>48</v>
      </c>
      <c r="B120" s="3452" t="s">
        <v>2749</v>
      </c>
      <c r="C120" s="2855" t="s">
        <v>2750</v>
      </c>
      <c r="D120" s="2829" t="s">
        <v>2751</v>
      </c>
      <c r="E120" s="2855">
        <v>0.1</v>
      </c>
      <c r="F120" s="2855">
        <v>15</v>
      </c>
    </row>
    <row r="121" spans="1:6" ht="13.5">
      <c r="A121" s="2855">
        <v>49</v>
      </c>
      <c r="B121" s="3453"/>
      <c r="C121" s="2855" t="s">
        <v>2752</v>
      </c>
      <c r="D121" s="2829" t="s">
        <v>2753</v>
      </c>
      <c r="E121" s="2855">
        <v>0.1</v>
      </c>
      <c r="F121" s="2855">
        <v>15</v>
      </c>
    </row>
    <row r="122" spans="1:6" ht="24">
      <c r="A122" s="2855">
        <v>50</v>
      </c>
      <c r="B122" s="3451" t="s">
        <v>2754</v>
      </c>
      <c r="C122" s="2855" t="s">
        <v>2755</v>
      </c>
      <c r="D122" s="2829" t="s">
        <v>2756</v>
      </c>
      <c r="E122" s="2855">
        <v>0.1</v>
      </c>
      <c r="F122" s="2855">
        <v>15</v>
      </c>
    </row>
    <row r="123" spans="1:6" ht="24">
      <c r="A123" s="2855">
        <v>51</v>
      </c>
      <c r="B123" s="3451"/>
      <c r="C123" s="2855" t="s">
        <v>2757</v>
      </c>
      <c r="D123" s="2829" t="s">
        <v>2758</v>
      </c>
      <c r="E123" s="2855">
        <v>0.1</v>
      </c>
      <c r="F123" s="2855">
        <v>15</v>
      </c>
    </row>
    <row r="124" spans="1:6" ht="24">
      <c r="A124" s="2855">
        <v>52</v>
      </c>
      <c r="B124" s="3451" t="s">
        <v>2759</v>
      </c>
      <c r="C124" s="2855" t="s">
        <v>2760</v>
      </c>
      <c r="D124" s="2829" t="s">
        <v>2761</v>
      </c>
      <c r="E124" s="2855">
        <v>0.1</v>
      </c>
      <c r="F124" s="2855">
        <v>15</v>
      </c>
    </row>
    <row r="125" spans="1:6" ht="24">
      <c r="A125" s="2855">
        <v>53</v>
      </c>
      <c r="B125" s="3451"/>
      <c r="C125" s="2855" t="s">
        <v>2762</v>
      </c>
      <c r="D125" s="2829" t="s">
        <v>2763</v>
      </c>
      <c r="E125" s="2855">
        <v>0.1</v>
      </c>
      <c r="F125" s="2855">
        <v>15</v>
      </c>
    </row>
    <row r="126" spans="1:6" ht="13.5">
      <c r="A126" s="2855">
        <v>54</v>
      </c>
      <c r="B126" s="2855" t="s">
        <v>2764</v>
      </c>
      <c r="C126" s="2855" t="s">
        <v>2765</v>
      </c>
      <c r="D126" s="2829" t="s">
        <v>2766</v>
      </c>
      <c r="E126" s="2855">
        <v>0.1</v>
      </c>
      <c r="F126" s="2855">
        <v>15</v>
      </c>
    </row>
    <row r="127" spans="1:6" ht="13.5">
      <c r="A127" s="2855">
        <v>55</v>
      </c>
      <c r="B127" s="3451" t="s">
        <v>2767</v>
      </c>
      <c r="C127" s="2855" t="s">
        <v>2768</v>
      </c>
      <c r="D127" s="2829" t="s">
        <v>2769</v>
      </c>
      <c r="E127" s="2855">
        <v>0.1</v>
      </c>
      <c r="F127" s="2855">
        <v>15</v>
      </c>
    </row>
    <row r="128" spans="1:6" ht="13.5">
      <c r="A128" s="2855">
        <v>56</v>
      </c>
      <c r="B128" s="3451"/>
      <c r="C128" s="2855" t="s">
        <v>2770</v>
      </c>
      <c r="D128" s="2829" t="s">
        <v>2771</v>
      </c>
      <c r="E128" s="2855">
        <v>0.1</v>
      </c>
      <c r="F128" s="2855">
        <v>15</v>
      </c>
    </row>
    <row r="129" spans="1:6" ht="24">
      <c r="A129" s="2855">
        <v>57</v>
      </c>
      <c r="B129" s="3451"/>
      <c r="C129" s="2855" t="s">
        <v>2772</v>
      </c>
      <c r="D129" s="2829" t="s">
        <v>2773</v>
      </c>
      <c r="E129" s="2855">
        <v>0.1</v>
      </c>
      <c r="F129" s="2855">
        <v>15</v>
      </c>
    </row>
    <row r="130" spans="1:6" ht="24">
      <c r="A130" s="2855">
        <v>58</v>
      </c>
      <c r="B130" s="3451" t="s">
        <v>2774</v>
      </c>
      <c r="C130" s="2855" t="s">
        <v>2775</v>
      </c>
      <c r="D130" s="2829" t="s">
        <v>2776</v>
      </c>
      <c r="E130" s="2855">
        <v>0.1</v>
      </c>
      <c r="F130" s="2855">
        <v>15</v>
      </c>
    </row>
    <row r="131" spans="1:6" ht="13.5">
      <c r="A131" s="2855">
        <v>59</v>
      </c>
      <c r="B131" s="3451"/>
      <c r="C131" s="2855" t="s">
        <v>2777</v>
      </c>
      <c r="D131" s="2829" t="s">
        <v>2778</v>
      </c>
      <c r="E131" s="2855">
        <v>0.1</v>
      </c>
      <c r="F131" s="2855">
        <v>15</v>
      </c>
    </row>
    <row r="132" spans="1:6" ht="13.5">
      <c r="A132" s="2855">
        <v>60</v>
      </c>
      <c r="B132" s="3452" t="s">
        <v>2779</v>
      </c>
      <c r="C132" s="2855" t="s">
        <v>2780</v>
      </c>
      <c r="D132" s="2829" t="s">
        <v>2781</v>
      </c>
      <c r="E132" s="2855">
        <v>0.1</v>
      </c>
      <c r="F132" s="2855">
        <v>15</v>
      </c>
    </row>
    <row r="133" spans="1:6" ht="13.5">
      <c r="A133" s="2855">
        <v>61</v>
      </c>
      <c r="B133" s="3453"/>
      <c r="C133" s="2855" t="s">
        <v>2782</v>
      </c>
      <c r="D133" s="2829" t="s">
        <v>2783</v>
      </c>
      <c r="E133" s="2855">
        <v>0.1</v>
      </c>
      <c r="F133" s="2855">
        <v>15</v>
      </c>
    </row>
    <row r="134" spans="1:6" ht="24">
      <c r="A134" s="2855">
        <v>62</v>
      </c>
      <c r="B134" s="2855" t="s">
        <v>2784</v>
      </c>
      <c r="C134" s="2855" t="s">
        <v>2785</v>
      </c>
      <c r="D134" s="2829" t="s">
        <v>2786</v>
      </c>
      <c r="E134" s="2855">
        <v>0.1</v>
      </c>
      <c r="F134" s="2855">
        <v>15</v>
      </c>
    </row>
    <row r="135" spans="1:6" ht="13.5">
      <c r="A135" s="2855">
        <v>63</v>
      </c>
      <c r="B135" s="3451" t="s">
        <v>2787</v>
      </c>
      <c r="C135" s="2855" t="s">
        <v>2788</v>
      </c>
      <c r="D135" s="2829" t="s">
        <v>2789</v>
      </c>
      <c r="E135" s="2855">
        <v>0.1</v>
      </c>
      <c r="F135" s="2855">
        <v>15</v>
      </c>
    </row>
    <row r="136" spans="1:6" ht="13.5">
      <c r="A136" s="2855">
        <v>64</v>
      </c>
      <c r="B136" s="3451"/>
      <c r="C136" s="2855" t="s">
        <v>2790</v>
      </c>
      <c r="D136" s="2829" t="s">
        <v>2791</v>
      </c>
      <c r="E136" s="2855">
        <v>0.1</v>
      </c>
      <c r="F136" s="2855">
        <v>15</v>
      </c>
    </row>
    <row r="137" spans="1:6" ht="13.5">
      <c r="A137" s="2855">
        <v>65</v>
      </c>
      <c r="B137" s="2855" t="s">
        <v>2792</v>
      </c>
      <c r="C137" s="2855" t="s">
        <v>2793</v>
      </c>
      <c r="D137" s="2829" t="s">
        <v>2794</v>
      </c>
      <c r="E137" s="2855">
        <v>0.1</v>
      </c>
      <c r="F137" s="2855">
        <v>15</v>
      </c>
    </row>
    <row r="138" spans="1:6" ht="13.5">
      <c r="A138" s="2855"/>
      <c r="B138" s="2855"/>
      <c r="C138" s="2855"/>
      <c r="D138" s="2855"/>
      <c r="E138" s="2855" t="s">
        <v>2795</v>
      </c>
      <c r="F138" s="2855"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0</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36534</v>
      </c>
      <c r="C2" s="2" t="s">
        <v>106</v>
      </c>
      <c r="D2" s="191"/>
      <c r="E2" s="191"/>
      <c r="F2" s="191"/>
      <c r="G2" s="191"/>
    </row>
    <row r="3" spans="1:7" s="192" customFormat="1" ht="18" customHeight="1" thickBot="1">
      <c r="A3" s="195" t="s">
        <v>58</v>
      </c>
      <c r="B3" s="196">
        <f ca="1">ROUND(B2*10000/'数据-汇总表'!E3,0)</f>
        <v>40432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181</v>
      </c>
      <c r="D10" s="795">
        <f>'数据-汇总表'!E6</f>
        <v>9035.91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181</v>
      </c>
      <c r="D19" s="204">
        <f>'数据-汇总表'!E3</f>
        <v>9035.91</v>
      </c>
      <c r="E19" s="203">
        <f>'数据-取费表'!B31</f>
        <v>200</v>
      </c>
      <c r="F19" s="223"/>
      <c r="G19" s="1" t="s">
        <v>436</v>
      </c>
    </row>
    <row r="20" spans="1:7" s="206" customFormat="1" ht="13.5" customHeight="1">
      <c r="A20" s="731" t="s">
        <v>419</v>
      </c>
      <c r="B20" s="202" t="s">
        <v>77</v>
      </c>
      <c r="C20" s="224">
        <f>ROUND((C5+C19)*F20,0)</f>
        <v>624</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1069</v>
      </c>
      <c r="D22" s="227">
        <f ca="1">C26</f>
        <v>8.0000000000000004E-4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1044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9</v>
      </c>
      <c r="D24" s="230"/>
      <c r="E24" s="230"/>
      <c r="F24" s="231"/>
      <c r="G24" s="232" t="s">
        <v>82</v>
      </c>
    </row>
    <row r="25" spans="1:7" s="206" customFormat="1" ht="24">
      <c r="A25" s="734" t="s">
        <v>348</v>
      </c>
      <c r="B25" s="207" t="s">
        <v>420</v>
      </c>
      <c r="C25" s="1042">
        <f ca="1">ROUND(IF('数据-取费表'!B22&lt;=1,C20*F22*'数据-取费表'!B23/2,C20*(POWER((1+F22),'数据-取费表'!B23/2)-1)),0)</f>
        <v>16</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4283</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4283</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29419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6036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5422</v>
      </c>
      <c r="D34" s="209"/>
      <c r="E34" s="212"/>
      <c r="F34" s="249">
        <f>IF('数据-取费表'!B24=0,1,'数据-取费表'!N16)</f>
        <v>1</v>
      </c>
      <c r="G34" s="211" t="s">
        <v>89</v>
      </c>
    </row>
    <row r="35" spans="1:7" ht="13.5" customHeight="1">
      <c r="A35" s="734" t="s">
        <v>351</v>
      </c>
      <c r="B35" s="207" t="s">
        <v>33</v>
      </c>
      <c r="C35" s="212">
        <f>ROUND(C34*F35,0)</f>
        <v>325</v>
      </c>
      <c r="D35" s="212"/>
      <c r="E35" s="212"/>
      <c r="F35" s="251">
        <f>'数据-取费表'!B33</f>
        <v>0.06</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181</v>
      </c>
      <c r="D37" s="209">
        <f>'数据-汇总表'!E3</f>
        <v>9035.91</v>
      </c>
      <c r="E37" s="241">
        <f>'数据-取费表'!B35</f>
        <v>200</v>
      </c>
      <c r="F37" s="251"/>
      <c r="G37" s="253" t="s">
        <v>92</v>
      </c>
    </row>
    <row r="38" spans="1:7" ht="13.5" customHeight="1">
      <c r="A38" s="734" t="s">
        <v>354</v>
      </c>
      <c r="B38" s="207" t="s">
        <v>36</v>
      </c>
      <c r="C38" s="212">
        <f>ROUND(C34*F38,0)</f>
        <v>108</v>
      </c>
      <c r="D38" s="212"/>
      <c r="E38" s="212"/>
      <c r="F38" s="251">
        <f>'数据-取费表'!B36</f>
        <v>0.02</v>
      </c>
      <c r="G38" s="211" t="s">
        <v>90</v>
      </c>
    </row>
    <row r="39" spans="1:7" s="206" customFormat="1" ht="13.5" customHeight="1">
      <c r="A39" s="731" t="s">
        <v>338</v>
      </c>
      <c r="B39" s="202" t="s">
        <v>77</v>
      </c>
      <c r="C39" s="224">
        <f>ROUND(C33*F20,0)</f>
        <v>181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156</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151</v>
      </c>
      <c r="D42" s="230"/>
      <c r="E42" s="230"/>
      <c r="F42" s="231"/>
      <c r="G42" s="3345" t="s">
        <v>94</v>
      </c>
    </row>
    <row r="43" spans="1:7" ht="13.5" customHeight="1">
      <c r="A43" s="734" t="s">
        <v>347</v>
      </c>
      <c r="B43" s="207" t="s">
        <v>426</v>
      </c>
      <c r="C43" s="230">
        <f ca="1">ROUND(IF('数据-取费表'!B22&lt;=1,C39*F22*'数据-取费表'!B21/2,C39*(POWER((1+F22),'数据-取费表'!B21/2)-1)),0)</f>
        <v>5</v>
      </c>
      <c r="D43" s="230"/>
      <c r="E43" s="230"/>
      <c r="F43" s="231"/>
      <c r="G43" s="3346"/>
    </row>
    <row r="44" spans="1:7" ht="13.5" customHeight="1">
      <c r="A44" s="734" t="s">
        <v>348</v>
      </c>
      <c r="B44" s="207" t="s">
        <v>428</v>
      </c>
      <c r="C44" s="230">
        <f ca="1">ROUND(IF('数据-取费表'!B22&lt;=1,C40*F22*'数据-取费表'!B21/2,C40*(POWER((1+F22),'数据-取费表'!B21/2)-1)),4)</f>
        <v>8.0000000000000004E-4</v>
      </c>
      <c r="D44" s="230"/>
      <c r="E44" s="230"/>
      <c r="F44" s="231"/>
      <c r="G44" s="3347"/>
    </row>
    <row r="45" spans="1:7" s="206" customFormat="1" ht="13.5" customHeight="1">
      <c r="A45" s="731" t="s">
        <v>341</v>
      </c>
      <c r="B45" s="236" t="s">
        <v>85</v>
      </c>
      <c r="C45" s="237">
        <f>C46</f>
        <v>1243</v>
      </c>
      <c r="D45" s="227">
        <f>C47</f>
        <v>6.0000000000000001E-3</v>
      </c>
      <c r="E45" s="228" t="s">
        <v>102</v>
      </c>
      <c r="F45" s="238"/>
      <c r="G45" s="239" t="s">
        <v>434</v>
      </c>
    </row>
    <row r="46" spans="1:7" s="206" customFormat="1" ht="13.5" customHeight="1">
      <c r="A46" s="734" t="s">
        <v>349</v>
      </c>
      <c r="B46" s="240" t="s">
        <v>427</v>
      </c>
      <c r="C46" s="241">
        <f>ROUND((C33+C39)*F27,0)</f>
        <v>1243</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8370</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7115</v>
      </c>
      <c r="D51" s="224"/>
      <c r="E51" s="224"/>
      <c r="F51" s="256"/>
      <c r="G51" s="226" t="s">
        <v>37</v>
      </c>
    </row>
    <row r="52" spans="1:7" s="200" customFormat="1" ht="16.5" thickBot="1">
      <c r="A52" s="257" t="s">
        <v>38</v>
      </c>
      <c r="B52" s="258"/>
      <c r="C52" s="259">
        <f ca="1">C31+C51</f>
        <v>36534</v>
      </c>
      <c r="D52" s="258"/>
      <c r="E52" s="258"/>
      <c r="F52" s="258"/>
      <c r="G52" s="260"/>
    </row>
    <row r="55" spans="1:7" ht="15">
      <c r="B55" s="262" t="s">
        <v>39</v>
      </c>
      <c r="C55" s="263"/>
    </row>
    <row r="56" spans="1:7">
      <c r="B56" s="265" t="s">
        <v>40</v>
      </c>
      <c r="C56" s="266">
        <f ca="1">ROUND(C51/C52,3)</f>
        <v>0.19500000000000001</v>
      </c>
    </row>
    <row r="57" spans="1:7">
      <c r="B57" s="265" t="s">
        <v>41</v>
      </c>
      <c r="C57" s="267">
        <f ca="1">1-C56</f>
        <v>0.80499999999999994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EE3DB-6CFB-41C2-ACD3-0D2E148995CD}">
  <dimension ref="A1:BI4"/>
  <sheetViews>
    <sheetView workbookViewId="0">
      <selection activeCell="AQ14" sqref="AQ14"/>
    </sheetView>
  </sheetViews>
  <sheetFormatPr defaultRowHeight="12.75"/>
  <cols>
    <col min="1" max="1" width="9" style="3156"/>
    <col min="2" max="8" width="0" style="3156" hidden="1" customWidth="1"/>
    <col min="9" max="10" width="9.125" style="3156" bestFit="1" customWidth="1"/>
    <col min="11" max="14" width="0" style="3156" hidden="1" customWidth="1"/>
    <col min="15" max="18" width="9" style="3156"/>
    <col min="19" max="19" width="9.125" style="3156" bestFit="1" customWidth="1"/>
    <col min="20" max="20" width="9.125" style="3156" hidden="1" customWidth="1"/>
    <col min="21" max="29" width="0" style="3156" hidden="1" customWidth="1"/>
    <col min="30" max="32" width="11.625" style="3156" hidden="1" customWidth="1"/>
    <col min="33" max="33" width="11.625" style="3156" bestFit="1" customWidth="1"/>
    <col min="34" max="36" width="9" style="3156"/>
    <col min="37" max="39" width="0" style="3156" hidden="1" customWidth="1"/>
    <col min="40" max="41" width="9.125" style="3156" hidden="1" customWidth="1"/>
    <col min="42" max="42" width="0" style="3156" hidden="1" customWidth="1"/>
    <col min="43" max="43" width="9.125" style="3156" bestFit="1" customWidth="1"/>
    <col min="44" max="48" width="9.125" style="3156" hidden="1" customWidth="1"/>
    <col min="49" max="49" width="9.125" style="3156" bestFit="1" customWidth="1"/>
    <col min="50" max="51" width="0" style="3156" hidden="1" customWidth="1"/>
    <col min="52" max="52" width="9.125" style="3156" bestFit="1" customWidth="1"/>
    <col min="53" max="54" width="9" style="3156"/>
    <col min="55" max="55" width="9.125" style="3156" bestFit="1" customWidth="1"/>
    <col min="56" max="16384" width="9" style="3156"/>
  </cols>
  <sheetData>
    <row r="1" spans="1:61" s="3154" customFormat="1" ht="15">
      <c r="A1" s="3154" t="s">
        <v>3424</v>
      </c>
      <c r="B1" s="3154" t="s">
        <v>3425</v>
      </c>
      <c r="C1" s="3154" t="s">
        <v>3426</v>
      </c>
      <c r="D1" s="3154" t="s">
        <v>3427</v>
      </c>
      <c r="E1" s="3154" t="s">
        <v>3428</v>
      </c>
      <c r="F1" s="3154" t="s">
        <v>3429</v>
      </c>
      <c r="G1" s="3154" t="s">
        <v>3430</v>
      </c>
      <c r="H1" s="3154" t="s">
        <v>3431</v>
      </c>
      <c r="I1" s="3154" t="s">
        <v>3432</v>
      </c>
      <c r="J1" s="3154" t="s">
        <v>3433</v>
      </c>
      <c r="K1" s="3154" t="s">
        <v>3434</v>
      </c>
      <c r="L1" s="3154" t="s">
        <v>3435</v>
      </c>
      <c r="M1" s="3154" t="s">
        <v>3436</v>
      </c>
      <c r="N1" s="3154" t="s">
        <v>3437</v>
      </c>
      <c r="O1" s="3154" t="s">
        <v>3438</v>
      </c>
      <c r="P1" s="3154" t="s">
        <v>3439</v>
      </c>
      <c r="Q1" s="3154" t="s">
        <v>3440</v>
      </c>
      <c r="R1" s="3154" t="s">
        <v>3441</v>
      </c>
      <c r="S1" s="3154" t="s">
        <v>3442</v>
      </c>
      <c r="T1" s="3154" t="s">
        <v>3443</v>
      </c>
      <c r="U1" s="3154" t="s">
        <v>3444</v>
      </c>
      <c r="V1" s="3154" t="s">
        <v>3445</v>
      </c>
      <c r="W1" s="3154" t="s">
        <v>3446</v>
      </c>
      <c r="X1" s="3154" t="s">
        <v>3447</v>
      </c>
      <c r="Y1" s="3154" t="s">
        <v>3448</v>
      </c>
      <c r="Z1" s="3154" t="s">
        <v>3449</v>
      </c>
      <c r="AA1" s="3154" t="s">
        <v>3450</v>
      </c>
      <c r="AB1" s="3154" t="s">
        <v>3451</v>
      </c>
      <c r="AC1" s="3154" t="s">
        <v>3452</v>
      </c>
      <c r="AD1" s="3154" t="s">
        <v>3453</v>
      </c>
      <c r="AE1" s="3154" t="s">
        <v>3454</v>
      </c>
      <c r="AF1" s="3154" t="s">
        <v>3455</v>
      </c>
      <c r="AG1" s="3154" t="s">
        <v>3456</v>
      </c>
      <c r="AH1" s="3154" t="s">
        <v>3457</v>
      </c>
      <c r="AI1" s="3154" t="s">
        <v>3458</v>
      </c>
      <c r="AJ1" s="3154" t="s">
        <v>3459</v>
      </c>
      <c r="AK1" s="3154" t="s">
        <v>3460</v>
      </c>
      <c r="AL1" s="3154" t="s">
        <v>3461</v>
      </c>
      <c r="AM1" s="3154" t="s">
        <v>3462</v>
      </c>
      <c r="AN1" s="3154" t="s">
        <v>3463</v>
      </c>
      <c r="AO1" s="3154" t="s">
        <v>3464</v>
      </c>
      <c r="AP1" s="3154" t="s">
        <v>3465</v>
      </c>
      <c r="AQ1" s="3154" t="s">
        <v>3466</v>
      </c>
      <c r="AR1" s="3154" t="s">
        <v>3467</v>
      </c>
      <c r="AS1" s="3154" t="s">
        <v>3468</v>
      </c>
      <c r="AT1" s="3154" t="s">
        <v>3469</v>
      </c>
      <c r="AU1" s="3154" t="s">
        <v>3470</v>
      </c>
      <c r="AV1" s="3154" t="s">
        <v>3471</v>
      </c>
      <c r="AW1" s="3154" t="s">
        <v>3472</v>
      </c>
      <c r="AX1" s="3154" t="s">
        <v>3473</v>
      </c>
      <c r="AY1" s="3154" t="s">
        <v>3474</v>
      </c>
      <c r="AZ1" s="3154" t="s">
        <v>3475</v>
      </c>
      <c r="BA1" s="3154" t="s">
        <v>3476</v>
      </c>
      <c r="BB1" s="3154" t="s">
        <v>3477</v>
      </c>
      <c r="BC1" s="3154" t="s">
        <v>3478</v>
      </c>
      <c r="BD1" s="3154" t="s">
        <v>3479</v>
      </c>
      <c r="BE1" s="3154" t="s">
        <v>3480</v>
      </c>
      <c r="BF1" s="3154" t="s">
        <v>3481</v>
      </c>
      <c r="BG1" s="3154" t="s">
        <v>3482</v>
      </c>
      <c r="BH1" s="3154" t="s">
        <v>3483</v>
      </c>
      <c r="BI1" s="3154" t="s">
        <v>3484</v>
      </c>
    </row>
    <row r="2" spans="1:61" s="3154" customFormat="1" ht="15">
      <c r="A2" s="3154" t="s">
        <v>3485</v>
      </c>
      <c r="B2" s="3154" t="s">
        <v>3486</v>
      </c>
      <c r="C2" s="3154" t="s">
        <v>3487</v>
      </c>
      <c r="D2" s="3154" t="s">
        <v>3488</v>
      </c>
      <c r="E2" s="3154" t="s">
        <v>3489</v>
      </c>
      <c r="F2" s="3154" t="s">
        <v>3490</v>
      </c>
      <c r="G2" s="3154" t="s">
        <v>3491</v>
      </c>
      <c r="H2" s="3154" t="s">
        <v>3492</v>
      </c>
      <c r="I2" s="3154">
        <v>7467</v>
      </c>
      <c r="J2" s="3154">
        <v>52000</v>
      </c>
      <c r="K2" s="3154" t="s">
        <v>3493</v>
      </c>
      <c r="L2" s="3154" t="s">
        <v>3493</v>
      </c>
      <c r="M2" s="3154">
        <v>0</v>
      </c>
      <c r="N2" s="3154">
        <v>0</v>
      </c>
      <c r="O2" s="3154" t="s">
        <v>3494</v>
      </c>
      <c r="P2" s="3154" t="s">
        <v>3495</v>
      </c>
      <c r="Q2" s="3154" t="s">
        <v>3496</v>
      </c>
      <c r="R2" s="3154" t="s">
        <v>3497</v>
      </c>
      <c r="S2" s="3154" t="s">
        <v>3498</v>
      </c>
      <c r="T2" s="3154">
        <v>7</v>
      </c>
      <c r="U2" s="3154" t="s">
        <v>3493</v>
      </c>
      <c r="V2" s="3154" t="s">
        <v>3493</v>
      </c>
      <c r="W2" s="3154">
        <v>90</v>
      </c>
      <c r="X2" s="3154" t="s">
        <v>3499</v>
      </c>
      <c r="Y2" s="3154" t="s">
        <v>3500</v>
      </c>
      <c r="Z2" s="3154" t="s">
        <v>3493</v>
      </c>
      <c r="AA2" s="3154" t="s">
        <v>3493</v>
      </c>
      <c r="AB2" s="3154" t="s">
        <v>3493</v>
      </c>
      <c r="AC2" s="3154" t="s">
        <v>3493</v>
      </c>
      <c r="AD2" s="3155">
        <v>45254.000497685185</v>
      </c>
      <c r="AE2" s="3155">
        <v>45274.000497685185</v>
      </c>
      <c r="AF2" s="3155">
        <v>45288.000497685185</v>
      </c>
      <c r="AG2" s="3155">
        <v>45288.000497685185</v>
      </c>
      <c r="AH2" s="3154" t="s">
        <v>3501</v>
      </c>
      <c r="AI2" s="3154" t="s">
        <v>3502</v>
      </c>
      <c r="AJ2" s="3154" t="s">
        <v>3503</v>
      </c>
      <c r="AK2" s="3154" t="s">
        <v>3504</v>
      </c>
      <c r="AL2" s="3154" t="s">
        <v>3505</v>
      </c>
      <c r="AM2" s="3154" t="s">
        <v>3493</v>
      </c>
      <c r="AN2" s="3154">
        <v>118000</v>
      </c>
      <c r="AO2" s="3154">
        <v>24000</v>
      </c>
      <c r="AP2" s="3154" t="s">
        <v>3506</v>
      </c>
      <c r="AQ2" s="3154">
        <v>118000</v>
      </c>
      <c r="AR2" s="3154">
        <v>158028.66</v>
      </c>
      <c r="AS2" s="3154">
        <v>158028.66</v>
      </c>
      <c r="AT2" s="3154">
        <v>10535.24</v>
      </c>
      <c r="AU2" s="3154">
        <v>10535.24</v>
      </c>
      <c r="AV2" s="3154">
        <v>22692</v>
      </c>
      <c r="AW2" s="3154">
        <v>22692</v>
      </c>
      <c r="AX2" s="3154" t="s">
        <v>3493</v>
      </c>
      <c r="AY2" s="3154" t="s">
        <v>3493</v>
      </c>
      <c r="AZ2" s="3154">
        <v>0</v>
      </c>
      <c r="BA2" s="3154" t="s">
        <v>3493</v>
      </c>
      <c r="BB2" s="3154" t="s">
        <v>3493</v>
      </c>
      <c r="BC2" s="3154" t="s">
        <v>3493</v>
      </c>
      <c r="BD2" s="3154" t="s">
        <v>3493</v>
      </c>
      <c r="BE2" s="3154" t="s">
        <v>3493</v>
      </c>
      <c r="BF2" s="3154" t="s">
        <v>3493</v>
      </c>
      <c r="BG2" s="3154" t="s">
        <v>3493</v>
      </c>
      <c r="BH2" s="3154" t="s">
        <v>3507</v>
      </c>
      <c r="BI2" s="3154" t="s">
        <v>3508</v>
      </c>
    </row>
    <row r="3" spans="1:61" s="3154" customFormat="1" ht="15">
      <c r="A3" s="3154" t="s">
        <v>3509</v>
      </c>
      <c r="B3" s="3154" t="s">
        <v>3486</v>
      </c>
      <c r="C3" s="3154" t="s">
        <v>3487</v>
      </c>
      <c r="D3" s="3154" t="s">
        <v>3488</v>
      </c>
      <c r="E3" s="3154" t="s">
        <v>3489</v>
      </c>
      <c r="F3" s="3154" t="s">
        <v>3510</v>
      </c>
      <c r="G3" s="3154" t="s">
        <v>3511</v>
      </c>
      <c r="H3" s="3154" t="s">
        <v>3492</v>
      </c>
      <c r="I3" s="3154">
        <v>67829.210000000006</v>
      </c>
      <c r="J3" s="3154">
        <v>298100</v>
      </c>
      <c r="K3" s="3154" t="s">
        <v>3493</v>
      </c>
      <c r="L3" s="3154" t="s">
        <v>3493</v>
      </c>
      <c r="M3" s="3154">
        <v>0</v>
      </c>
      <c r="N3" s="3154">
        <v>0</v>
      </c>
      <c r="O3" s="3154" t="s">
        <v>3494</v>
      </c>
      <c r="P3" s="3154" t="s">
        <v>3512</v>
      </c>
      <c r="Q3" s="3154" t="s">
        <v>3513</v>
      </c>
      <c r="R3" s="3154" t="s">
        <v>3514</v>
      </c>
      <c r="S3" s="3154">
        <v>4.4000000000000004</v>
      </c>
      <c r="T3" s="3154">
        <v>4.4000000000000004</v>
      </c>
      <c r="U3" s="3154" t="s">
        <v>3493</v>
      </c>
      <c r="V3" s="3154" t="s">
        <v>3493</v>
      </c>
      <c r="W3" s="3154" t="s">
        <v>3493</v>
      </c>
      <c r="X3" s="3154" t="s">
        <v>3499</v>
      </c>
      <c r="Y3" s="3154" t="s">
        <v>3500</v>
      </c>
      <c r="Z3" s="3154" t="s">
        <v>3493</v>
      </c>
      <c r="AA3" s="3154" t="s">
        <v>3493</v>
      </c>
      <c r="AB3" s="3154" t="s">
        <v>3493</v>
      </c>
      <c r="AC3" s="3154" t="s">
        <v>3493</v>
      </c>
      <c r="AD3" s="3155">
        <v>45056.000497685185</v>
      </c>
      <c r="AE3" s="3155">
        <v>45076.000497685185</v>
      </c>
      <c r="AF3" s="3155">
        <v>45090.000497685185</v>
      </c>
      <c r="AG3" s="3155">
        <v>45090.000497685185</v>
      </c>
      <c r="AH3" s="3154" t="s">
        <v>3501</v>
      </c>
      <c r="AI3" s="3154" t="s">
        <v>3502</v>
      </c>
      <c r="AJ3" s="3154" t="s">
        <v>3515</v>
      </c>
      <c r="AK3" s="3154" t="s">
        <v>3516</v>
      </c>
      <c r="AL3" s="3154" t="s">
        <v>3517</v>
      </c>
      <c r="AM3" s="3154" t="s">
        <v>3518</v>
      </c>
      <c r="AN3" s="3154">
        <v>680000</v>
      </c>
      <c r="AO3" s="3154">
        <v>136000</v>
      </c>
      <c r="AP3" s="3154" t="s">
        <v>3519</v>
      </c>
      <c r="AQ3" s="3154">
        <v>680000</v>
      </c>
      <c r="AR3" s="3154">
        <v>100251.8</v>
      </c>
      <c r="AS3" s="3154">
        <v>100251.8</v>
      </c>
      <c r="AT3" s="3154">
        <v>6683.45</v>
      </c>
      <c r="AU3" s="3154">
        <v>6683.45</v>
      </c>
      <c r="AV3" s="3154">
        <v>22811</v>
      </c>
      <c r="AW3" s="3154">
        <v>22811</v>
      </c>
      <c r="AX3" s="3154" t="s">
        <v>3493</v>
      </c>
      <c r="AY3" s="3154" t="s">
        <v>3493</v>
      </c>
      <c r="AZ3" s="3154">
        <v>0</v>
      </c>
      <c r="BA3" s="3154" t="s">
        <v>3493</v>
      </c>
      <c r="BB3" s="3154" t="s">
        <v>3493</v>
      </c>
      <c r="BC3" s="3154" t="s">
        <v>3493</v>
      </c>
      <c r="BD3" s="3154" t="s">
        <v>3493</v>
      </c>
      <c r="BE3" s="3154" t="s">
        <v>3493</v>
      </c>
      <c r="BF3" s="3154" t="s">
        <v>3493</v>
      </c>
      <c r="BG3" s="3154" t="s">
        <v>3493</v>
      </c>
      <c r="BH3" s="3154" t="s">
        <v>3507</v>
      </c>
      <c r="BI3" s="3154" t="s">
        <v>3508</v>
      </c>
    </row>
    <row r="4" spans="1:61" s="3154" customFormat="1" ht="15">
      <c r="A4" s="3154" t="s">
        <v>3520</v>
      </c>
      <c r="B4" s="3154" t="s">
        <v>3486</v>
      </c>
      <c r="C4" s="3154" t="s">
        <v>3487</v>
      </c>
      <c r="D4" s="3154" t="s">
        <v>3488</v>
      </c>
      <c r="E4" s="3154" t="s">
        <v>3489</v>
      </c>
      <c r="F4" s="3154" t="s">
        <v>3521</v>
      </c>
      <c r="G4" s="3154" t="s">
        <v>3522</v>
      </c>
      <c r="H4" s="3154" t="s">
        <v>3492</v>
      </c>
      <c r="I4" s="3154">
        <v>12629.88</v>
      </c>
      <c r="J4" s="3154">
        <v>80000</v>
      </c>
      <c r="K4" s="3154" t="s">
        <v>3493</v>
      </c>
      <c r="L4" s="3154" t="s">
        <v>3493</v>
      </c>
      <c r="M4" s="3154">
        <v>0</v>
      </c>
      <c r="N4" s="3154">
        <v>0</v>
      </c>
      <c r="O4" s="3154" t="s">
        <v>3494</v>
      </c>
      <c r="P4" s="3154" t="s">
        <v>3495</v>
      </c>
      <c r="Q4" s="3154" t="s">
        <v>3523</v>
      </c>
      <c r="R4" s="3154" t="s">
        <v>3514</v>
      </c>
      <c r="S4" s="3154" t="s">
        <v>3524</v>
      </c>
      <c r="T4" s="3154">
        <v>6.33</v>
      </c>
      <c r="U4" s="3154" t="s">
        <v>3493</v>
      </c>
      <c r="V4" s="3154">
        <v>0.4</v>
      </c>
      <c r="W4" s="3154" t="s">
        <v>3493</v>
      </c>
      <c r="X4" s="3154" t="s">
        <v>3499</v>
      </c>
      <c r="Y4" s="3154" t="s">
        <v>3500</v>
      </c>
      <c r="Z4" s="3154" t="s">
        <v>3493</v>
      </c>
      <c r="AA4" s="3154" t="s">
        <v>3493</v>
      </c>
      <c r="AB4" s="3154" t="s">
        <v>3493</v>
      </c>
      <c r="AC4" s="3154" t="s">
        <v>3493</v>
      </c>
      <c r="AD4" s="3155">
        <v>44764.000497685185</v>
      </c>
      <c r="AE4" s="3155">
        <v>44784.000497685185</v>
      </c>
      <c r="AF4" s="3155">
        <v>44798.000497685185</v>
      </c>
      <c r="AG4" s="3155">
        <v>44798.000497685185</v>
      </c>
      <c r="AH4" s="3154" t="s">
        <v>3501</v>
      </c>
      <c r="AI4" s="3154" t="s">
        <v>3502</v>
      </c>
      <c r="AJ4" s="3154" t="s">
        <v>3525</v>
      </c>
      <c r="AK4" s="3154" t="s">
        <v>3526</v>
      </c>
      <c r="AL4" s="3154" t="s">
        <v>3527</v>
      </c>
      <c r="AM4" s="3154" t="s">
        <v>3528</v>
      </c>
      <c r="AN4" s="3154">
        <v>166000</v>
      </c>
      <c r="AO4" s="3154">
        <v>34000</v>
      </c>
      <c r="AP4" s="3154" t="s">
        <v>3529</v>
      </c>
      <c r="AQ4" s="3154">
        <v>166000</v>
      </c>
      <c r="AR4" s="3154">
        <v>131434.34</v>
      </c>
      <c r="AS4" s="3154">
        <v>131434.34</v>
      </c>
      <c r="AT4" s="3154">
        <v>8762.2900000000009</v>
      </c>
      <c r="AU4" s="3154">
        <v>8762.2900000000009</v>
      </c>
      <c r="AV4" s="3154">
        <v>20750</v>
      </c>
      <c r="AW4" s="3154">
        <v>20750</v>
      </c>
      <c r="AX4" s="3154" t="s">
        <v>3493</v>
      </c>
      <c r="AY4" s="3154" t="s">
        <v>3493</v>
      </c>
      <c r="AZ4" s="3154">
        <v>0</v>
      </c>
      <c r="BA4" s="3154" t="s">
        <v>3493</v>
      </c>
      <c r="BB4" s="3154" t="s">
        <v>3493</v>
      </c>
      <c r="BC4" s="3154">
        <v>0</v>
      </c>
      <c r="BD4" s="3154" t="s">
        <v>3493</v>
      </c>
      <c r="BE4" s="3154" t="s">
        <v>3493</v>
      </c>
      <c r="BF4" s="3154" t="s">
        <v>3493</v>
      </c>
      <c r="BG4" s="3154" t="s">
        <v>3493</v>
      </c>
      <c r="BH4" s="3154" t="s">
        <v>3507</v>
      </c>
      <c r="BI4" s="3154" t="s">
        <v>3508</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L27" sqref="L2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26292</v>
      </c>
      <c r="C2" s="191" t="s">
        <v>1463</v>
      </c>
      <c r="D2" s="1711" t="s">
        <v>3558</v>
      </c>
      <c r="E2" s="3162">
        <f ca="1">收益法商!C46+收益法!C46</f>
        <v>4215</v>
      </c>
      <c r="F2" s="1712" t="s">
        <v>1463</v>
      </c>
      <c r="G2" s="1713" t="s">
        <v>3420</v>
      </c>
    </row>
    <row r="3" spans="1:9" s="192" customFormat="1" ht="18" customHeight="1" thickBot="1">
      <c r="A3" s="195" t="s">
        <v>1464</v>
      </c>
      <c r="B3" s="196">
        <f ca="1">ROUND(B2*10000/(IF(B1="",'数据-汇总表'!E3,INDIRECT("'数据-取费表'!k"&amp;$G$1))),0)</f>
        <v>29097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16532</v>
      </c>
      <c r="D5" s="203" t="s">
        <v>1469</v>
      </c>
      <c r="E5" s="204" t="s">
        <v>1470</v>
      </c>
      <c r="F5" s="204" t="s">
        <v>1471</v>
      </c>
      <c r="G5" s="205"/>
    </row>
    <row r="6" spans="1:9" s="206" customFormat="1" ht="13.5" customHeight="1">
      <c r="A6" s="732" t="s">
        <v>1472</v>
      </c>
      <c r="B6" s="207" t="s">
        <v>1473</v>
      </c>
      <c r="C6" s="208">
        <f>'土地比较法-住宅、综合'!F65</f>
        <v>15867</v>
      </c>
      <c r="D6" s="209"/>
      <c r="E6" s="210"/>
      <c r="F6" s="210"/>
      <c r="G6" s="211"/>
    </row>
    <row r="7" spans="1:9" s="206" customFormat="1" ht="13.5" customHeight="1">
      <c r="A7" s="732" t="s">
        <v>1474</v>
      </c>
      <c r="B7" s="207" t="s">
        <v>1475</v>
      </c>
      <c r="C7" s="212">
        <f>ROUND(C6*F7,0)</f>
        <v>484</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181</v>
      </c>
      <c r="D8" s="214"/>
      <c r="E8" s="212"/>
      <c r="F8" s="213"/>
      <c r="G8" s="1714" t="s">
        <v>3559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3560</v>
      </c>
      <c r="H9" s="1070"/>
      <c r="I9" s="1716" t="s">
        <v>1479</v>
      </c>
    </row>
    <row r="10" spans="1:9" s="206" customFormat="1" ht="13.5" customHeight="1">
      <c r="A10" s="733" t="s">
        <v>356</v>
      </c>
      <c r="B10" s="216" t="s">
        <v>1480</v>
      </c>
      <c r="C10" s="217">
        <f ca="1">ROUND(D10*E10/10000,0)</f>
        <v>181</v>
      </c>
      <c r="D10" s="795">
        <f ca="1">IF(B1="",'数据-汇总表'!E6,IF(INDIRECT("'数据-取费表'!c"&amp;$G$1)="住宅",INDIRECT("'数据-取费表'!s"&amp;$G$1),INDIRECT("'数据-取费表'!k"&amp;$G$1)+INDIRECT("'数据-取费表'!s"&amp;$G$1)))</f>
        <v>9035.91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9035.91</v>
      </c>
      <c r="E19" s="203">
        <f>'数据-取费表'!B31</f>
        <v>200</v>
      </c>
      <c r="F19" s="223"/>
      <c r="G19" s="1714" t="s">
        <v>3561</v>
      </c>
    </row>
    <row r="20" spans="1:7" s="206" customFormat="1" ht="13.5" customHeight="1">
      <c r="A20" s="247" t="s">
        <v>1493</v>
      </c>
      <c r="B20" s="202" t="s">
        <v>1494</v>
      </c>
      <c r="C20" s="224">
        <f>ROUND((C5+C19)*F20,0)</f>
        <v>496</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850</v>
      </c>
      <c r="D22" s="227">
        <f ca="1">C26</f>
        <v>8.0000000000000004E-4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838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12</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3406</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3406</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23392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6036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5422</v>
      </c>
      <c r="D34" s="209"/>
      <c r="E34" s="212"/>
      <c r="F34" s="249">
        <f ca="1">IF('数据-取费表'!B24=0,1,IF(B1="",'数据-取费表'!N16,INDIRECT("'数据-取费表'!n"&amp;$G$1)))</f>
        <v>1</v>
      </c>
      <c r="G34" s="211" t="s">
        <v>1526</v>
      </c>
    </row>
    <row r="35" spans="1:7" ht="13.5" customHeight="1">
      <c r="A35" s="734" t="s">
        <v>351</v>
      </c>
      <c r="B35" s="207" t="s">
        <v>1527</v>
      </c>
      <c r="C35" s="212">
        <f ca="1">ROUND(C34*F35,0)</f>
        <v>325</v>
      </c>
      <c r="D35" s="212"/>
      <c r="E35" s="212"/>
      <c r="F35" s="251">
        <f>'数据-取费表'!B33</f>
        <v>0.06</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181</v>
      </c>
      <c r="D37" s="209">
        <f ca="1">D19</f>
        <v>9035.91</v>
      </c>
      <c r="E37" s="241">
        <f>'数据-取费表'!B35</f>
        <v>200</v>
      </c>
      <c r="F37" s="251"/>
      <c r="G37" s="253" t="s">
        <v>1532</v>
      </c>
    </row>
    <row r="38" spans="1:7" ht="13.5" customHeight="1">
      <c r="A38" s="734" t="s">
        <v>354</v>
      </c>
      <c r="B38" s="207" t="s">
        <v>1533</v>
      </c>
      <c r="C38" s="212">
        <f ca="1">ROUND(C34*F38,0)</f>
        <v>108</v>
      </c>
      <c r="D38" s="212"/>
      <c r="E38" s="212"/>
      <c r="F38" s="251">
        <f>'数据-取费表'!B36</f>
        <v>0.02</v>
      </c>
      <c r="G38" s="211" t="s">
        <v>1528</v>
      </c>
    </row>
    <row r="39" spans="1:7" s="206" customFormat="1" ht="13.5" customHeight="1">
      <c r="A39" s="247" t="s">
        <v>1534</v>
      </c>
      <c r="B39" s="202" t="s">
        <v>1535</v>
      </c>
      <c r="C39" s="224">
        <f ca="1">ROUND(C33*F20,0)</f>
        <v>181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156</v>
      </c>
      <c r="D41" s="227">
        <f ca="1">C44</f>
        <v>8.0000000000000004E-4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151</v>
      </c>
      <c r="D42" s="230"/>
      <c r="E42" s="230"/>
      <c r="F42" s="231"/>
      <c r="G42" s="3345" t="s">
        <v>1544</v>
      </c>
    </row>
    <row r="43" spans="1:7" ht="13.5" customHeight="1">
      <c r="A43" s="734" t="s">
        <v>347</v>
      </c>
      <c r="B43" s="207" t="s">
        <v>1545</v>
      </c>
      <c r="C43" s="230">
        <f ca="1">ROUND(IF('数据-取费表'!B22&lt;=1,C39*F22*'数据-取费表'!B21/2,C39*(POWER((1+F22),'数据-取费表'!B21/2)-1)),0)</f>
        <v>5</v>
      </c>
      <c r="D43" s="230"/>
      <c r="E43" s="230"/>
      <c r="F43" s="231"/>
      <c r="G43" s="3346"/>
    </row>
    <row r="44" spans="1:7" ht="13.5" customHeight="1">
      <c r="A44" s="734" t="s">
        <v>348</v>
      </c>
      <c r="B44" s="207" t="s">
        <v>1546</v>
      </c>
      <c r="C44" s="230">
        <f ca="1">ROUND(IF('数据-取费表'!B22&lt;=1,C40*F22*'数据-取费表'!B21/2,C40*(POWER((1+F22),'数据-取费表'!B21/2)-1)),4)</f>
        <v>8.0000000000000004E-4</v>
      </c>
      <c r="D44" s="230"/>
      <c r="E44" s="230"/>
      <c r="F44" s="231"/>
      <c r="G44" s="3347"/>
    </row>
    <row r="45" spans="1:7" s="206" customFormat="1" ht="13.5" customHeight="1">
      <c r="A45" s="247" t="s">
        <v>1547</v>
      </c>
      <c r="B45" s="236" t="s">
        <v>1513</v>
      </c>
      <c r="C45" s="237">
        <f ca="1">C46</f>
        <v>1243</v>
      </c>
      <c r="D45" s="227">
        <f ca="1">C47</f>
        <v>6.0000000000000001E-3</v>
      </c>
      <c r="E45" s="228" t="s">
        <v>1539</v>
      </c>
      <c r="F45" s="238">
        <f ca="1">F27</f>
        <v>0.2</v>
      </c>
      <c r="G45" s="239" t="s">
        <v>1548</v>
      </c>
    </row>
    <row r="46" spans="1:7" s="206" customFormat="1" ht="13.5" customHeight="1">
      <c r="A46" s="734" t="s">
        <v>346</v>
      </c>
      <c r="B46" s="240" t="s">
        <v>1549</v>
      </c>
      <c r="C46" s="241">
        <f ca="1">ROUND((C33+C39)*F27,0)</f>
        <v>1243</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8370</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7115</v>
      </c>
      <c r="D51" s="224"/>
      <c r="E51" s="224"/>
      <c r="F51" s="256"/>
      <c r="G51" s="226" t="s">
        <v>1560</v>
      </c>
    </row>
    <row r="52" spans="1:7" s="200" customFormat="1" ht="16.5" thickBot="1">
      <c r="A52" s="257" t="s">
        <v>1561</v>
      </c>
      <c r="B52" s="258"/>
      <c r="C52" s="259">
        <f ca="1">C31+C51</f>
        <v>30507</v>
      </c>
      <c r="D52" s="258"/>
      <c r="E52" s="258"/>
      <c r="F52" s="258"/>
      <c r="G52" s="260"/>
    </row>
    <row r="55" spans="1:7" ht="15">
      <c r="B55" s="262" t="s">
        <v>1562</v>
      </c>
      <c r="C55" s="263"/>
    </row>
    <row r="56" spans="1:7">
      <c r="B56" s="265" t="s">
        <v>802</v>
      </c>
      <c r="C56" s="267">
        <f ca="1">1-C57</f>
        <v>0.76700000000000002</v>
      </c>
    </row>
    <row r="57" spans="1:7">
      <c r="B57" s="265" t="s">
        <v>803</v>
      </c>
      <c r="C57" s="266">
        <f ca="1">ROUND(C51/C52,3)</f>
        <v>0.23300000000000001</v>
      </c>
    </row>
  </sheetData>
  <sheetProtection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9035.91</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90" t="s">
        <v>1770</v>
      </c>
      <c r="D4" s="3391"/>
      <c r="E4" s="3392" t="s">
        <v>1771</v>
      </c>
      <c r="F4" s="3393"/>
      <c r="G4" s="3390" t="s">
        <v>1772</v>
      </c>
      <c r="H4" s="3391"/>
      <c r="I4" s="3390" t="s">
        <v>1773</v>
      </c>
      <c r="J4" s="3391"/>
      <c r="K4" s="537" t="s">
        <v>1774</v>
      </c>
      <c r="L4" s="2484"/>
      <c r="M4" s="2485"/>
      <c r="N4" s="2485"/>
      <c r="O4" s="2485"/>
      <c r="P4" s="3469" t="s">
        <v>1775</v>
      </c>
      <c r="Q4" s="3470"/>
      <c r="R4" s="3473" t="s">
        <v>1771</v>
      </c>
      <c r="S4" s="3474"/>
      <c r="T4" s="3473" t="s">
        <v>1772</v>
      </c>
      <c r="U4" s="3474"/>
      <c r="V4" s="3475" t="s">
        <v>1773</v>
      </c>
      <c r="W4" s="3475"/>
      <c r="X4" s="1809"/>
      <c r="Y4" s="3473" t="s">
        <v>1775</v>
      </c>
      <c r="Z4" s="3474"/>
      <c r="AA4" s="3477" t="s">
        <v>1771</v>
      </c>
      <c r="AB4" s="3477" t="s">
        <v>1772</v>
      </c>
      <c r="AC4" s="3466" t="s">
        <v>1773</v>
      </c>
    </row>
    <row r="5" spans="1:29" ht="15">
      <c r="A5" s="348"/>
      <c r="B5" s="349"/>
      <c r="C5" s="3408" t="s">
        <v>1673</v>
      </c>
      <c r="D5" s="3409"/>
      <c r="E5" s="3415" t="s">
        <v>1674</v>
      </c>
      <c r="F5" s="3416"/>
      <c r="G5" s="3408" t="s">
        <v>1675</v>
      </c>
      <c r="H5" s="3409"/>
      <c r="I5" s="3408" t="s">
        <v>1676</v>
      </c>
      <c r="J5" s="3409"/>
      <c r="K5" s="537"/>
      <c r="L5" s="2484"/>
      <c r="M5" s="2485"/>
      <c r="N5" s="2485"/>
      <c r="O5" s="2485"/>
      <c r="P5" s="3471"/>
      <c r="Q5" s="3397"/>
      <c r="R5" s="3402"/>
      <c r="S5" s="3403"/>
      <c r="T5" s="3402"/>
      <c r="U5" s="3403"/>
      <c r="V5" s="3376"/>
      <c r="W5" s="3376"/>
      <c r="X5" s="1265"/>
      <c r="Y5" s="3402"/>
      <c r="Z5" s="3403"/>
      <c r="AA5" s="3388"/>
      <c r="AB5" s="3388"/>
      <c r="AC5" s="3467"/>
    </row>
    <row r="6" spans="1:29" ht="15.75" thickBot="1">
      <c r="A6" s="350"/>
      <c r="B6" s="351"/>
      <c r="C6" s="3406" t="s">
        <v>1677</v>
      </c>
      <c r="D6" s="3407"/>
      <c r="E6" s="3413" t="s">
        <v>1677</v>
      </c>
      <c r="F6" s="3414"/>
      <c r="G6" s="3406" t="s">
        <v>1677</v>
      </c>
      <c r="H6" s="3407"/>
      <c r="I6" s="3406" t="s">
        <v>1677</v>
      </c>
      <c r="J6" s="3407"/>
      <c r="K6" s="537" t="s">
        <v>1678</v>
      </c>
      <c r="L6" s="2484"/>
      <c r="M6" s="2485"/>
      <c r="N6" s="2485"/>
      <c r="O6" s="2485"/>
      <c r="P6" s="3472"/>
      <c r="Q6" s="3399"/>
      <c r="R6" s="3402"/>
      <c r="S6" s="3403"/>
      <c r="T6" s="3404"/>
      <c r="U6" s="3405"/>
      <c r="V6" s="3376"/>
      <c r="W6" s="3376"/>
      <c r="X6" s="1265"/>
      <c r="Y6" s="3404"/>
      <c r="Z6" s="3405"/>
      <c r="AA6" s="3389"/>
      <c r="AB6" s="3389"/>
      <c r="AC6" s="3468"/>
    </row>
    <row r="7" spans="1:29" s="102" customFormat="1" ht="15.75" thickBot="1">
      <c r="A7" s="352" t="s">
        <v>1679</v>
      </c>
      <c r="B7" s="353"/>
      <c r="C7" s="354">
        <f>'数据-取费表'!B2</f>
        <v>45573</v>
      </c>
      <c r="D7" s="355">
        <v>100</v>
      </c>
      <c r="E7" s="356"/>
      <c r="F7" s="357">
        <f>SUMIF(59:59,YEAR(E7)&amp;"-"&amp;MONTH(E7),60:60)</f>
        <v>0</v>
      </c>
      <c r="G7" s="356"/>
      <c r="H7" s="355">
        <f>SUMIF(59:59,YEAR(G7)&amp;"-"&amp;MONTH(G7),60:60)</f>
        <v>0</v>
      </c>
      <c r="I7" s="356"/>
      <c r="J7" s="355">
        <f>SUMIF(59:59,YEAR(I7)&amp;"-"&amp;MONTH(I7),60:60)</f>
        <v>0</v>
      </c>
      <c r="K7" s="38"/>
      <c r="L7" s="2486"/>
      <c r="M7" s="2438"/>
      <c r="N7" s="2438"/>
      <c r="O7" s="2438"/>
      <c r="P7" s="3476"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76" t="s">
        <v>1683</v>
      </c>
      <c r="Q8" s="3411"/>
      <c r="R8" s="664" t="s">
        <v>14</v>
      </c>
      <c r="S8" s="665">
        <f t="shared" si="0"/>
        <v>100</v>
      </c>
      <c r="T8" s="664" t="s">
        <v>14</v>
      </c>
      <c r="U8" s="665">
        <f t="shared" si="1"/>
        <v>100</v>
      </c>
      <c r="V8" s="664" t="s">
        <v>14</v>
      </c>
      <c r="W8" s="665">
        <f t="shared" si="2"/>
        <v>100</v>
      </c>
      <c r="X8" s="666"/>
      <c r="Y8" s="3410" t="s">
        <v>1683</v>
      </c>
      <c r="Z8" s="341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6"/>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6"/>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6"/>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6"/>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802">
        <f t="shared" si="5"/>
        <v>1</v>
      </c>
    </row>
    <row r="15" spans="1:29" ht="99.75">
      <c r="A15" s="379" t="s">
        <v>1690</v>
      </c>
      <c r="B15" s="554" t="s">
        <v>1811</v>
      </c>
      <c r="C15" s="1811" t="str">
        <f>估价对象房地状况!C5</f>
        <v>估价对象，周边办公楼项目数量一般，有华信大厦、金鑫大厦等写字楼项目，入驻率较高，办公集聚程度一般</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84"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85"/>
      <c r="Q16" s="1263"/>
      <c r="R16" s="667"/>
      <c r="S16" s="668"/>
      <c r="T16" s="667"/>
      <c r="U16" s="668"/>
      <c r="V16" s="667"/>
      <c r="W16" s="668"/>
      <c r="X16" s="1265"/>
      <c r="Y16" s="3378"/>
      <c r="Z16" s="1264"/>
      <c r="AA16" s="1264">
        <v>1</v>
      </c>
      <c r="AB16" s="1264">
        <v>1</v>
      </c>
      <c r="AC16" s="1812">
        <v>1</v>
      </c>
    </row>
    <row r="17" spans="1:29" ht="99.75">
      <c r="A17" s="367"/>
      <c r="B17" s="556" t="s">
        <v>1259</v>
      </c>
      <c r="C17" s="1813" t="str">
        <f>估价对象房地状况!C6</f>
        <v>估价对象周边道路通达状况较好、有52、57、473、941等公交线路，停车便捷程度一般，综合评价交通便捷度一般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85"/>
      <c r="Q18" s="1263"/>
      <c r="R18" s="667"/>
      <c r="S18" s="668"/>
      <c r="T18" s="667"/>
      <c r="U18" s="668"/>
      <c r="V18" s="667"/>
      <c r="W18" s="668"/>
      <c r="X18" s="1265"/>
      <c r="Y18" s="3378"/>
      <c r="Z18" s="1264"/>
      <c r="AA18" s="1264">
        <v>1</v>
      </c>
      <c r="AB18" s="1264">
        <v>1</v>
      </c>
      <c r="AC18" s="1812">
        <v>1</v>
      </c>
    </row>
    <row r="19" spans="1:29" ht="42.75">
      <c r="A19" s="367"/>
      <c r="B19" s="556" t="s">
        <v>1812</v>
      </c>
      <c r="C19" s="1813" t="str">
        <f>估价对象房地状况!C7</f>
        <v>估价对象所在区域公共配套设施齐备情况较好</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85"/>
      <c r="Q20" s="1263"/>
      <c r="R20" s="667"/>
      <c r="S20" s="668"/>
      <c r="T20" s="667"/>
      <c r="U20" s="668"/>
      <c r="V20" s="667"/>
      <c r="W20" s="668"/>
      <c r="X20" s="1265"/>
      <c r="Y20" s="3378"/>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85"/>
      <c r="Q22" s="1263"/>
      <c r="R22" s="667"/>
      <c r="S22" s="668"/>
      <c r="T22" s="667"/>
      <c r="U22" s="668"/>
      <c r="V22" s="667"/>
      <c r="W22" s="668"/>
      <c r="X22" s="1265"/>
      <c r="Y22" s="3378"/>
      <c r="Z22" s="1264"/>
      <c r="AA22" s="1264">
        <v>1</v>
      </c>
      <c r="AB22" s="1264">
        <v>1</v>
      </c>
      <c r="AC22" s="1812">
        <v>1</v>
      </c>
    </row>
    <row r="23" spans="1:29" ht="71.25">
      <c r="A23" s="367"/>
      <c r="B23" s="556" t="s">
        <v>1814</v>
      </c>
      <c r="C23" s="1813" t="str">
        <f>估价对象房地状况!C9</f>
        <v>区域自然环境：万丰公园、足球公园等；人文环境；综合评价环境状况一般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85"/>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85"/>
      <c r="Q24" s="1263"/>
      <c r="R24" s="667"/>
      <c r="S24" s="668"/>
      <c r="T24" s="667"/>
      <c r="U24" s="668"/>
      <c r="V24" s="667"/>
      <c r="W24" s="668"/>
      <c r="X24" s="1265"/>
      <c r="Y24" s="337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85"/>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85"/>
      <c r="Q26" s="1263"/>
      <c r="R26" s="667"/>
      <c r="S26" s="668"/>
      <c r="T26" s="667"/>
      <c r="U26" s="668"/>
      <c r="V26" s="667"/>
      <c r="W26" s="668"/>
      <c r="X26" s="1265"/>
      <c r="Y26" s="337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85"/>
      <c r="Q27" s="1263" t="str">
        <f t="shared" ref="Q27:Q47" si="11">B27</f>
        <v>楼层</v>
      </c>
      <c r="R27" s="667" t="s">
        <v>14</v>
      </c>
      <c r="S27" s="668">
        <f>F27</f>
        <v>100</v>
      </c>
      <c r="T27" s="667" t="s">
        <v>14</v>
      </c>
      <c r="U27" s="668">
        <f>H27</f>
        <v>100</v>
      </c>
      <c r="V27" s="667" t="s">
        <v>14</v>
      </c>
      <c r="W27" s="668">
        <f>J27</f>
        <v>100</v>
      </c>
      <c r="X27" s="1265"/>
      <c r="Y27" s="337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85"/>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85"/>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85"/>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80"/>
      <c r="Q34" s="531" t="str">
        <f t="shared" si="11"/>
        <v>项目建筑规模</v>
      </c>
      <c r="R34" s="669" t="s">
        <v>14</v>
      </c>
      <c r="S34" s="670" t="e">
        <f t="shared" si="12"/>
        <v>#N/A</v>
      </c>
      <c r="T34" s="669" t="s">
        <v>14</v>
      </c>
      <c r="U34" s="670" t="e">
        <f t="shared" si="13"/>
        <v>#N/A</v>
      </c>
      <c r="V34" s="669" t="s">
        <v>14</v>
      </c>
      <c r="W34" s="670" t="e">
        <f t="shared" si="14"/>
        <v>#N/A</v>
      </c>
      <c r="X34" s="671"/>
      <c r="Y34" s="338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80"/>
      <c r="Q37" s="1263" t="str">
        <f t="shared" si="11"/>
        <v>成新度</v>
      </c>
      <c r="R37" s="667" t="s">
        <v>14</v>
      </c>
      <c r="S37" s="668" t="e">
        <f t="shared" si="12"/>
        <v>#N/A</v>
      </c>
      <c r="T37" s="667" t="s">
        <v>14</v>
      </c>
      <c r="U37" s="668" t="e">
        <f t="shared" si="13"/>
        <v>#N/A</v>
      </c>
      <c r="V37" s="667" t="s">
        <v>14</v>
      </c>
      <c r="W37" s="668" t="e">
        <f t="shared" si="14"/>
        <v>#N/A</v>
      </c>
      <c r="X37" s="1265"/>
      <c r="Y37" s="338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80"/>
      <c r="Q43" s="1263" t="str">
        <f t="shared" si="11"/>
        <v>内部装修</v>
      </c>
      <c r="R43" s="667" t="s">
        <v>14</v>
      </c>
      <c r="S43" s="668">
        <f t="shared" si="12"/>
        <v>100</v>
      </c>
      <c r="T43" s="667" t="s">
        <v>14</v>
      </c>
      <c r="U43" s="668">
        <f t="shared" si="13"/>
        <v>100</v>
      </c>
      <c r="V43" s="667" t="s">
        <v>14</v>
      </c>
      <c r="W43" s="668">
        <f t="shared" si="14"/>
        <v>100</v>
      </c>
      <c r="X43" s="1265"/>
      <c r="Y43" s="338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0"/>
      <c r="Q45" s="530">
        <f t="shared" si="11"/>
        <v>111</v>
      </c>
      <c r="R45" s="664" t="s">
        <v>14</v>
      </c>
      <c r="S45" s="665">
        <f t="shared" si="12"/>
        <v>100</v>
      </c>
      <c r="T45" s="664" t="s">
        <v>14</v>
      </c>
      <c r="U45" s="665">
        <f t="shared" si="13"/>
        <v>100</v>
      </c>
      <c r="V45" s="664" t="s">
        <v>14</v>
      </c>
      <c r="W45" s="665">
        <f t="shared" si="14"/>
        <v>100</v>
      </c>
      <c r="X45" s="666"/>
      <c r="Y45" s="338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2"/>
      <c r="M48" s="2485"/>
      <c r="N48" s="2485"/>
      <c r="O48" s="2485"/>
      <c r="P48" s="3386" t="str">
        <f>A48</f>
        <v>成交单价（元/平方米）</v>
      </c>
      <c r="Q48" s="3375"/>
      <c r="R48" s="3376">
        <f>E48</f>
        <v>0</v>
      </c>
      <c r="S48" s="3376"/>
      <c r="T48" s="3376">
        <f>G48</f>
        <v>0</v>
      </c>
      <c r="U48" s="3376"/>
      <c r="V48" s="3376">
        <f>I48</f>
        <v>0</v>
      </c>
      <c r="W48" s="337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386" t="str">
        <f>A49</f>
        <v>比较价值（元/平方米）</v>
      </c>
      <c r="Q49" s="3375"/>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24" priority="16" stopIfTrue="1">
      <formula>$F$53="超过30%"</formula>
    </cfRule>
  </conditionalFormatting>
  <conditionalFormatting sqref="E54">
    <cfRule type="expression" dxfId="23" priority="15" stopIfTrue="1">
      <formula>$F$54="超过20%"</formula>
    </cfRule>
  </conditionalFormatting>
  <conditionalFormatting sqref="E55">
    <cfRule type="expression" dxfId="22" priority="14" stopIfTrue="1">
      <formula>$F$55="超过30%"</formula>
    </cfRule>
  </conditionalFormatting>
  <conditionalFormatting sqref="F7:F47 H7:H47 J7:J47">
    <cfRule type="cellIs" dxfId="21" priority="1" operator="notEqual">
      <formula>100</formula>
    </cfRule>
  </conditionalFormatting>
  <conditionalFormatting sqref="F49">
    <cfRule type="expression" dxfId="20" priority="4">
      <formula>$D$49="简单平均"</formula>
    </cfRule>
  </conditionalFormatting>
  <conditionalFormatting sqref="F53:F55 H53:H55">
    <cfRule type="containsText" dxfId="19" priority="17"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G55">
    <cfRule type="expression" dxfId="16" priority="13" stopIfTrue="1">
      <formula>$H$55="超过30%"</formula>
    </cfRule>
  </conditionalFormatting>
  <conditionalFormatting sqref="H49">
    <cfRule type="expression" dxfId="15" priority="3">
      <formula>$D$49="简单平均"</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J49">
    <cfRule type="expression" dxfId="11" priority="2">
      <formula>$D$49="简单平均"</formula>
    </cfRule>
  </conditionalFormatting>
  <conditionalFormatting sqref="J53:J55">
    <cfRule type="containsText" dxfId="1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f ca="1">结果表!H101</f>
        <v>22072</v>
      </c>
    </row>
    <row r="6" spans="1:5" ht="15.75">
      <c r="B6" s="3165"/>
      <c r="C6" s="1392" t="s">
        <v>911</v>
      </c>
      <c r="D6" s="797" t="str">
        <f ca="1">NUMBERSTRING(INT(D5*10000),2)&amp;"元整"</f>
        <v>贰亿贰仟零柒拾贰万元整</v>
      </c>
    </row>
    <row r="7" spans="1:5" ht="15.75">
      <c r="B7" s="3170"/>
      <c r="C7" s="1393" t="s">
        <v>912</v>
      </c>
      <c r="D7" s="798">
        <f ca="1">结果表!H102</f>
        <v>24427</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f ca="1">结果表!H107</f>
        <v>22072</v>
      </c>
    </row>
    <row r="14" spans="1:5" ht="15.75">
      <c r="B14" s="3165"/>
      <c r="C14" s="1392" t="s">
        <v>911</v>
      </c>
      <c r="D14" s="797" t="str">
        <f ca="1">NUMBERSTRING(INT(D13*10000),2)&amp;"元整"</f>
        <v>贰亿贰仟零柒拾贰万元整</v>
      </c>
    </row>
    <row r="15" spans="1:5" ht="15">
      <c r="B15" s="3170"/>
      <c r="C15" s="1393" t="s">
        <v>921</v>
      </c>
      <c r="D15" s="806">
        <f ca="1">结果表!H108</f>
        <v>24427</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7E9B1-2E96-4BA9-B568-779159D7EE0C}">
  <sheetPr>
    <tabColor rgb="FF92D050"/>
  </sheetPr>
  <dimension ref="A1:AK83"/>
  <sheetViews>
    <sheetView view="pageBreakPreview" topLeftCell="A16" zoomScale="85" zoomScaleNormal="70" zoomScaleSheetLayoutView="85" workbookViewId="0">
      <selection activeCell="I65" sqref="I6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21.9</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2098</v>
      </c>
      <c r="C2" s="1289" t="s">
        <v>805</v>
      </c>
      <c r="D2" s="1289"/>
      <c r="E2" s="1295"/>
      <c r="F2" s="1296"/>
      <c r="G2" s="2476"/>
      <c r="H2" s="2466"/>
      <c r="I2" s="2466"/>
      <c r="J2" s="2466"/>
      <c r="K2" s="2467"/>
      <c r="L2" s="2466"/>
      <c r="M2" s="2466"/>
    </row>
    <row r="3" spans="1:37" ht="18" customHeight="1" thickBot="1">
      <c r="A3" s="1297" t="s">
        <v>806</v>
      </c>
      <c r="B3" s="1298">
        <f ca="1">IF(ISERROR(B2*10000/F43),0,ROUND(B2*10000/F43,0))</f>
        <v>13931</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93</v>
      </c>
      <c r="D5" s="1273" t="s">
        <v>693</v>
      </c>
      <c r="E5" s="1008"/>
      <c r="F5" s="1009"/>
      <c r="G5" s="1292"/>
      <c r="H5" s="291">
        <v>1</v>
      </c>
      <c r="I5" s="292" t="s">
        <v>692</v>
      </c>
      <c r="J5" s="1007">
        <f ca="1">J6+J10+J12</f>
        <v>294</v>
      </c>
      <c r="K5" s="1273" t="s">
        <v>693</v>
      </c>
      <c r="L5" s="1008"/>
      <c r="M5" s="1009"/>
    </row>
    <row r="6" spans="1:37" ht="18" customHeight="1">
      <c r="A6" s="1006" t="s">
        <v>398</v>
      </c>
      <c r="B6" s="3348" t="s">
        <v>694</v>
      </c>
      <c r="C6" s="1011">
        <f ca="1">ROUND(F6*F8*F7*(1-F9)/10000,0)</f>
        <v>93</v>
      </c>
      <c r="D6" s="147" t="s">
        <v>2109</v>
      </c>
      <c r="E6" s="294" t="s">
        <v>696</v>
      </c>
      <c r="F6" s="295">
        <f ca="1">INDIRECT("'数据-取费表'!u"&amp;$G$1)</f>
        <v>1.69</v>
      </c>
      <c r="G6" s="1292"/>
      <c r="H6" s="1006" t="s">
        <v>398</v>
      </c>
      <c r="I6" s="3348" t="s">
        <v>694</v>
      </c>
      <c r="J6" s="293">
        <f ca="1">ROUND(M6*M8*M7*(1-M9)/10000,0)</f>
        <v>294</v>
      </c>
      <c r="K6" s="147" t="s">
        <v>2108</v>
      </c>
      <c r="L6" s="294" t="s">
        <v>696</v>
      </c>
      <c r="M6" s="295">
        <f ca="1">INDIRECT("'数据-取费表'!z"&amp;$G$1)</f>
        <v>5.95</v>
      </c>
    </row>
    <row r="7" spans="1:37" ht="18" customHeight="1">
      <c r="A7" s="1010"/>
      <c r="B7" s="3349"/>
      <c r="C7" s="1012"/>
      <c r="D7" s="299"/>
      <c r="E7" s="1013" t="s">
        <v>697</v>
      </c>
      <c r="F7" s="295">
        <f ca="1">IF(INDIRECT("'数据-取费表'!ah"&amp;$G$1)="",INDIRECT("'数据-取费表'!k"&amp;$G$1),INDIRECT("'数据-取费表'!ah"&amp;$G$1))</f>
        <v>1505.9849999999999</v>
      </c>
      <c r="G7" s="1292"/>
      <c r="H7" s="296"/>
      <c r="I7" s="3349"/>
      <c r="J7" s="298"/>
      <c r="K7" s="299"/>
      <c r="L7" s="294" t="s">
        <v>697</v>
      </c>
      <c r="M7" s="295">
        <f ca="1">F7</f>
        <v>1505.9849999999999</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2116</v>
      </c>
      <c r="E10" s="305" t="s">
        <v>701</v>
      </c>
      <c r="F10" s="1053" t="s">
        <v>3556</v>
      </c>
      <c r="G10" s="1292"/>
      <c r="H10" s="1006" t="s">
        <v>402</v>
      </c>
      <c r="I10" s="1274" t="s">
        <v>700</v>
      </c>
      <c r="J10" s="293">
        <f ca="1">ROUND(IF(M10="押一",J6/12*M11,IF(M10="押二",J6/12*2*M11,IF(M10="押三",J6/12*3*M11,J11*M11))),0)</f>
        <v>0</v>
      </c>
      <c r="K10" s="150" t="s">
        <v>2116</v>
      </c>
      <c r="L10" s="305" t="s">
        <v>701</v>
      </c>
      <c r="M10" s="1053" t="s">
        <v>3556</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1186</v>
      </c>
      <c r="D13" s="1018" t="s">
        <v>705</v>
      </c>
      <c r="E13" s="1018" t="s">
        <v>706</v>
      </c>
      <c r="F13" s="1019">
        <f ca="1">INDIRECT("'数据-取费表'!y"&amp;$G$1)</f>
        <v>0.85</v>
      </c>
      <c r="G13" s="1292"/>
      <c r="H13" s="1016">
        <v>2</v>
      </c>
      <c r="I13" s="1017" t="s">
        <v>704</v>
      </c>
      <c r="J13" s="1005">
        <f ca="1">ROUND(J14*J15,0)</f>
        <v>1018</v>
      </c>
      <c r="K13" s="1024" t="s">
        <v>705</v>
      </c>
      <c r="L13" s="1299"/>
      <c r="M13" s="1300"/>
    </row>
    <row r="14" spans="1:37" ht="18" customHeight="1">
      <c r="A14" s="928" t="s">
        <v>397</v>
      </c>
      <c r="B14" s="294" t="s">
        <v>707</v>
      </c>
      <c r="C14" s="310">
        <f ca="1">INDIRECT("'数据-取费表'!m"&amp;$G$1)+INDIRECT("'数据-取费表'!t"&amp;$G$1)</f>
        <v>904</v>
      </c>
      <c r="D14" s="1257" t="s">
        <v>708</v>
      </c>
      <c r="E14" s="1255"/>
      <c r="F14" s="311"/>
      <c r="G14" s="1292"/>
      <c r="H14" s="928" t="s">
        <v>398</v>
      </c>
      <c r="I14" s="294" t="s">
        <v>709</v>
      </c>
      <c r="J14" s="21">
        <f ca="1">C29</f>
        <v>1395</v>
      </c>
      <c r="K14" s="12"/>
      <c r="L14" s="759"/>
      <c r="M14" s="760"/>
    </row>
    <row r="15" spans="1:37" s="1304" customFormat="1" ht="18" customHeight="1" thickBot="1">
      <c r="A15" s="928" t="s">
        <v>399</v>
      </c>
      <c r="B15" s="294" t="s">
        <v>710</v>
      </c>
      <c r="C15" s="21">
        <f ca="1">ROUND(C14*F15,0)</f>
        <v>54</v>
      </c>
      <c r="D15" s="312" t="s">
        <v>711</v>
      </c>
      <c r="E15" s="312" t="s">
        <v>712</v>
      </c>
      <c r="F15" s="313">
        <f>'数据-取费表'!B33</f>
        <v>0.06</v>
      </c>
      <c r="G15" s="1303"/>
      <c r="H15" s="1026" t="s">
        <v>402</v>
      </c>
      <c r="I15" s="1027" t="s">
        <v>706</v>
      </c>
      <c r="J15" s="1036">
        <f ca="1">INDIRECT("'数据-取费表'!ad"&amp;$G$1)</f>
        <v>0.73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59</v>
      </c>
      <c r="K16" s="1024" t="s">
        <v>715</v>
      </c>
      <c r="L16" s="1025"/>
      <c r="M16" s="1009"/>
    </row>
    <row r="17" spans="1:37" s="1304" customFormat="1" ht="18" customHeight="1">
      <c r="A17" s="928" t="s">
        <v>681</v>
      </c>
      <c r="B17" s="294" t="s">
        <v>716</v>
      </c>
      <c r="C17" s="21">
        <f ca="1">ROUND(F17*(F43+INDIRECT("'数据-取费表'!S"&amp;$G$1))/10000,0)</f>
        <v>30</v>
      </c>
      <c r="D17" s="294" t="s">
        <v>717</v>
      </c>
      <c r="E17" s="294" t="s">
        <v>718</v>
      </c>
      <c r="F17" s="23">
        <f>'数据-取费表'!B35</f>
        <v>200</v>
      </c>
      <c r="G17" s="1303"/>
      <c r="H17" s="928" t="s">
        <v>398</v>
      </c>
      <c r="I17" s="294" t="s">
        <v>719</v>
      </c>
      <c r="J17" s="2140">
        <f ca="1">ROUND(IF(AND(项目基本情况!B11="自然人",项目基本情况!B10="北京市"),J6*M17/(1+'数据-取费表'!C42),J18+J19+J20),2)</f>
        <v>49.28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18</v>
      </c>
      <c r="D18" s="294" t="s">
        <v>711</v>
      </c>
      <c r="E18" s="294" t="s">
        <v>712</v>
      </c>
      <c r="F18" s="314">
        <f>'数据-取费表'!B36</f>
        <v>0.02</v>
      </c>
      <c r="G18" s="1303"/>
      <c r="H18" s="928" t="s">
        <v>397</v>
      </c>
      <c r="I18" s="294" t="s">
        <v>723</v>
      </c>
      <c r="J18" s="21">
        <f ca="1">ROUND(J6*M18/(1+'数据-取费表'!C42),2)</f>
        <v>15.68</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1006</v>
      </c>
      <c r="D19" s="123" t="s">
        <v>726</v>
      </c>
      <c r="E19" s="1269"/>
      <c r="F19" s="23"/>
      <c r="G19" s="1292"/>
      <c r="H19" s="928" t="s">
        <v>399</v>
      </c>
      <c r="I19" s="294" t="s">
        <v>727</v>
      </c>
      <c r="J19" s="21">
        <f ca="1">IF(K19="按租金收入计税",ROUND(J6*M19/(1+'数据-取费表'!C42),2),ROUND(C29*M19*0.7,2))</f>
        <v>33.6</v>
      </c>
      <c r="K19" s="1278" t="s">
        <v>3334</v>
      </c>
      <c r="L19" s="294" t="s">
        <v>712</v>
      </c>
      <c r="M19" s="314">
        <f>IF(K19="按租金收入计税",'数据-取费表'!B51,'数据-取费表'!B50)</f>
        <v>0.12</v>
      </c>
    </row>
    <row r="20" spans="1:37" s="1304" customFormat="1" ht="18" customHeight="1">
      <c r="A20" s="928" t="s">
        <v>402</v>
      </c>
      <c r="B20" s="294" t="s">
        <v>728</v>
      </c>
      <c r="C20" s="21">
        <f ca="1">ROUND(C19*F20,0)</f>
        <v>30</v>
      </c>
      <c r="D20" s="315" t="s">
        <v>729</v>
      </c>
      <c r="E20" s="294" t="s">
        <v>712</v>
      </c>
      <c r="F20" s="314">
        <f>'数据-取费表'!B37</f>
        <v>0.03</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6.98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26</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1.02</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ROUND(J5*M24,2)</f>
        <v>1.47</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235</v>
      </c>
      <c r="K25" s="1032" t="s">
        <v>753</v>
      </c>
      <c r="L25" s="1033"/>
      <c r="M25" s="1034"/>
    </row>
    <row r="26" spans="1:37">
      <c r="A26" s="928" t="s">
        <v>397</v>
      </c>
      <c r="B26" s="294" t="s">
        <v>754</v>
      </c>
      <c r="C26" s="21">
        <f ca="1">ROUND((C19+C20)*F26,0)</f>
        <v>207</v>
      </c>
      <c r="D26" s="315" t="s">
        <v>755</v>
      </c>
      <c r="E26" s="305" t="s">
        <v>756</v>
      </c>
      <c r="F26" s="304">
        <f ca="1">INDIRECT("'数据-取费表'!q"&amp;$G$1)</f>
        <v>0.2</v>
      </c>
      <c r="G26" s="1292"/>
      <c r="H26" s="291" t="s">
        <v>395</v>
      </c>
      <c r="I26" s="292" t="s">
        <v>757</v>
      </c>
      <c r="J26" s="293">
        <f ca="1">IF(J5&lt;&gt;0,ROUND(J25*(1-((1+M28)/(1+M26))^M27)/(M26-M28),0),0)</f>
        <v>2403</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13.129999999999999</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1395</v>
      </c>
      <c r="D29" s="1029"/>
      <c r="E29" s="1027"/>
      <c r="F29" s="1030"/>
      <c r="G29" s="1303"/>
      <c r="H29" s="325" t="s">
        <v>396</v>
      </c>
      <c r="I29" s="326" t="s">
        <v>768</v>
      </c>
      <c r="J29" s="327">
        <f ca="1">ROUND(J26/(1+F40)^F41,0)</f>
        <v>1503</v>
      </c>
      <c r="K29" s="328" t="s">
        <v>769</v>
      </c>
      <c r="L29" s="329"/>
      <c r="M29" s="330">
        <f ca="1">INDIRECT("'数据-取费表'!k"&amp;$G$1)</f>
        <v>1505.9849999999999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24</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15.59</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4.96</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10.63</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6.98</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1.19</v>
      </c>
      <c r="D37" s="1256" t="s">
        <v>743</v>
      </c>
      <c r="E37" s="294" t="s">
        <v>712</v>
      </c>
      <c r="F37" s="321">
        <f ca="1">INDIRECT("'数据-取费表'!Al"&amp;$G$1)</f>
        <v>1E-3</v>
      </c>
      <c r="G37" s="1292"/>
      <c r="H37" s="2471"/>
      <c r="I37" s="1305"/>
      <c r="J37" s="1306"/>
      <c r="K37" s="2329"/>
      <c r="L37" s="2471"/>
      <c r="M37" s="2471"/>
    </row>
    <row r="38" spans="1:18" ht="18" customHeight="1" thickBot="1">
      <c r="A38" s="1026" t="s">
        <v>683</v>
      </c>
      <c r="B38" s="1027" t="s">
        <v>728</v>
      </c>
      <c r="C38" s="1028">
        <f ca="1">ROUND(C5*F38,2)</f>
        <v>0.47</v>
      </c>
      <c r="D38" s="1029" t="s">
        <v>748</v>
      </c>
      <c r="E38" s="1027" t="s">
        <v>712</v>
      </c>
      <c r="F38" s="1023">
        <f ca="1">INDIRECT("'数据-取费表'!Am"&amp;$G$1)</f>
        <v>5.0000000000000001E-3</v>
      </c>
      <c r="G38" s="1292"/>
      <c r="H38" s="2471"/>
      <c r="I38" s="1305"/>
      <c r="J38" s="1306"/>
      <c r="K38" s="2469"/>
      <c r="L38" s="2471"/>
      <c r="M38" s="2471"/>
    </row>
    <row r="39" spans="1:18" ht="24.6" customHeight="1" thickTop="1">
      <c r="A39" s="1016" t="s">
        <v>394</v>
      </c>
      <c r="B39" s="1031" t="s">
        <v>752</v>
      </c>
      <c r="C39" s="302">
        <f ca="1">C5-C30</f>
        <v>69</v>
      </c>
      <c r="D39" s="1032" t="s">
        <v>753</v>
      </c>
      <c r="E39" s="1033"/>
      <c r="F39" s="1034"/>
      <c r="G39" s="1292"/>
      <c r="H39" s="2471"/>
      <c r="I39" s="1305"/>
      <c r="J39" s="1306"/>
      <c r="K39" s="2469"/>
      <c r="L39" s="2471"/>
      <c r="M39" s="2471"/>
    </row>
    <row r="40" spans="1:18" ht="18" customHeight="1">
      <c r="A40" s="291" t="s">
        <v>395</v>
      </c>
      <c r="B40" s="292" t="s">
        <v>774</v>
      </c>
      <c r="C40" s="293">
        <f ca="1">ROUND(C39*(1-((1+F42)/(1+F40))^F41)/(F40-F42),0)</f>
        <v>470</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8.77</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3121</v>
      </c>
      <c r="D43" s="328" t="s">
        <v>777</v>
      </c>
      <c r="E43" s="329" t="s">
        <v>778</v>
      </c>
      <c r="F43" s="330">
        <f ca="1">INDIRECT("'数据-取费表'!k"&amp;$G$1)</f>
        <v>1505.9849999999999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1250</v>
      </c>
      <c r="D46" s="1313" t="str">
        <f>C2</f>
        <v>万元</v>
      </c>
      <c r="E46" s="1307"/>
      <c r="F46" s="1307"/>
      <c r="I46" s="1314" t="s">
        <v>810</v>
      </c>
      <c r="J46" s="1315"/>
      <c r="K46" s="1316"/>
      <c r="L46" s="1317">
        <f ca="1">IF(M47="住宅",0,IF(L48&gt;J51,L60,J60))</f>
        <v>125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3415</v>
      </c>
      <c r="K47" s="1323" t="s">
        <v>816</v>
      </c>
      <c r="L47" s="1324">
        <f ca="1">INDIRECT("'数据-取费表'!d"&amp;$G$1)</f>
        <v>40</v>
      </c>
      <c r="M47" s="1288" t="str">
        <f>IF(ISNUMBER(FIND("住宅",C1)),"住宅","非住宅")</f>
        <v>非住宅</v>
      </c>
      <c r="O47" s="1325" t="s">
        <v>403</v>
      </c>
      <c r="P47" s="1326" t="s">
        <v>817</v>
      </c>
      <c r="Q47" s="1327">
        <f ca="1">C40+J29</f>
        <v>1973</v>
      </c>
      <c r="R47" s="1327" t="s">
        <v>818</v>
      </c>
    </row>
    <row r="48" spans="1:18" s="1292" customFormat="1" ht="28.5" thickBot="1">
      <c r="A48" s="1047" t="s">
        <v>438</v>
      </c>
      <c r="B48" s="292" t="s">
        <v>692</v>
      </c>
      <c r="C48" s="1268">
        <f ca="1">C49+C53+C55</f>
        <v>294</v>
      </c>
      <c r="D48" s="1049"/>
      <c r="E48" s="1050"/>
      <c r="F48" s="908"/>
      <c r="G48" s="681"/>
      <c r="H48" s="682"/>
      <c r="I48" s="1328" t="s">
        <v>819</v>
      </c>
      <c r="J48" s="1329" t="s">
        <v>3557</v>
      </c>
      <c r="K48" s="1330" t="s">
        <v>820</v>
      </c>
      <c r="L48" s="1331">
        <f ca="1">INDIRECT("'数据-取费表'!f"&amp;$G$1)</f>
        <v>21.9</v>
      </c>
      <c r="O48" s="1325" t="s">
        <v>404</v>
      </c>
      <c r="P48" s="1326" t="s">
        <v>821</v>
      </c>
      <c r="Q48" s="1327">
        <f ca="1">J60</f>
        <v>125</v>
      </c>
      <c r="R48" s="1327" t="s">
        <v>822</v>
      </c>
    </row>
    <row r="49" spans="1:18" s="1292" customFormat="1" ht="13.5" thickBot="1">
      <c r="A49" s="921" t="s">
        <v>439</v>
      </c>
      <c r="B49" s="1279" t="s">
        <v>779</v>
      </c>
      <c r="C49" s="1051">
        <f ca="1">ROUND(F49*F51*F50*(1-F52)/10000,0)</f>
        <v>294</v>
      </c>
      <c r="D49" s="992" t="s">
        <v>2108</v>
      </c>
      <c r="E49" s="1280" t="s">
        <v>780</v>
      </c>
      <c r="F49" s="997">
        <f>'数据-取费表'!Z7</f>
        <v>5.95</v>
      </c>
      <c r="H49" s="682"/>
      <c r="I49" s="1328" t="s">
        <v>823</v>
      </c>
      <c r="J49" s="1332">
        <f>Sheet1!C18</f>
        <v>2012</v>
      </c>
      <c r="K49" s="1330" t="s">
        <v>824</v>
      </c>
      <c r="L49" s="1333"/>
      <c r="O49" s="1334" t="s">
        <v>405</v>
      </c>
      <c r="P49" s="1326" t="s">
        <v>825</v>
      </c>
      <c r="Q49" s="1327">
        <f ca="1">C29</f>
        <v>1395</v>
      </c>
      <c r="R49" s="1327" t="s">
        <v>818</v>
      </c>
    </row>
    <row r="50" spans="1:18" s="1292" customFormat="1" ht="13.5" thickBot="1">
      <c r="A50" s="922"/>
      <c r="B50" s="925"/>
      <c r="C50" s="1055"/>
      <c r="D50" s="899"/>
      <c r="E50" s="993" t="s">
        <v>697</v>
      </c>
      <c r="F50" s="994">
        <f ca="1">F7</f>
        <v>1505.9849999999999</v>
      </c>
      <c r="H50" s="682"/>
      <c r="I50" s="1328" t="s">
        <v>826</v>
      </c>
      <c r="J50" s="1335">
        <f>SUMPRODUCT((I63:I65=J47)*(J62:L62=J48)*(J63:L65))</f>
        <v>60</v>
      </c>
      <c r="K50" s="1330" t="s">
        <v>827</v>
      </c>
      <c r="L50" s="1333"/>
      <c r="M50" s="1336"/>
      <c r="O50" s="1334" t="s">
        <v>406</v>
      </c>
      <c r="P50" s="1326" t="s">
        <v>828</v>
      </c>
      <c r="Q50" s="1337">
        <f ca="1">J58</f>
        <v>0.435</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-253</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21.9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t="s">
        <v>3556</v>
      </c>
      <c r="I53" s="1344" t="s">
        <v>836</v>
      </c>
      <c r="J53" s="2006">
        <f ca="1">IF(M47="住宅",IF(D1="——",MAX(J51,L48),MAX(J51,L48-'数据-取费表'!B24)),IF(D1="——",MIN(J51,L48),MIN(J51,L48-'数据-取费表'!B24)))</f>
        <v>21.9</v>
      </c>
      <c r="K53" s="3351" t="s">
        <v>837</v>
      </c>
      <c r="L53" s="3352"/>
      <c r="O53" s="1325" t="s">
        <v>409</v>
      </c>
      <c r="P53" s="1326" t="s">
        <v>838</v>
      </c>
      <c r="Q53" s="1327">
        <f ca="1">Q47+Q48</f>
        <v>2098</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0.435</v>
      </c>
      <c r="K55" s="1350" t="s">
        <v>841</v>
      </c>
      <c r="L55" s="1351"/>
      <c r="O55" s="1318" t="s">
        <v>811</v>
      </c>
      <c r="P55" s="1319" t="s">
        <v>812</v>
      </c>
      <c r="Q55" s="1320" t="s">
        <v>813</v>
      </c>
      <c r="R55" s="1320" t="s">
        <v>814</v>
      </c>
    </row>
    <row r="56" spans="1:18" s="1292" customFormat="1" ht="25.5" thickTop="1" thickBot="1">
      <c r="A56" s="903">
        <v>2</v>
      </c>
      <c r="B56" s="904" t="s">
        <v>704</v>
      </c>
      <c r="C56" s="224">
        <f ca="1">C13</f>
        <v>1186</v>
      </c>
      <c r="D56" s="1352"/>
      <c r="E56" s="1353"/>
      <c r="F56" s="1345"/>
      <c r="I56" s="1354" t="s">
        <v>842</v>
      </c>
      <c r="J56" s="1355" t="s">
        <v>3390</v>
      </c>
      <c r="K56" s="1328" t="s">
        <v>843</v>
      </c>
      <c r="L56" s="1331" t="str">
        <f ca="1">IF(L48&lt;J51,"——",L48-J53)</f>
        <v>——</v>
      </c>
      <c r="O56" s="1325" t="s">
        <v>403</v>
      </c>
      <c r="P56" s="1326" t="s">
        <v>817</v>
      </c>
      <c r="Q56" s="1327">
        <f ca="1">C40+J29</f>
        <v>1973</v>
      </c>
      <c r="R56" s="1327" t="s">
        <v>818</v>
      </c>
    </row>
    <row r="57" spans="1:18" s="1292" customFormat="1" ht="24.75" thickBot="1">
      <c r="A57" s="1356"/>
      <c r="B57" s="896" t="s">
        <v>767</v>
      </c>
      <c r="C57" s="230">
        <f ca="1">C29</f>
        <v>1395</v>
      </c>
      <c r="D57" s="1357"/>
      <c r="E57" s="1358"/>
      <c r="F57" s="1359"/>
      <c r="I57" s="1360" t="s">
        <v>844</v>
      </c>
      <c r="J57" s="1361">
        <f ca="1">IF(OR(M47="住宅",J51&lt;L48,J56="是"),"——",J51-L48)</f>
        <v>26.1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59</v>
      </c>
      <c r="D58" s="906" t="s">
        <v>715</v>
      </c>
      <c r="E58" s="907"/>
      <c r="F58" s="908"/>
      <c r="I58" s="1360" t="s">
        <v>848</v>
      </c>
      <c r="J58" s="1362">
        <f ca="1">IF(J55&lt;0.4,0.4,J55)</f>
        <v>0.435</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49</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607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15.68</v>
      </c>
      <c r="D60" s="910" t="s">
        <v>724</v>
      </c>
      <c r="E60" s="896" t="s">
        <v>712</v>
      </c>
      <c r="F60" s="322">
        <f t="shared" ref="F60:F66" si="0">F32</f>
        <v>5.6000000000000001E-2</v>
      </c>
      <c r="I60" s="1363" t="s">
        <v>853</v>
      </c>
      <c r="J60" s="1364">
        <f ca="1">IF(OR(M47="住宅",J51&lt;L48,J56="是"),"0",ROUND(J59/(1+J52)^J53,0))</f>
        <v>125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33.6</v>
      </c>
      <c r="D61" s="1278" t="s">
        <v>3334</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12</v>
      </c>
      <c r="I62" s="1367" t="s">
        <v>858</v>
      </c>
      <c r="J62" s="610" t="s">
        <v>859</v>
      </c>
      <c r="K62" s="610" t="s">
        <v>860</v>
      </c>
      <c r="L62" s="610" t="s">
        <v>861</v>
      </c>
      <c r="M62" s="1368" t="s">
        <v>862</v>
      </c>
      <c r="O62" s="1325" t="s">
        <v>409</v>
      </c>
      <c r="P62" s="1326" t="s">
        <v>838</v>
      </c>
      <c r="Q62" s="1327">
        <f ca="1">Q56+Q57</f>
        <v>1973</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6.98</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1.19</v>
      </c>
      <c r="D65" s="910" t="s">
        <v>743</v>
      </c>
      <c r="E65" s="896" t="s">
        <v>712</v>
      </c>
      <c r="F65" s="321">
        <f t="shared" ca="1" si="0"/>
        <v>1E-3</v>
      </c>
      <c r="I65" s="1367" t="s">
        <v>867</v>
      </c>
      <c r="J65" s="610">
        <v>40</v>
      </c>
      <c r="K65" s="610">
        <v>30</v>
      </c>
      <c r="L65" s="610">
        <v>50</v>
      </c>
      <c r="M65" s="1369">
        <v>0.02</v>
      </c>
      <c r="O65" s="1325" t="s">
        <v>403</v>
      </c>
      <c r="P65" s="1326" t="s">
        <v>817</v>
      </c>
      <c r="Q65" s="1327">
        <f ca="1">C40+J29</f>
        <v>1973</v>
      </c>
      <c r="R65" s="1327" t="s">
        <v>818</v>
      </c>
    </row>
    <row r="66" spans="1:18" s="1292" customFormat="1" ht="16.5" thickBot="1">
      <c r="A66" s="928" t="s">
        <v>793</v>
      </c>
      <c r="B66" s="896" t="s">
        <v>728</v>
      </c>
      <c r="C66" s="21">
        <f ca="1">ROUND(C48*F66,2)</f>
        <v>1.47</v>
      </c>
      <c r="D66" s="910" t="s">
        <v>748</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235</v>
      </c>
      <c r="D67" s="909" t="s">
        <v>753</v>
      </c>
      <c r="E67" s="914"/>
      <c r="F67" s="915"/>
      <c r="O67" s="1334" t="s">
        <v>405</v>
      </c>
      <c r="P67" s="1326" t="s">
        <v>850</v>
      </c>
      <c r="Q67" s="1370">
        <f ca="1">L51</f>
        <v>-253</v>
      </c>
      <c r="R67" s="1327" t="s">
        <v>870</v>
      </c>
    </row>
    <row r="68" spans="1:18" s="1292" customFormat="1" ht="16.5" thickBot="1">
      <c r="A68" s="893" t="s">
        <v>395</v>
      </c>
      <c r="B68" s="894" t="s">
        <v>774</v>
      </c>
      <c r="C68" s="293">
        <f ca="1">ROUND(C67*(1-((1+F70)/(1+F68))^F69)/(F68-F70),0)</f>
        <v>1720</v>
      </c>
      <c r="D68" s="911" t="s">
        <v>758</v>
      </c>
      <c r="E68" s="896" t="s">
        <v>759</v>
      </c>
      <c r="F68" s="304">
        <f ca="1">F40</f>
        <v>5.5E-2</v>
      </c>
      <c r="O68" s="1334" t="s">
        <v>406</v>
      </c>
      <c r="P68" s="1371" t="s">
        <v>871</v>
      </c>
      <c r="Q68" s="1327">
        <f ca="1">ROUND(Q69-Q70*Q71,0)</f>
        <v>-14</v>
      </c>
      <c r="R68" s="1327" t="s">
        <v>414</v>
      </c>
    </row>
    <row r="69" spans="1:18" s="1292" customFormat="1" ht="13.5" thickBot="1">
      <c r="A69" s="897"/>
      <c r="B69" s="898"/>
      <c r="C69" s="298"/>
      <c r="D69" s="916" t="s">
        <v>762</v>
      </c>
      <c r="E69" s="896" t="s">
        <v>763</v>
      </c>
      <c r="F69" s="324">
        <f ca="1">F41</f>
        <v>8.77</v>
      </c>
      <c r="O69" s="1334" t="s">
        <v>411</v>
      </c>
      <c r="P69" s="1371" t="s">
        <v>872</v>
      </c>
      <c r="Q69" s="1327">
        <f ca="1">C39</f>
        <v>69</v>
      </c>
      <c r="R69" s="1327" t="s">
        <v>818</v>
      </c>
    </row>
    <row r="70" spans="1:18" s="1292" customFormat="1" ht="13.5" thickBot="1">
      <c r="A70" s="900"/>
      <c r="B70" s="901"/>
      <c r="C70" s="302"/>
      <c r="D70" s="912"/>
      <c r="E70" s="896" t="s">
        <v>766</v>
      </c>
      <c r="F70" s="991">
        <v>0.02</v>
      </c>
      <c r="O70" s="1334" t="s">
        <v>412</v>
      </c>
      <c r="P70" s="1371" t="s">
        <v>873</v>
      </c>
      <c r="Q70" s="1327">
        <f ca="1">C13</f>
        <v>1186</v>
      </c>
      <c r="R70" s="1327" t="s">
        <v>818</v>
      </c>
    </row>
    <row r="71" spans="1:18" s="1292" customFormat="1" ht="13.5" thickBot="1">
      <c r="A71" s="917" t="s">
        <v>396</v>
      </c>
      <c r="B71" s="918" t="s">
        <v>776</v>
      </c>
      <c r="C71" s="327">
        <f ca="1">ROUND(C68*10000/F71,0)</f>
        <v>11421</v>
      </c>
      <c r="D71" s="919" t="s">
        <v>777</v>
      </c>
      <c r="E71" s="920" t="s">
        <v>778</v>
      </c>
      <c r="F71" s="330">
        <f ca="1">F43</f>
        <v>1505.9849999999999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83</v>
      </c>
      <c r="D75" s="1292"/>
      <c r="E75" s="1292"/>
      <c r="F75" s="1292"/>
      <c r="K75" s="1309"/>
      <c r="L75" s="1292"/>
      <c r="O75" s="1325" t="s">
        <v>409</v>
      </c>
      <c r="P75" s="1326" t="s">
        <v>838</v>
      </c>
      <c r="Q75" s="1327">
        <f ca="1">Q65+Q66</f>
        <v>1973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-0.20300000000000007</v>
      </c>
    </row>
    <row r="80" spans="1:18">
      <c r="B80" s="331" t="s">
        <v>800</v>
      </c>
      <c r="C80" s="266">
        <f ca="1">ROUND(C75/C39,3)</f>
        <v>1.2030000000000001</v>
      </c>
    </row>
    <row r="81" spans="2:3">
      <c r="B81" s="262" t="s">
        <v>801</v>
      </c>
      <c r="C81" s="230"/>
    </row>
    <row r="82" spans="2:3">
      <c r="B82" s="265" t="s">
        <v>802</v>
      </c>
      <c r="C82" s="267">
        <f ca="1">1-C83</f>
        <v>-1.5230000000000001</v>
      </c>
    </row>
    <row r="83" spans="2:3">
      <c r="B83" s="265" t="s">
        <v>803</v>
      </c>
      <c r="C83" s="266">
        <f ca="1">ROUND(C13/C40,3)</f>
        <v>2.5230000000000001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D1" xr:uid="{AD39C3D6-43BB-4689-A973-D55C97FF38D2}">
      <formula1>"在建（套用方法）,土地（套用方法）,——"</formula1>
    </dataValidation>
    <dataValidation type="list" allowBlank="1" showInputMessage="1" showErrorMessage="1" sqref="M10 F10 F53" xr:uid="{3FDBAE04-C472-40EC-B7B8-55E72A30167A}">
      <formula1>"押一,押二,押三,自定义"</formula1>
    </dataValidation>
    <dataValidation type="list" allowBlank="1" showInputMessage="1" showErrorMessage="1" sqref="L55" xr:uid="{D0F27E82-05ED-479C-B838-628FB78F57DD}">
      <formula1>"比较法,基准地价,收益还原"</formula1>
    </dataValidation>
    <dataValidation type="list" allowBlank="1" showInputMessage="1" showErrorMessage="1" sqref="J56" xr:uid="{0686294F-885A-4FB8-926D-84BF7AF6E4EC}">
      <formula1>估价范围判定</formula1>
    </dataValidation>
    <dataValidation type="list" allowBlank="1" showInputMessage="1" showErrorMessage="1" sqref="J48" xr:uid="{A57734DC-599F-498B-AC28-A069FC6D8E9D}">
      <formula1>"非生产用房,生产用房,受腐蚀的生产用房"</formula1>
    </dataValidation>
    <dataValidation type="list" allowBlank="1" showInputMessage="1" showErrorMessage="1" sqref="J47" xr:uid="{9E0A221E-166F-4A2F-85EE-C93A034ED7C3}">
      <formula1>"钢,钢混,砖混"</formula1>
    </dataValidation>
    <dataValidation type="list" allowBlank="1" showInputMessage="1" showErrorMessage="1" sqref="C1" xr:uid="{85B6C525-DFAD-4D5E-AFD9-71B86139F388}">
      <formula1>项目类型</formula1>
    </dataValidation>
    <dataValidation type="list" allowBlank="1" showInputMessage="1" showErrorMessage="1" sqref="D33 D61" xr:uid="{FFB5797F-DF8E-40FA-9D41-03B061EE9673}">
      <formula1>"按租金收入计税,按房产原值计税,按票据"</formula1>
    </dataValidation>
    <dataValidation type="list" allowBlank="1" showInputMessage="1" showErrorMessage="1" sqref="K19" xr:uid="{3F662183-4DFD-4403-9CCA-B9D069FB1AF2}">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9" zoomScale="85" zoomScaleNormal="70" zoomScaleSheetLayoutView="85" workbookViewId="0">
      <selection activeCell="I39" sqref="I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31.91</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10128</v>
      </c>
      <c r="C2" s="1289" t="s">
        <v>805</v>
      </c>
      <c r="D2" s="1289"/>
      <c r="E2" s="1295"/>
      <c r="F2" s="1296"/>
      <c r="G2" s="2476"/>
      <c r="H2" s="2466"/>
      <c r="I2" s="2466"/>
      <c r="J2" s="2466"/>
      <c r="K2" s="2467"/>
      <c r="L2" s="2466"/>
      <c r="M2" s="2466"/>
    </row>
    <row r="3" spans="1:37" ht="18" customHeight="1" thickBot="1">
      <c r="A3" s="1297" t="s">
        <v>806</v>
      </c>
      <c r="B3" s="1298">
        <f ca="1">IF(ISERROR(B2*10000/F43),0,ROUND(B2*10000/F43,0))</f>
        <v>13450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402</v>
      </c>
      <c r="D5" s="1273" t="s">
        <v>693</v>
      </c>
      <c r="E5" s="1008"/>
      <c r="F5" s="1009"/>
      <c r="G5" s="1292"/>
      <c r="H5" s="291">
        <v>1</v>
      </c>
      <c r="I5" s="292" t="s">
        <v>692</v>
      </c>
      <c r="J5" s="1007">
        <f ca="1">J6+J10+J12</f>
        <v>1030</v>
      </c>
      <c r="K5" s="1273" t="s">
        <v>693</v>
      </c>
      <c r="L5" s="1008"/>
      <c r="M5" s="1009"/>
    </row>
    <row r="6" spans="1:37" ht="18" customHeight="1">
      <c r="A6" s="1006" t="s">
        <v>398</v>
      </c>
      <c r="B6" s="3348" t="s">
        <v>694</v>
      </c>
      <c r="C6" s="1011">
        <f ca="1">ROUND(F6*F8*F7*(1-F9)/10000,0)</f>
        <v>401</v>
      </c>
      <c r="D6" s="147" t="s">
        <v>2109</v>
      </c>
      <c r="E6" s="294" t="s">
        <v>696</v>
      </c>
      <c r="F6" s="295">
        <f ca="1">INDIRECT("'数据-取费表'!u"&amp;$G$1)</f>
        <v>1.46</v>
      </c>
      <c r="G6" s="1292"/>
      <c r="H6" s="1006" t="s">
        <v>398</v>
      </c>
      <c r="I6" s="3348" t="s">
        <v>694</v>
      </c>
      <c r="J6" s="293">
        <f ca="1">ROUND(M6*M8*M7*(1-M9)/10000,0)</f>
        <v>1029</v>
      </c>
      <c r="K6" s="147" t="s">
        <v>2108</v>
      </c>
      <c r="L6" s="294" t="s">
        <v>696</v>
      </c>
      <c r="M6" s="295">
        <f ca="1">INDIRECT("'数据-取费表'!z"&amp;$G$1)</f>
        <v>4.16</v>
      </c>
    </row>
    <row r="7" spans="1:37" ht="18" customHeight="1">
      <c r="A7" s="1010"/>
      <c r="B7" s="3349"/>
      <c r="C7" s="1012"/>
      <c r="D7" s="299"/>
      <c r="E7" s="1013" t="s">
        <v>697</v>
      </c>
      <c r="F7" s="295">
        <f ca="1">IF(INDIRECT("'数据-取费表'!ah"&amp;$G$1)="",INDIRECT("'数据-取费表'!k"&amp;$G$1),INDIRECT("'数据-取费表'!ah"&amp;$G$1))</f>
        <v>7529.9250000000002</v>
      </c>
      <c r="G7" s="1292"/>
      <c r="H7" s="296"/>
      <c r="I7" s="3349"/>
      <c r="J7" s="298"/>
      <c r="K7" s="299"/>
      <c r="L7" s="294" t="s">
        <v>697</v>
      </c>
      <c r="M7" s="295">
        <f ca="1">F7</f>
        <v>7529.9250000000002</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0.1</v>
      </c>
    </row>
    <row r="10" spans="1:37" ht="18" customHeight="1">
      <c r="A10" s="1006" t="s">
        <v>402</v>
      </c>
      <c r="B10" s="1274" t="s">
        <v>700</v>
      </c>
      <c r="C10" s="308">
        <f ca="1">ROUND(IF(F10="押一",C6/12*F11,IF(F10="押二",C6/12*2*F11,IF(F10="押三",C6/12*3*F11,C11*F11))),0)</f>
        <v>1</v>
      </c>
      <c r="D10" s="150" t="s">
        <v>2117</v>
      </c>
      <c r="E10" s="305" t="s">
        <v>701</v>
      </c>
      <c r="F10" s="1053" t="s">
        <v>3556</v>
      </c>
      <c r="G10" s="1292"/>
      <c r="H10" s="1006" t="s">
        <v>402</v>
      </c>
      <c r="I10" s="1274" t="s">
        <v>700</v>
      </c>
      <c r="J10" s="293">
        <f ca="1">ROUND(IF(M10="押一",J6/12*M11,IF(M10="押二",J6/12*2*M11,IF(M10="押三",J6/12*3*M11,J11*M11))),0)</f>
        <v>1</v>
      </c>
      <c r="K10" s="150" t="s">
        <v>2116</v>
      </c>
      <c r="L10" s="305" t="s">
        <v>701</v>
      </c>
      <c r="M10" s="1053" t="s">
        <v>3556</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5929</v>
      </c>
      <c r="D13" s="1018" t="s">
        <v>705</v>
      </c>
      <c r="E13" s="1018" t="s">
        <v>706</v>
      </c>
      <c r="F13" s="1019">
        <f ca="1">INDIRECT("'数据-取费表'!y"&amp;$G$1)</f>
        <v>0.85</v>
      </c>
      <c r="G13" s="1292"/>
      <c r="H13" s="1016">
        <v>2</v>
      </c>
      <c r="I13" s="1017" t="s">
        <v>704</v>
      </c>
      <c r="J13" s="1005">
        <f ca="1">ROUND(J14*J15,0)</f>
        <v>5092</v>
      </c>
      <c r="K13" s="1024" t="s">
        <v>705</v>
      </c>
      <c r="L13" s="1299"/>
      <c r="M13" s="1300"/>
    </row>
    <row r="14" spans="1:37" ht="18" customHeight="1">
      <c r="A14" s="928" t="s">
        <v>397</v>
      </c>
      <c r="B14" s="294" t="s">
        <v>707</v>
      </c>
      <c r="C14" s="310">
        <f ca="1">INDIRECT("'数据-取费表'!m"&amp;$G$1)+INDIRECT("'数据-取费表'!t"&amp;$G$1)</f>
        <v>4518</v>
      </c>
      <c r="D14" s="1257" t="s">
        <v>708</v>
      </c>
      <c r="E14" s="1255"/>
      <c r="F14" s="311"/>
      <c r="G14" s="1292"/>
      <c r="H14" s="928" t="s">
        <v>398</v>
      </c>
      <c r="I14" s="294" t="s">
        <v>709</v>
      </c>
      <c r="J14" s="21">
        <f ca="1">C29</f>
        <v>6975</v>
      </c>
      <c r="K14" s="12"/>
      <c r="L14" s="759"/>
      <c r="M14" s="760"/>
    </row>
    <row r="15" spans="1:37" s="1304" customFormat="1" ht="18" customHeight="1" thickBot="1">
      <c r="A15" s="928" t="s">
        <v>399</v>
      </c>
      <c r="B15" s="294" t="s">
        <v>710</v>
      </c>
      <c r="C15" s="21">
        <f ca="1">ROUND(C14*F15,0)</f>
        <v>271</v>
      </c>
      <c r="D15" s="312" t="s">
        <v>711</v>
      </c>
      <c r="E15" s="312" t="s">
        <v>712</v>
      </c>
      <c r="F15" s="313">
        <f>'数据-取费表'!B33</f>
        <v>0.06</v>
      </c>
      <c r="G15" s="1303"/>
      <c r="H15" s="1026" t="s">
        <v>402</v>
      </c>
      <c r="I15" s="1027" t="s">
        <v>706</v>
      </c>
      <c r="J15" s="1036">
        <f ca="1">INDIRECT("'数据-取费表'!ad"&amp;$G$1)</f>
        <v>0.73</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218</v>
      </c>
      <c r="K16" s="1024" t="s">
        <v>715</v>
      </c>
      <c r="L16" s="1025"/>
      <c r="M16" s="1009"/>
    </row>
    <row r="17" spans="1:37" s="1304" customFormat="1" ht="18" customHeight="1">
      <c r="A17" s="928" t="s">
        <v>681</v>
      </c>
      <c r="B17" s="294" t="s">
        <v>716</v>
      </c>
      <c r="C17" s="21">
        <f ca="1">ROUND(F17*(F43+INDIRECT("'数据-取费表'!S"&amp;$G$1))/10000,0)</f>
        <v>151</v>
      </c>
      <c r="D17" s="294" t="s">
        <v>717</v>
      </c>
      <c r="E17" s="294" t="s">
        <v>718</v>
      </c>
      <c r="F17" s="23">
        <f>'数据-取费表'!B35</f>
        <v>200</v>
      </c>
      <c r="G17" s="1303"/>
      <c r="H17" s="928" t="s">
        <v>398</v>
      </c>
      <c r="I17" s="294" t="s">
        <v>719</v>
      </c>
      <c r="J17" s="2140">
        <f ca="1">ROUND(IF(AND(项目基本情况!B11="自然人",项目基本情况!B10="北京市"),J6*M17/(1+'数据-取费表'!C42),J18+J19+J20),2)</f>
        <v>172.48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90</v>
      </c>
      <c r="D18" s="294" t="s">
        <v>711</v>
      </c>
      <c r="E18" s="294" t="s">
        <v>712</v>
      </c>
      <c r="F18" s="314">
        <f>'数据-取费表'!B36</f>
        <v>0.02</v>
      </c>
      <c r="G18" s="1303"/>
      <c r="H18" s="928" t="s">
        <v>397</v>
      </c>
      <c r="I18" s="294" t="s">
        <v>723</v>
      </c>
      <c r="J18" s="21">
        <f ca="1">ROUND(J6*M18/(1+'数据-取费表'!C42),2)</f>
        <v>54.88</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5030</v>
      </c>
      <c r="D19" s="123" t="s">
        <v>726</v>
      </c>
      <c r="E19" s="1269"/>
      <c r="F19" s="23"/>
      <c r="G19" s="1292"/>
      <c r="H19" s="928" t="s">
        <v>399</v>
      </c>
      <c r="I19" s="294" t="s">
        <v>727</v>
      </c>
      <c r="J19" s="21">
        <f ca="1">IF(K19="按租金收入计税",ROUND(J6*M19/(1+'数据-取费表'!C42),2),ROUND(C29*M19*0.7,2))</f>
        <v>117.6</v>
      </c>
      <c r="K19" s="1278" t="s">
        <v>3334</v>
      </c>
      <c r="L19" s="294" t="s">
        <v>712</v>
      </c>
      <c r="M19" s="314">
        <f>IF(K19="按租金收入计税",'数据-取费表'!B51,'数据-取费表'!B50)</f>
        <v>0.12</v>
      </c>
    </row>
    <row r="20" spans="1:37" s="1304" customFormat="1" ht="18" customHeight="1">
      <c r="A20" s="928" t="s">
        <v>402</v>
      </c>
      <c r="B20" s="294" t="s">
        <v>728</v>
      </c>
      <c r="C20" s="21">
        <f ca="1">ROUND(C19*F20,0)</f>
        <v>151</v>
      </c>
      <c r="D20" s="315" t="s">
        <v>729</v>
      </c>
      <c r="E20" s="294" t="s">
        <v>712</v>
      </c>
      <c r="F20" s="314">
        <f>'数据-取费表'!B37</f>
        <v>0.03</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34.880000000000003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130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5.09</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5.15</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812</v>
      </c>
      <c r="K25" s="1032" t="s">
        <v>753</v>
      </c>
      <c r="L25" s="1033"/>
      <c r="M25" s="1034"/>
    </row>
    <row r="26" spans="1:37">
      <c r="A26" s="928" t="s">
        <v>397</v>
      </c>
      <c r="B26" s="294" t="s">
        <v>754</v>
      </c>
      <c r="C26" s="21">
        <f ca="1">ROUND((C19+C20)*F26,0)</f>
        <v>1036</v>
      </c>
      <c r="D26" s="315" t="s">
        <v>755</v>
      </c>
      <c r="E26" s="305" t="s">
        <v>756</v>
      </c>
      <c r="F26" s="304">
        <f ca="1">INDIRECT("'数据-取费表'!q"&amp;$G$1)</f>
        <v>0.2</v>
      </c>
      <c r="G26" s="1292"/>
      <c r="H26" s="291" t="s">
        <v>395</v>
      </c>
      <c r="I26" s="292" t="s">
        <v>757</v>
      </c>
      <c r="J26" s="293">
        <f ca="1">IF(J5&lt;&gt;0,ROUND(J25*(1-((1+M28)/(1+M26))^M27)/(M26-M28),0),0)</f>
        <v>12572</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23.14</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6975</v>
      </c>
      <c r="D29" s="1029"/>
      <c r="E29" s="1027"/>
      <c r="F29" s="1030"/>
      <c r="G29" s="1303"/>
      <c r="H29" s="325" t="s">
        <v>396</v>
      </c>
      <c r="I29" s="326" t="s">
        <v>768</v>
      </c>
      <c r="J29" s="327">
        <f ca="1">ROUND(J26/(1+F40)^F41,0)</f>
        <v>7861</v>
      </c>
      <c r="K29" s="328" t="s">
        <v>769</v>
      </c>
      <c r="L29" s="329"/>
      <c r="M29" s="330">
        <f ca="1">INDIRECT("'数据-取费表'!k"&amp;$G$1)</f>
        <v>7529.9250000000002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67.22</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21.39</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45.83</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12</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34.880000000000003</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5.93</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2.0099999999999998</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292</v>
      </c>
      <c r="D39" s="1032" t="s">
        <v>773</v>
      </c>
      <c r="E39" s="1033"/>
      <c r="F39" s="1034"/>
      <c r="G39" s="1292"/>
      <c r="H39" s="2471"/>
      <c r="I39" s="1305"/>
      <c r="J39" s="1306"/>
      <c r="K39" s="2469"/>
      <c r="L39" s="2471"/>
      <c r="M39" s="2471"/>
    </row>
    <row r="40" spans="1:18" ht="18" customHeight="1">
      <c r="A40" s="291" t="s">
        <v>395</v>
      </c>
      <c r="B40" s="292" t="s">
        <v>774</v>
      </c>
      <c r="C40" s="293">
        <f ca="1">ROUND(C39*(1-((1+F42)/(1+F40))^F41)/(F40-F42),0)</f>
        <v>1989</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8.77</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2641</v>
      </c>
      <c r="D43" s="328" t="s">
        <v>777</v>
      </c>
      <c r="E43" s="329" t="s">
        <v>778</v>
      </c>
      <c r="F43" s="330">
        <f ca="1">INDIRECT("'数据-取费表'!k"&amp;$G$1)</f>
        <v>7529.9250000000002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2965</v>
      </c>
      <c r="D46" s="1313" t="str">
        <f>C2</f>
        <v>万元</v>
      </c>
      <c r="E46" s="1307"/>
      <c r="F46" s="1307"/>
      <c r="I46" s="1314" t="s">
        <v>810</v>
      </c>
      <c r="J46" s="1315"/>
      <c r="K46" s="1316"/>
      <c r="L46" s="1317">
        <f ca="1">IF(M47="住宅",0,IF(L48&gt;J51,L60,J60))</f>
        <v>278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3415</v>
      </c>
      <c r="K47" s="1323" t="s">
        <v>816</v>
      </c>
      <c r="L47" s="1324">
        <f ca="1">INDIRECT("'数据-取费表'!d"&amp;$G$1)</f>
        <v>50</v>
      </c>
      <c r="M47" s="1288" t="str">
        <f>IF(ISNUMBER(FIND("住宅",C1)),"住宅","非住宅")</f>
        <v>非住宅</v>
      </c>
      <c r="O47" s="1325" t="s">
        <v>403</v>
      </c>
      <c r="P47" s="1326" t="s">
        <v>817</v>
      </c>
      <c r="Q47" s="1327">
        <f ca="1">C40+J29</f>
        <v>9850</v>
      </c>
      <c r="R47" s="1327" t="s">
        <v>818</v>
      </c>
    </row>
    <row r="48" spans="1:18" s="1292" customFormat="1" ht="28.5" thickBot="1">
      <c r="A48" s="1047" t="s">
        <v>438</v>
      </c>
      <c r="B48" s="292" t="s">
        <v>692</v>
      </c>
      <c r="C48" s="1268">
        <f ca="1">C49+C53+C55</f>
        <v>867</v>
      </c>
      <c r="D48" s="1049"/>
      <c r="E48" s="1050"/>
      <c r="F48" s="908"/>
      <c r="G48" s="681"/>
      <c r="H48" s="682"/>
      <c r="I48" s="1328" t="s">
        <v>819</v>
      </c>
      <c r="J48" s="1329" t="s">
        <v>3557</v>
      </c>
      <c r="K48" s="1330" t="s">
        <v>820</v>
      </c>
      <c r="L48" s="1331">
        <f ca="1">INDIRECT("'数据-取费表'!f"&amp;$G$1)</f>
        <v>31.91</v>
      </c>
      <c r="O48" s="1325" t="s">
        <v>404</v>
      </c>
      <c r="P48" s="1326" t="s">
        <v>821</v>
      </c>
      <c r="Q48" s="1327">
        <f ca="1">J60</f>
        <v>278</v>
      </c>
      <c r="R48" s="1327" t="s">
        <v>822</v>
      </c>
    </row>
    <row r="49" spans="1:18" s="1292" customFormat="1" ht="13.5" thickBot="1">
      <c r="A49" s="921" t="s">
        <v>439</v>
      </c>
      <c r="B49" s="1279" t="s">
        <v>779</v>
      </c>
      <c r="C49" s="1051">
        <f ca="1">ROUND(F49*F51*F50*(1-F52)/10000,0)</f>
        <v>866</v>
      </c>
      <c r="D49" s="992" t="s">
        <v>2110</v>
      </c>
      <c r="E49" s="1280" t="s">
        <v>780</v>
      </c>
      <c r="F49" s="997">
        <f>Sheet1!I35</f>
        <v>3.5</v>
      </c>
      <c r="H49" s="682"/>
      <c r="I49" s="1328" t="s">
        <v>823</v>
      </c>
      <c r="J49" s="1332">
        <f>Sheet1!C18</f>
        <v>2012</v>
      </c>
      <c r="K49" s="1330" t="s">
        <v>824</v>
      </c>
      <c r="L49" s="1333"/>
      <c r="O49" s="1334" t="s">
        <v>405</v>
      </c>
      <c r="P49" s="1326" t="s">
        <v>825</v>
      </c>
      <c r="Q49" s="1327">
        <f ca="1">C29</f>
        <v>6975</v>
      </c>
      <c r="R49" s="1327" t="s">
        <v>818</v>
      </c>
    </row>
    <row r="50" spans="1:18" s="1292" customFormat="1" ht="13.5" thickBot="1">
      <c r="A50" s="922"/>
      <c r="B50" s="925"/>
      <c r="C50" s="1055"/>
      <c r="D50" s="899"/>
      <c r="E50" s="993" t="s">
        <v>697</v>
      </c>
      <c r="F50" s="994">
        <f ca="1">F7</f>
        <v>7529.9250000000002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-2224</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31.91</v>
      </c>
      <c r="R52" s="1327" t="s">
        <v>835</v>
      </c>
    </row>
    <row r="53" spans="1:18" s="1292" customFormat="1" ht="24.75" thickBot="1">
      <c r="A53" s="1079" t="s">
        <v>440</v>
      </c>
      <c r="B53" s="1281" t="s">
        <v>700</v>
      </c>
      <c r="C53" s="308">
        <f ca="1">ROUND(IF(F53="押一",C49/12*F11,IF(F53="押二",C49/12*2*F11,IF(F53="押三",C49/12*3*F11,C54*F11))),0)</f>
        <v>1</v>
      </c>
      <c r="D53" s="150" t="s">
        <v>2116</v>
      </c>
      <c r="E53" s="305" t="s">
        <v>701</v>
      </c>
      <c r="F53" s="1053" t="s">
        <v>3556</v>
      </c>
      <c r="I53" s="1344" t="s">
        <v>836</v>
      </c>
      <c r="J53" s="2006">
        <f ca="1">IF(M47="住宅",IF(D1="——",MAX(J51,L48),MAX(J51,L48-'数据-取费表'!B24)),IF(D1="——",MIN(J51,L48),MIN(J51,L48-'数据-取费表'!B24)))</f>
        <v>31.91</v>
      </c>
      <c r="K53" s="3351" t="s">
        <v>837</v>
      </c>
      <c r="L53" s="3352"/>
      <c r="O53" s="1325" t="s">
        <v>409</v>
      </c>
      <c r="P53" s="1326" t="s">
        <v>838</v>
      </c>
      <c r="Q53" s="1327">
        <f ca="1">Q47+Q48</f>
        <v>10128</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0.26800000000000002</v>
      </c>
      <c r="K55" s="1350" t="s">
        <v>841</v>
      </c>
      <c r="L55" s="1351"/>
      <c r="O55" s="1318" t="s">
        <v>811</v>
      </c>
      <c r="P55" s="1319" t="s">
        <v>812</v>
      </c>
      <c r="Q55" s="1320" t="s">
        <v>813</v>
      </c>
      <c r="R55" s="1320" t="s">
        <v>814</v>
      </c>
    </row>
    <row r="56" spans="1:18" s="1292" customFormat="1" ht="25.5" thickTop="1" thickBot="1">
      <c r="A56" s="903">
        <v>2</v>
      </c>
      <c r="B56" s="904" t="s">
        <v>704</v>
      </c>
      <c r="C56" s="224">
        <f ca="1">C13</f>
        <v>5929</v>
      </c>
      <c r="D56" s="1352"/>
      <c r="E56" s="1353"/>
      <c r="F56" s="1345"/>
      <c r="I56" s="1354" t="s">
        <v>842</v>
      </c>
      <c r="J56" s="1355" t="s">
        <v>3390</v>
      </c>
      <c r="K56" s="1328" t="s">
        <v>843</v>
      </c>
      <c r="L56" s="1331" t="str">
        <f ca="1">IF(L48&lt;J51,"——",L48-J53)</f>
        <v>——</v>
      </c>
      <c r="O56" s="1325" t="s">
        <v>403</v>
      </c>
      <c r="P56" s="1326" t="s">
        <v>817</v>
      </c>
      <c r="Q56" s="1327">
        <f ca="1">C40+J29</f>
        <v>9850</v>
      </c>
      <c r="R56" s="1327" t="s">
        <v>818</v>
      </c>
    </row>
    <row r="57" spans="1:18" s="1292" customFormat="1" ht="24.75" thickBot="1">
      <c r="A57" s="1356"/>
      <c r="B57" s="896" t="s">
        <v>767</v>
      </c>
      <c r="C57" s="230">
        <f ca="1">C29</f>
        <v>6975</v>
      </c>
      <c r="D57" s="1357"/>
      <c r="E57" s="1358"/>
      <c r="F57" s="1359"/>
      <c r="I57" s="1360" t="s">
        <v>844</v>
      </c>
      <c r="J57" s="1361">
        <f ca="1">IF(OR(M47="住宅",J51&lt;L48,J56="是"),"——",J51-L48)</f>
        <v>16.09</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190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145</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46.24</v>
      </c>
      <c r="D60" s="910" t="s">
        <v>724</v>
      </c>
      <c r="E60" s="896" t="s">
        <v>712</v>
      </c>
      <c r="F60" s="322">
        <f t="shared" ref="F60:F66" si="0">F32</f>
        <v>5.6000000000000001E-2</v>
      </c>
      <c r="I60" s="1363" t="s">
        <v>853</v>
      </c>
      <c r="J60" s="1364">
        <f ca="1">IF(OR(M47="住宅",J51&lt;L48,J56="是"),"0",ROUND(J59/(1+J52)^J53,0))</f>
        <v>278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98.97</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f ca="1">Q56+Q57</f>
        <v>9850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34.880000000000003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5.93</v>
      </c>
      <c r="D65" s="910" t="s">
        <v>743</v>
      </c>
      <c r="E65" s="896" t="s">
        <v>744</v>
      </c>
      <c r="F65" s="321">
        <f t="shared" ca="1" si="0"/>
        <v>1E-3</v>
      </c>
      <c r="I65" s="1367" t="s">
        <v>867</v>
      </c>
      <c r="J65" s="610">
        <v>40</v>
      </c>
      <c r="K65" s="610">
        <v>30</v>
      </c>
      <c r="L65" s="610">
        <v>50</v>
      </c>
      <c r="M65" s="1369">
        <v>0.02</v>
      </c>
      <c r="O65" s="1325" t="s">
        <v>403</v>
      </c>
      <c r="P65" s="1326" t="s">
        <v>868</v>
      </c>
      <c r="Q65" s="1327">
        <f ca="1">C40+J29</f>
        <v>9850</v>
      </c>
      <c r="R65" s="1327" t="s">
        <v>818</v>
      </c>
    </row>
    <row r="66" spans="1:18" s="1292" customFormat="1" ht="16.5" thickBot="1">
      <c r="A66" s="928" t="s">
        <v>793</v>
      </c>
      <c r="B66" s="896" t="s">
        <v>728</v>
      </c>
      <c r="C66" s="21">
        <f ca="1">ROUND(C48*F66,2)</f>
        <v>4.34</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677</v>
      </c>
      <c r="D67" s="909" t="s">
        <v>753</v>
      </c>
      <c r="E67" s="914"/>
      <c r="F67" s="915"/>
      <c r="O67" s="1334" t="s">
        <v>405</v>
      </c>
      <c r="P67" s="1326" t="s">
        <v>850</v>
      </c>
      <c r="Q67" s="1370">
        <f ca="1">L51</f>
        <v>-2224</v>
      </c>
      <c r="R67" s="1327" t="s">
        <v>870</v>
      </c>
    </row>
    <row r="68" spans="1:18" s="1292" customFormat="1" ht="16.5" thickBot="1">
      <c r="A68" s="893" t="s">
        <v>395</v>
      </c>
      <c r="B68" s="894" t="s">
        <v>774</v>
      </c>
      <c r="C68" s="293">
        <f ca="1">ROUND(C67*(1-((1+F70)/(1+F68))^F69)/(F68-F70),0)</f>
        <v>4954</v>
      </c>
      <c r="D68" s="911" t="s">
        <v>758</v>
      </c>
      <c r="E68" s="896" t="s">
        <v>759</v>
      </c>
      <c r="F68" s="304">
        <f ca="1">F40</f>
        <v>5.5E-2</v>
      </c>
      <c r="O68" s="1334" t="s">
        <v>406</v>
      </c>
      <c r="P68" s="1371" t="s">
        <v>871</v>
      </c>
      <c r="Q68" s="1327">
        <f ca="1">ROUND(Q69-Q70*Q71,0)</f>
        <v>-123</v>
      </c>
      <c r="R68" s="1327" t="s">
        <v>414</v>
      </c>
    </row>
    <row r="69" spans="1:18" s="1292" customFormat="1" ht="13.5" thickBot="1">
      <c r="A69" s="897"/>
      <c r="B69" s="898"/>
      <c r="C69" s="298"/>
      <c r="D69" s="916" t="s">
        <v>762</v>
      </c>
      <c r="E69" s="896" t="s">
        <v>763</v>
      </c>
      <c r="F69" s="324">
        <f ca="1">F41</f>
        <v>8.77</v>
      </c>
      <c r="O69" s="1334" t="s">
        <v>411</v>
      </c>
      <c r="P69" s="1371" t="s">
        <v>872</v>
      </c>
      <c r="Q69" s="1327">
        <f ca="1">C39</f>
        <v>292</v>
      </c>
      <c r="R69" s="1327" t="s">
        <v>818</v>
      </c>
    </row>
    <row r="70" spans="1:18" s="1292" customFormat="1" ht="13.5" thickBot="1">
      <c r="A70" s="900"/>
      <c r="B70" s="901"/>
      <c r="C70" s="302"/>
      <c r="D70" s="912"/>
      <c r="E70" s="896" t="s">
        <v>766</v>
      </c>
      <c r="F70" s="991">
        <v>0.02</v>
      </c>
      <c r="O70" s="1334" t="s">
        <v>412</v>
      </c>
      <c r="P70" s="1371" t="s">
        <v>873</v>
      </c>
      <c r="Q70" s="1327">
        <f ca="1">C13</f>
        <v>5929</v>
      </c>
      <c r="R70" s="1327" t="s">
        <v>818</v>
      </c>
    </row>
    <row r="71" spans="1:18" s="1292" customFormat="1" ht="13.5" thickBot="1">
      <c r="A71" s="917" t="s">
        <v>396</v>
      </c>
      <c r="B71" s="918" t="s">
        <v>776</v>
      </c>
      <c r="C71" s="327">
        <f ca="1">ROUND(C68*10000/F71,0)</f>
        <v>6579</v>
      </c>
      <c r="D71" s="919" t="s">
        <v>777</v>
      </c>
      <c r="E71" s="920" t="s">
        <v>778</v>
      </c>
      <c r="F71" s="330">
        <f ca="1">F43</f>
        <v>7529.9250000000002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415</v>
      </c>
      <c r="D75" s="1292"/>
      <c r="E75" s="1292"/>
      <c r="F75" s="1292"/>
      <c r="K75" s="1309"/>
      <c r="L75" s="1292"/>
      <c r="O75" s="1325" t="s">
        <v>409</v>
      </c>
      <c r="P75" s="1326" t="s">
        <v>838</v>
      </c>
      <c r="Q75" s="1327">
        <f ca="1">Q65+Q66</f>
        <v>9850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-0.42100000000000004</v>
      </c>
    </row>
    <row r="80" spans="1:18">
      <c r="B80" s="331" t="s">
        <v>800</v>
      </c>
      <c r="C80" s="266">
        <f ca="1">ROUND(C75/C39,3)</f>
        <v>1.421</v>
      </c>
    </row>
    <row r="81" spans="2:3">
      <c r="B81" s="262" t="s">
        <v>801</v>
      </c>
      <c r="C81" s="230"/>
    </row>
    <row r="82" spans="2:3">
      <c r="B82" s="265" t="s">
        <v>802</v>
      </c>
      <c r="C82" s="267">
        <f ca="1">1-C83</f>
        <v>-1.9809999999999999</v>
      </c>
    </row>
    <row r="83" spans="2:3">
      <c r="B83" s="265" t="s">
        <v>803</v>
      </c>
      <c r="C83" s="266">
        <f ca="1">ROUND(C13/C40,3)</f>
        <v>2.9809999999999999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12226</v>
      </c>
      <c r="C2" s="1729" t="s">
        <v>1651</v>
      </c>
      <c r="D2" s="1730" t="s">
        <v>1652</v>
      </c>
      <c r="E2" s="2391">
        <f>SUM(E6:E13)</f>
        <v>9035.91</v>
      </c>
      <c r="F2" s="2477"/>
      <c r="G2" s="459"/>
      <c r="H2" s="459"/>
      <c r="I2" s="459"/>
      <c r="J2" s="459"/>
      <c r="K2" s="459"/>
      <c r="L2" s="459"/>
      <c r="M2" s="459"/>
      <c r="N2" s="459"/>
      <c r="O2" s="459"/>
      <c r="P2" s="459"/>
      <c r="Q2" s="459"/>
      <c r="R2" s="459"/>
      <c r="S2" s="459"/>
    </row>
    <row r="3" spans="1:22" ht="15.75">
      <c r="A3" s="1728" t="s">
        <v>686</v>
      </c>
      <c r="B3" s="2385">
        <f ca="1">ROUND(B2*10000/E2,0)</f>
        <v>13530</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78" t="s">
        <v>1654</v>
      </c>
      <c r="C5" s="3479"/>
      <c r="D5" s="2478"/>
      <c r="E5" s="1731"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10128</v>
      </c>
      <c r="C6" s="1729" t="s">
        <v>1651</v>
      </c>
      <c r="D6" s="2477"/>
      <c r="E6" s="2390">
        <f>IF(OR(A6=0,F6="否"),0,'数据-取费表'!K6+'数据-取费表'!S6)</f>
        <v>7529.9250000000002</v>
      </c>
      <c r="F6" s="1732" t="s">
        <v>1657</v>
      </c>
      <c r="G6" s="459"/>
      <c r="H6" s="459"/>
      <c r="I6" s="459"/>
      <c r="J6" s="459"/>
      <c r="K6" s="459"/>
      <c r="L6" s="459"/>
      <c r="M6" s="459"/>
      <c r="N6" s="459"/>
      <c r="O6" s="459"/>
      <c r="P6" s="459"/>
      <c r="Q6" s="459"/>
      <c r="R6" s="459"/>
      <c r="S6" s="459"/>
    </row>
    <row r="7" spans="1:22">
      <c r="A7" s="2388" t="str">
        <f>'数据-取费表'!AN7</f>
        <v>收益法商</v>
      </c>
      <c r="B7" s="2386">
        <f ca="1">IF(F7="是",'数据-取费表'!AO7,0)</f>
        <v>2098</v>
      </c>
      <c r="C7" s="1729" t="s">
        <v>1651</v>
      </c>
      <c r="D7" s="2477"/>
      <c r="E7" s="2390">
        <f>IF(OR(A7=0,F7="否"),0,'数据-取费表'!K7+'数据-取费表'!S7)</f>
        <v>1505.9849999999999</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82" t="s">
        <v>2837</v>
      </c>
      <c r="B1" s="3482"/>
      <c r="C1" s="3482"/>
      <c r="D1" s="3482"/>
      <c r="E1" s="3482"/>
      <c r="F1" s="3482"/>
      <c r="G1" s="3483"/>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2"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480"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2" thickBot="1">
      <c r="A4" s="3481"/>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2"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2"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2"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2"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4" t="s">
        <v>3179</v>
      </c>
      <c r="B1" s="3484"/>
    </row>
    <row r="2" spans="1:7" ht="14.25" thickBot="1">
      <c r="A2" s="2966"/>
      <c r="B2" s="2966"/>
    </row>
    <row r="3" spans="1:7" ht="14.25" thickBot="1">
      <c r="A3" s="2966"/>
      <c r="B3" s="2966"/>
      <c r="C3" s="2967" t="s">
        <v>2809</v>
      </c>
      <c r="D3" s="2967" t="s">
        <v>2865</v>
      </c>
      <c r="E3" s="2967" t="s">
        <v>2811</v>
      </c>
      <c r="F3" s="2967" t="s">
        <v>2866</v>
      </c>
      <c r="G3" s="2967" t="s">
        <v>2629</v>
      </c>
    </row>
    <row r="4" spans="1:7" ht="14.2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4.2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4.2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4.2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4.2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4.2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4.2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4.2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4.2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4.2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4.2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c r="A1" s="3485" t="s">
        <v>3230</v>
      </c>
      <c r="B1" s="3485"/>
      <c r="C1" s="3485"/>
      <c r="D1" s="3485"/>
      <c r="E1" s="3485"/>
      <c r="F1" s="3486"/>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2935">
        <f>基准地价修正!G23</f>
        <v>45573</v>
      </c>
      <c r="B1" s="2927" t="s">
        <v>3369</v>
      </c>
      <c r="C1" s="2928"/>
      <c r="D1" s="2928"/>
      <c r="E1" s="2928"/>
      <c r="F1" s="2928"/>
      <c r="G1" s="2928"/>
      <c r="H1" s="2928"/>
      <c r="I1" s="2928"/>
      <c r="J1" s="2894"/>
      <c r="K1" s="2928" t="s">
        <v>454</v>
      </c>
      <c r="L1" s="2928"/>
      <c r="M1" s="2928"/>
      <c r="N1" s="2928"/>
      <c r="O1" s="2928"/>
      <c r="P1" s="2928"/>
      <c r="Q1" s="2894"/>
      <c r="R1" s="3487" t="s">
        <v>456</v>
      </c>
      <c r="S1" s="3488"/>
      <c r="T1" s="3488"/>
      <c r="U1" s="3488"/>
      <c r="V1" s="3488"/>
      <c r="W1" s="3488"/>
      <c r="X1" s="2894"/>
      <c r="Y1" s="3487" t="s">
        <v>457</v>
      </c>
      <c r="Z1" s="3488"/>
      <c r="AA1" s="3488"/>
      <c r="AB1" s="3488"/>
      <c r="AC1" s="3488"/>
      <c r="AD1" s="3488"/>
    </row>
    <row r="2" spans="1:30" s="2010" customFormat="1" ht="14.25" thickBot="1">
      <c r="B2" s="2879"/>
      <c r="C2" s="2880"/>
      <c r="D2" s="2011" t="s">
        <v>2808</v>
      </c>
      <c r="E2" s="2012" t="s">
        <v>2809</v>
      </c>
      <c r="F2" s="2012" t="s">
        <v>2810</v>
      </c>
      <c r="G2" s="2012" t="s">
        <v>2811</v>
      </c>
      <c r="H2" s="2012" t="s">
        <v>2812</v>
      </c>
      <c r="I2" s="2012" t="s">
        <v>2629</v>
      </c>
      <c r="J2" s="2881"/>
      <c r="K2" s="2011" t="s">
        <v>2808</v>
      </c>
      <c r="L2" s="2012" t="s">
        <v>2809</v>
      </c>
      <c r="M2" s="2012" t="s">
        <v>2810</v>
      </c>
      <c r="N2" s="2012" t="s">
        <v>2811</v>
      </c>
      <c r="O2" s="2012" t="s">
        <v>2813</v>
      </c>
      <c r="P2" s="2012" t="s">
        <v>2629</v>
      </c>
      <c r="Q2" s="2881"/>
      <c r="R2" s="2011" t="s">
        <v>2808</v>
      </c>
      <c r="S2" s="2012" t="s">
        <v>2809</v>
      </c>
      <c r="T2" s="2012" t="s">
        <v>2810</v>
      </c>
      <c r="U2" s="2012" t="s">
        <v>2814</v>
      </c>
      <c r="V2" s="2012" t="s">
        <v>2815</v>
      </c>
      <c r="W2" s="2012" t="s">
        <v>2629</v>
      </c>
      <c r="X2" s="2881"/>
      <c r="Y2" s="2011" t="s">
        <v>2808</v>
      </c>
      <c r="Z2" s="2012" t="s">
        <v>2809</v>
      </c>
      <c r="AA2" s="2012" t="s">
        <v>2810</v>
      </c>
      <c r="AB2" s="2012" t="s">
        <v>2816</v>
      </c>
      <c r="AC2" s="2012" t="s">
        <v>2815</v>
      </c>
      <c r="AD2" s="2012" t="s">
        <v>2629</v>
      </c>
    </row>
    <row r="3" spans="1:30" s="2884" customFormat="1" ht="12.75">
      <c r="A3" s="2882" t="s">
        <v>2817</v>
      </c>
      <c r="B3" s="2883"/>
      <c r="D3" s="2884">
        <f>ROUND(AVERAGEIF(D4:D21,"&lt;&gt;0"),2)</f>
        <v>0.59</v>
      </c>
      <c r="E3" s="2884">
        <f t="shared" ref="E3:H3" si="0">ROUND(AVERAGEIF(E4:E21,"&lt;&gt;0"),2)</f>
        <v>0.36</v>
      </c>
      <c r="F3" s="2884">
        <f t="shared" si="0"/>
        <v>0.06</v>
      </c>
      <c r="G3" s="2884">
        <f t="shared" si="0"/>
        <v>0.6</v>
      </c>
      <c r="H3" s="2884">
        <f t="shared" si="0"/>
        <v>0.6</v>
      </c>
      <c r="I3" s="2884">
        <f>F3</f>
        <v>0.06</v>
      </c>
      <c r="J3" s="2885"/>
      <c r="K3" s="2886">
        <f>ROUND(AVERAGEIF(K4:K21,"&lt;&gt;0"),4)</f>
        <v>5.8999999999999999E-3</v>
      </c>
      <c r="L3" s="2887">
        <f t="shared" ref="L3:O3" si="1">ROUND(AVERAGEIF(L4:L21,"&lt;&gt;0"),4)</f>
        <v>3.5999999999999999E-3</v>
      </c>
      <c r="M3" s="2887">
        <f t="shared" si="1"/>
        <v>5.9999999999999995E-4</v>
      </c>
      <c r="N3" s="2887">
        <f t="shared" si="1"/>
        <v>6.0000000000000001E-3</v>
      </c>
      <c r="O3" s="2887">
        <f t="shared" si="1"/>
        <v>6.0000000000000001E-3</v>
      </c>
      <c r="P3" s="2887">
        <f>M3</f>
        <v>5.9999999999999995E-4</v>
      </c>
      <c r="Q3" s="2885"/>
      <c r="R3" s="2888">
        <f>ROUND(SUMPRODUCT(PRODUCT(1+K4:K21)),4)</f>
        <v>1.0852999999999999</v>
      </c>
      <c r="S3" s="2889">
        <f t="shared" ref="S3:V3" si="2">ROUND(SUMPRODUCT(PRODUCT(1+L4:L21)),4)</f>
        <v>1.0513999999999999</v>
      </c>
      <c r="T3" s="2889">
        <f t="shared" si="2"/>
        <v>1.0083</v>
      </c>
      <c r="U3" s="2889">
        <f t="shared" si="2"/>
        <v>1.0871999999999999</v>
      </c>
      <c r="V3" s="2889">
        <f t="shared" si="2"/>
        <v>1.0880000000000001</v>
      </c>
      <c r="W3" s="2888">
        <f>T3</f>
        <v>1.0083</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2.75">
      <c r="A5" s="2040" t="s">
        <v>3380</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1.0748</v>
      </c>
      <c r="S5" s="2027">
        <f>ROUND(IF(项目基本情况!$B$8="出让",SUMPRODUCT(PRODUCT(1+L5:$L$21)),SUMPRODUCT(PRODUCT(1+L5:$L$20))),4)</f>
        <v>1.0498000000000001</v>
      </c>
      <c r="T5" s="2027">
        <f>ROUND(IF(项目基本情况!$B$8="出让",SUMPRODUCT(PRODUCT(1+M5:$M$21)),SUMPRODUCT(PRODUCT(1+M5:$M$20))),4)</f>
        <v>1.0107999999999999</v>
      </c>
      <c r="U5" s="2027">
        <f>ROUND(IF(项目基本情况!$B$8="出让",SUMPRODUCT(PRODUCT(1+N5:$N$21)),SUMPRODUCT(PRODUCT(1+N5:$N$20))),4)</f>
        <v>1.0752999999999999</v>
      </c>
      <c r="V5" s="2027">
        <f>ROUND(IF(项目基本情况!$B$8="出让",SUMPRODUCT(PRODUCT(1+O5:$O$21)),SUMPRODUCT(PRODUCT(1+O5:$O$20))),4)</f>
        <v>1.0841000000000001</v>
      </c>
      <c r="W5" s="2027">
        <f>T5</f>
        <v>1.0107999999999999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2.75">
      <c r="A6" s="2905" t="s">
        <v>3381</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1.0748</v>
      </c>
      <c r="S6" s="2911">
        <f>ROUND(IF(项目基本情况!$B$8="出让",SUMPRODUCT(PRODUCT(1+L6:$L$21)),SUMPRODUCT(PRODUCT(1+L6:$L$20))),4)</f>
        <v>1.0498000000000001</v>
      </c>
      <c r="T6" s="2911">
        <f>ROUND(IF(项目基本情况!$B$8="出让",SUMPRODUCT(PRODUCT(1+M6:$M$21)),SUMPRODUCT(PRODUCT(1+M6:$M$20))),4)</f>
        <v>1.0107999999999999</v>
      </c>
      <c r="U6" s="2911">
        <f>ROUND(IF(项目基本情况!$B$8="出让",SUMPRODUCT(PRODUCT(1+N6:$N$21)),SUMPRODUCT(PRODUCT(1+N6:$N$20))),4)</f>
        <v>1.0752999999999999</v>
      </c>
      <c r="V6" s="2911">
        <f>ROUND(IF(项目基本情况!$B$8="出让",SUMPRODUCT(PRODUCT(1+O6:$O$21)),SUMPRODUCT(PRODUCT(1+O6:$O$20))),4)</f>
        <v>1.0841000000000001</v>
      </c>
      <c r="W6" s="2911">
        <f>T6</f>
        <v>1.0107999999999999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2.75">
      <c r="A7" s="2040" t="s">
        <v>3375</v>
      </c>
      <c r="B7" s="2031">
        <v>2024</v>
      </c>
      <c r="C7" s="2042">
        <v>3</v>
      </c>
      <c r="D7" s="2007">
        <v>0</v>
      </c>
      <c r="E7" s="2007">
        <v>0</v>
      </c>
      <c r="F7" s="2007">
        <v>0</v>
      </c>
      <c r="G7" s="2007">
        <v>0</v>
      </c>
      <c r="H7" s="2007">
        <v>0</v>
      </c>
      <c r="I7" s="2008">
        <f t="shared" ref="I7" si="26">F7</f>
        <v>0</v>
      </c>
      <c r="J7" s="2904"/>
      <c r="K7" s="2043">
        <f t="shared" ref="K7" si="27">D7/100</f>
        <v>0</v>
      </c>
      <c r="L7" s="2028">
        <f t="shared" ref="L7" si="28">E7/100</f>
        <v>0</v>
      </c>
      <c r="M7" s="2028">
        <f t="shared" ref="M7" si="29">F7/100</f>
        <v>0</v>
      </c>
      <c r="N7" s="2028">
        <f t="shared" ref="N7" si="30">G7/100</f>
        <v>0</v>
      </c>
      <c r="O7" s="2028">
        <f t="shared" ref="O7" si="31">H7/100</f>
        <v>0</v>
      </c>
      <c r="P7" s="2028">
        <f>M7</f>
        <v>0</v>
      </c>
      <c r="Q7" s="2904"/>
      <c r="R7" s="2027">
        <f>ROUND(IF(项目基本情况!$B$8="出让",SUMPRODUCT(PRODUCT(1+K7:$K$21)),SUMPRODUCT(PRODUCT(1+K7:$K$20))),4)</f>
        <v>1.0748</v>
      </c>
      <c r="S7" s="2027">
        <f>ROUND(IF(项目基本情况!$B$8="出让",SUMPRODUCT(PRODUCT(1+L7:$L$21)),SUMPRODUCT(PRODUCT(1+L7:$L$20))),4)</f>
        <v>1.0498000000000001</v>
      </c>
      <c r="T7" s="2027">
        <f>ROUND(IF(项目基本情况!$B$8="出让",SUMPRODUCT(PRODUCT(1+M7:$M$21)),SUMPRODUCT(PRODUCT(1+M7:$M$20))),4)</f>
        <v>1.0107999999999999</v>
      </c>
      <c r="U7" s="2027">
        <f>ROUND(IF(项目基本情况!$B$8="出让",SUMPRODUCT(PRODUCT(1+N7:$N$21)),SUMPRODUCT(PRODUCT(1+N7:$N$20))),4)</f>
        <v>1.0752999999999999</v>
      </c>
      <c r="V7" s="2027">
        <f>ROUND(IF(项目基本情况!$B$8="出让",SUMPRODUCT(PRODUCT(1+O7:$O$21)),SUMPRODUCT(PRODUCT(1+O7:$O$20))),4)</f>
        <v>1.0841000000000001</v>
      </c>
      <c r="W7" s="2027">
        <f>T7</f>
        <v>1.0107999999999999</v>
      </c>
      <c r="X7" s="2904"/>
      <c r="Y7" s="2028">
        <f>IF(D7=0,0,ROUND(AVERAGE(D7:D20)/100,4))</f>
        <v>0</v>
      </c>
      <c r="Z7" s="2028">
        <f t="shared" ref="Z7" si="32">IF(E7=0,0,ROUND(AVERAGE(E7:E20)/100,4))</f>
        <v>0</v>
      </c>
      <c r="AA7" s="2028">
        <f t="shared" ref="AA7" si="33">IF(F7=0,0,ROUND(AVERAGE(F7:F20)/100,4))</f>
        <v>0</v>
      </c>
      <c r="AB7" s="2028">
        <f t="shared" ref="AB7" si="34">IF(G7=0,0,ROUND(AVERAGE(G7:G20)/100,4))</f>
        <v>0</v>
      </c>
      <c r="AC7" s="2028">
        <f t="shared" ref="AC7" si="35">IF(H7=0,0,ROUND(AVERAGE(H7:H20)/100,4))</f>
        <v>0</v>
      </c>
      <c r="AD7" s="2028">
        <f t="shared" ref="AD7" si="36">AA7</f>
        <v>0</v>
      </c>
    </row>
    <row r="8" spans="1:30" s="2045" customFormat="1" ht="12.75">
      <c r="A8" s="2903" t="s">
        <v>3382</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3" t="s">
        <v>3377</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2.75">
      <c r="A10" s="2903" t="s">
        <v>3373</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2.75">
      <c r="A11" s="2903" t="s">
        <v>3372</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2.75">
      <c r="A12" s="2903" t="s">
        <v>3368</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2.75">
      <c r="A13" s="2903" t="s">
        <v>3367</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2.75">
      <c r="A14" s="2903" t="s">
        <v>3366</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3" t="s">
        <v>3362</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3" t="s">
        <v>3353</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3" t="s">
        <v>2818</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3" t="s">
        <v>2819</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3" t="s">
        <v>2820</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3" t="s">
        <v>2821</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thickBot="1">
      <c r="A21" s="2916" t="s">
        <v>2822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3364</v>
      </c>
    </row>
    <row r="24" spans="1:30">
      <c r="I24" s="1405" t="s">
        <v>2823</v>
      </c>
    </row>
    <row r="26" spans="1:30" s="2009" customFormat="1" ht="12.75">
      <c r="B26" s="2927" t="s">
        <v>3370</v>
      </c>
      <c r="C26" s="2928"/>
      <c r="D26" s="2928"/>
      <c r="E26" s="2928"/>
      <c r="F26" s="2928"/>
      <c r="G26" s="2928"/>
      <c r="H26" s="2928"/>
      <c r="I26" s="2928"/>
      <c r="J26" s="2894"/>
      <c r="K26" s="2928" t="s">
        <v>2824</v>
      </c>
      <c r="L26" s="2928"/>
      <c r="M26" s="2928"/>
      <c r="N26" s="2928"/>
      <c r="O26" s="2928"/>
      <c r="P26" s="2928"/>
      <c r="Q26" s="2894"/>
      <c r="R26" s="3487" t="s">
        <v>2825</v>
      </c>
      <c r="S26" s="3488"/>
      <c r="T26" s="3488"/>
      <c r="U26" s="3488"/>
      <c r="V26" s="3488"/>
      <c r="W26" s="3488"/>
      <c r="X26" s="2894"/>
      <c r="Y26" s="3487" t="s">
        <v>2826</v>
      </c>
      <c r="Z26" s="3488"/>
      <c r="AA26" s="3488"/>
      <c r="AB26" s="3488"/>
      <c r="AC26" s="3488"/>
      <c r="AD26" s="3488"/>
    </row>
    <row r="27" spans="1:30" s="2010" customFormat="1" ht="14.25" thickBot="1">
      <c r="B27" s="2879"/>
      <c r="C27" s="2880"/>
      <c r="D27" s="2011" t="s">
        <v>2827</v>
      </c>
      <c r="E27" s="2012" t="s">
        <v>2828</v>
      </c>
      <c r="F27" s="2012" t="s">
        <v>2829</v>
      </c>
      <c r="G27" s="2012" t="s">
        <v>2830</v>
      </c>
      <c r="H27" s="2012"/>
      <c r="I27" s="2012" t="s">
        <v>2831</v>
      </c>
      <c r="J27" s="2881"/>
      <c r="K27" s="2011" t="s">
        <v>2827</v>
      </c>
      <c r="L27" s="2012" t="s">
        <v>2828</v>
      </c>
      <c r="M27" s="2012" t="s">
        <v>2829</v>
      </c>
      <c r="N27" s="2012" t="s">
        <v>2830</v>
      </c>
      <c r="O27" s="2012"/>
      <c r="P27" s="2012" t="s">
        <v>2831</v>
      </c>
      <c r="Q27" s="2881"/>
      <c r="R27" s="2011" t="s">
        <v>2827</v>
      </c>
      <c r="S27" s="2012" t="s">
        <v>2828</v>
      </c>
      <c r="T27" s="2012" t="s">
        <v>2829</v>
      </c>
      <c r="U27" s="2012" t="s">
        <v>2830</v>
      </c>
      <c r="V27" s="2012"/>
      <c r="W27" s="2012" t="s">
        <v>2831</v>
      </c>
      <c r="X27" s="2881"/>
      <c r="Y27" s="2011" t="s">
        <v>2827</v>
      </c>
      <c r="Z27" s="2012" t="s">
        <v>2828</v>
      </c>
      <c r="AA27" s="2012" t="s">
        <v>2829</v>
      </c>
      <c r="AB27" s="2012" t="s">
        <v>2830</v>
      </c>
      <c r="AC27" s="2012"/>
      <c r="AD27" s="2012" t="s">
        <v>2831</v>
      </c>
    </row>
    <row r="28" spans="1:30" s="2884" customFormat="1" ht="12.75">
      <c r="A28" s="2882" t="s">
        <v>2832</v>
      </c>
      <c r="B28" s="2883"/>
      <c r="E28" s="2884">
        <f t="shared" ref="E28:G28" si="65">ROUND(AVERAGEIF(E29:E46,"&lt;&gt;0"),2)</f>
        <v>0.33</v>
      </c>
      <c r="F28" s="2884">
        <f t="shared" si="65"/>
        <v>0.24</v>
      </c>
      <c r="G28" s="2884">
        <f t="shared" si="65"/>
        <v>0.62</v>
      </c>
      <c r="I28" s="2884">
        <f>F28</f>
        <v>0.24</v>
      </c>
      <c r="J28" s="2885"/>
      <c r="K28" s="2886"/>
      <c r="L28" s="2887">
        <f t="shared" ref="L28:N28" si="66">ROUND(AVERAGEIF(L29:L46,"&lt;&gt;0"),4)</f>
        <v>3.3E-3</v>
      </c>
      <c r="M28" s="2887">
        <f t="shared" si="66"/>
        <v>2.3999999999999998E-3</v>
      </c>
      <c r="N28" s="2887">
        <f t="shared" si="66"/>
        <v>6.1999999999999998E-3</v>
      </c>
      <c r="O28" s="2887"/>
      <c r="P28" s="2887">
        <f>M28</f>
        <v>2.3999999999999998E-3</v>
      </c>
      <c r="Q28" s="2885"/>
      <c r="R28" s="2888"/>
      <c r="S28" s="2889">
        <f>ROUND(SUMPRODUCT(PRODUCT(1+L29:L46)),4)</f>
        <v>1.0468999999999999</v>
      </c>
      <c r="T28" s="2889">
        <f t="shared" ref="T28:U28" si="67">ROUND(SUMPRODUCT(PRODUCT(1+M29:M46)),4)</f>
        <v>1.0347</v>
      </c>
      <c r="U28" s="2889">
        <f t="shared" si="67"/>
        <v>1.0895999999999999</v>
      </c>
      <c r="V28" s="2889"/>
      <c r="W28" s="2888">
        <f>T28</f>
        <v>1.0347</v>
      </c>
      <c r="X28" s="2885"/>
      <c r="Y28" s="2890"/>
      <c r="Z28" s="2891">
        <f t="shared" ref="Z28:AB28" si="68">ROUND(AVERAGEIF(Z29:Z46,"&lt;&gt;0"),4)</f>
        <v>4.1999999999999997E-3</v>
      </c>
      <c r="AA28" s="2892">
        <f t="shared" si="68"/>
        <v>3.3999999999999998E-3</v>
      </c>
      <c r="AB28" s="2890">
        <f t="shared" si="68"/>
        <v>8.6E-3</v>
      </c>
      <c r="AC28" s="2893"/>
      <c r="AD28" s="2890">
        <f>AA28</f>
        <v>3.3999999999999998E-3</v>
      </c>
    </row>
    <row r="29" spans="1:30" s="2009" customFormat="1" ht="12.75">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2.75">
      <c r="A30" s="2040" t="s">
        <v>3380</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1.0432999999999999</v>
      </c>
      <c r="T30" s="2027">
        <f>ROUND(IF(项目基本情况!$B$8="出让",SUMPRODUCT(PRODUCT(1+M30:M$46)),SUMPRODUCT(PRODUCT(1+M30:M$45))),4)</f>
        <v>1.0298</v>
      </c>
      <c r="U30" s="2027">
        <f>ROUND(IF(项目基本情况!$B$8="出让",SUMPRODUCT(PRODUCT(1+N30:N$46)),SUMPRODUCT(PRODUCT(1+N30:N$45))),4)</f>
        <v>1.079</v>
      </c>
      <c r="V30" s="2027"/>
      <c r="W30" s="2027">
        <f>T30</f>
        <v>1.0298</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2.75">
      <c r="A31" s="2905" t="s">
        <v>3383</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1.0432999999999999</v>
      </c>
      <c r="T31" s="2911">
        <f>ROUND(IF(项目基本情况!$B$8="出让",SUMPRODUCT(PRODUCT(1+M31:M$46)),SUMPRODUCT(PRODUCT(1+M31:M$45))),4)</f>
        <v>1.0298</v>
      </c>
      <c r="U31" s="2911">
        <f>ROUND(IF(项目基本情况!$B$8="出让",SUMPRODUCT(PRODUCT(1+N31:N$46)),SUMPRODUCT(PRODUCT(1+N31:N$45))),4)</f>
        <v>1.079</v>
      </c>
      <c r="V31" s="2911"/>
      <c r="W31" s="2911">
        <f>T31</f>
        <v>1.0298</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2.75">
      <c r="A32" s="2040" t="s">
        <v>3375</v>
      </c>
      <c r="B32" s="2031">
        <v>2024</v>
      </c>
      <c r="C32" s="2042">
        <v>3</v>
      </c>
      <c r="D32" s="2007"/>
      <c r="E32" s="2007">
        <v>0</v>
      </c>
      <c r="F32" s="2007">
        <v>0</v>
      </c>
      <c r="G32" s="2007">
        <v>0</v>
      </c>
      <c r="H32" s="2007"/>
      <c r="I32" s="2008">
        <f t="shared" ref="I32" si="83">F32</f>
        <v>0</v>
      </c>
      <c r="J32" s="2904"/>
      <c r="K32" s="2043"/>
      <c r="L32" s="2028">
        <f t="shared" ref="L32" si="84">E32/100</f>
        <v>0</v>
      </c>
      <c r="M32" s="2028">
        <f t="shared" ref="M32" si="85">F32/100</f>
        <v>0</v>
      </c>
      <c r="N32" s="2028">
        <f t="shared" ref="N32" si="86">G32/100</f>
        <v>0</v>
      </c>
      <c r="O32" s="2028"/>
      <c r="P32" s="2028">
        <f>M32</f>
        <v>0</v>
      </c>
      <c r="Q32" s="2904"/>
      <c r="R32" s="2027"/>
      <c r="S32" s="2027">
        <f>ROUND(IF(项目基本情况!$B$8="出让",SUMPRODUCT(PRODUCT(1+L32:L$46)),SUMPRODUCT(PRODUCT(1+L32:L$45))),4)</f>
        <v>1.0432999999999999</v>
      </c>
      <c r="T32" s="2027">
        <f>ROUND(IF(项目基本情况!$B$8="出让",SUMPRODUCT(PRODUCT(1+M32:M$46)),SUMPRODUCT(PRODUCT(1+M32:M$45))),4)</f>
        <v>1.0298</v>
      </c>
      <c r="U32" s="2027">
        <f>ROUND(IF(项目基本情况!$B$8="出让",SUMPRODUCT(PRODUCT(1+N32:N$46)),SUMPRODUCT(PRODUCT(1+N32:N$45))),4)</f>
        <v>1.079</v>
      </c>
      <c r="V32" s="2027"/>
      <c r="W32" s="2027">
        <f>T32</f>
        <v>1.0298</v>
      </c>
      <c r="X32" s="2904"/>
      <c r="Y32" s="2028"/>
      <c r="Z32" s="2900">
        <f t="shared" ref="Z32:AB33" si="87">IF(E32=0,0,ROUND(AVERAGE(E32:E45)/100,4))</f>
        <v>0</v>
      </c>
      <c r="AA32" s="2900">
        <f t="shared" si="87"/>
        <v>0</v>
      </c>
      <c r="AB32" s="2900">
        <f t="shared" si="87"/>
        <v>0</v>
      </c>
      <c r="AC32" s="2902"/>
      <c r="AD32" s="2028">
        <f>IF(I32=0,0,ROUND(AVERAGE(I32:I45)/100,4))</f>
        <v>0</v>
      </c>
    </row>
    <row r="33" spans="1:30" s="2045" customFormat="1" ht="12.75">
      <c r="A33" s="2903" t="s">
        <v>3384</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2.75">
      <c r="A34" s="2903" t="s">
        <v>3376</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2.75">
      <c r="A35" s="2903" t="s">
        <v>3374</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2.75">
      <c r="A36" s="2903" t="s">
        <v>3372</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2.75">
      <c r="A37" s="2903" t="s">
        <v>3371</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2.75">
      <c r="A38" s="2903" t="s">
        <v>3367</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2.75">
      <c r="A39" s="2903" t="s">
        <v>3366</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2.75">
      <c r="A40" s="2903" t="s">
        <v>3363</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2.75">
      <c r="A41" s="2903" t="s">
        <v>3353</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2.75">
      <c r="A42" s="2903" t="s">
        <v>2833</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2.75">
      <c r="A43" s="2903" t="s">
        <v>2834</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2.75">
      <c r="A44" s="2903" t="s">
        <v>2835</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2.75">
      <c r="A45" s="2903" t="s">
        <v>2836</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thickBot="1">
      <c r="A46" s="2916" t="s">
        <v>2822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3365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45573</v>
      </c>
      <c r="D1" s="1217" t="s">
        <v>603</v>
      </c>
      <c r="E1" s="1212">
        <f>'数据-取费表'!B22</f>
        <v>1.5</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2307</v>
      </c>
      <c r="C25" s="1207">
        <v>43697</v>
      </c>
      <c r="D25" s="2572">
        <v>4.25</v>
      </c>
      <c r="E25" s="2572">
        <v>4.25</v>
      </c>
      <c r="F25" s="2572">
        <v>4.25</v>
      </c>
      <c r="G25" s="2572">
        <v>4.25</v>
      </c>
      <c r="H25" s="2572">
        <v>4.8499999999999996</v>
      </c>
      <c r="I25" s="2572"/>
      <c r="J25" s="2572"/>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5"/>
      <c r="C26" s="2576">
        <v>42301</v>
      </c>
      <c r="D26" s="2577">
        <v>4.3499999999999996</v>
      </c>
      <c r="E26" s="2577">
        <v>4.3499999999999996</v>
      </c>
      <c r="F26" s="2577">
        <v>4.75</v>
      </c>
      <c r="G26" s="2577">
        <v>4.75</v>
      </c>
      <c r="H26" s="2577">
        <v>4.9000000000000004</v>
      </c>
      <c r="I26" s="2577"/>
      <c r="J26" s="2577"/>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77"/>
      <c r="B3" s="3177"/>
      <c r="C3" s="3177"/>
      <c r="D3" s="801" t="s">
        <v>925</v>
      </c>
      <c r="E3" s="801" t="s">
        <v>931</v>
      </c>
      <c r="F3" s="801" t="s">
        <v>925</v>
      </c>
      <c r="G3" s="801" t="s">
        <v>926</v>
      </c>
      <c r="H3" s="801" t="s">
        <v>925</v>
      </c>
      <c r="I3" s="801" t="s">
        <v>926</v>
      </c>
    </row>
    <row r="4" spans="1:9" ht="15">
      <c r="A4" s="1403" t="str">
        <f>项目基本情况!S2</f>
        <v>北京市靛厂路11号房地产</v>
      </c>
      <c r="B4" s="801">
        <f>项目基本情况!C17</f>
        <v>9035.91</v>
      </c>
      <c r="C4" s="801">
        <f>项目基本情况!C18</f>
        <v>0</v>
      </c>
      <c r="D4" s="801">
        <f ca="1">结果表!D118</f>
        <v>16929</v>
      </c>
      <c r="E4" s="801">
        <f ca="1">结果表!E118</f>
        <v>18735</v>
      </c>
      <c r="F4" s="801">
        <f ca="1">结果表!F118</f>
        <v>5143</v>
      </c>
      <c r="G4" s="801">
        <f ca="1">结果表!G118</f>
        <v>5692</v>
      </c>
      <c r="H4" s="801">
        <f ca="1">结果表!H118</f>
        <v>22072</v>
      </c>
      <c r="I4" s="801">
        <f ca="1">结果表!I118</f>
        <v>24427</v>
      </c>
    </row>
    <row r="5" spans="1:9" ht="30" customHeight="1">
      <c r="A5" s="3177" t="s">
        <v>927</v>
      </c>
      <c r="B5" s="3177"/>
      <c r="C5" s="3177"/>
      <c r="D5" s="3177" t="str">
        <f ca="1">结果表!D119</f>
        <v>壹亿陆仟玖佰贰拾玖万元整</v>
      </c>
      <c r="E5" s="3177"/>
      <c r="F5" s="3177" t="str">
        <f ca="1">结果表!F119</f>
        <v>伍仟壹佰肆拾叁万元整</v>
      </c>
      <c r="G5" s="3177"/>
      <c r="H5" s="3177" t="str">
        <f ca="1">结果表!H119</f>
        <v>贰亿贰仟零柒拾贰万元整</v>
      </c>
      <c r="I5" s="3177"/>
    </row>
    <row r="6" spans="1:9" ht="15.75">
      <c r="A6" s="3176" t="str">
        <f>结果表!A120</f>
        <v>估价师知悉的法定优先受偿款</v>
      </c>
      <c r="B6" s="3176"/>
      <c r="C6" s="3176"/>
      <c r="D6" s="3176">
        <f>结果表!D120</f>
        <v>0</v>
      </c>
      <c r="E6" s="3176"/>
      <c r="F6" s="3176"/>
      <c r="G6" s="3176"/>
      <c r="H6" s="3176"/>
      <c r="I6" s="3176"/>
    </row>
    <row r="7" spans="1:9" ht="15">
      <c r="A7" s="3177" t="s">
        <v>927</v>
      </c>
      <c r="B7" s="3177"/>
      <c r="C7" s="3177"/>
      <c r="D7" s="3178" t="str">
        <f>结果表!D121</f>
        <v>零元整</v>
      </c>
      <c r="E7" s="3179"/>
      <c r="F7" s="3179"/>
      <c r="G7" s="3179"/>
      <c r="H7" s="3179"/>
      <c r="I7" s="3180"/>
    </row>
    <row r="8" spans="1:9" ht="15.75">
      <c r="A8" s="3176" t="str">
        <f>结果表!A122</f>
        <v>房地产抵押价值</v>
      </c>
      <c r="B8" s="3176"/>
      <c r="C8" s="3176"/>
      <c r="D8" s="3176">
        <f ca="1">结果表!D122</f>
        <v>22072</v>
      </c>
      <c r="E8" s="3176"/>
      <c r="F8" s="3176"/>
      <c r="G8" s="3176"/>
      <c r="H8" s="3176"/>
      <c r="I8" s="3176"/>
    </row>
    <row r="9" spans="1:9" ht="15">
      <c r="A9" s="3177" t="s">
        <v>927</v>
      </c>
      <c r="B9" s="3177"/>
      <c r="C9" s="3177"/>
      <c r="D9" s="3177" t="str">
        <f ca="1">结果表!D123</f>
        <v>贰亿贰仟零柒拾贰万元整</v>
      </c>
      <c r="E9" s="3177"/>
      <c r="F9" s="3177"/>
      <c r="G9" s="3177"/>
      <c r="H9" s="3177"/>
      <c r="I9" s="3177"/>
    </row>
    <row r="10" spans="1:9" ht="15.75">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75">
      <c r="A12" s="3176" t="str">
        <f>结果表!A126</f>
        <v/>
      </c>
      <c r="B12" s="3176"/>
      <c r="C12" s="3176"/>
      <c r="D12" s="3176" t="str">
        <f>结果表!D126</f>
        <v>——</v>
      </c>
      <c r="E12" s="3176"/>
      <c r="F12" s="3176"/>
      <c r="G12" s="3176"/>
      <c r="H12" s="3176"/>
      <c r="I12" s="3176"/>
    </row>
    <row r="13" spans="1:9" ht="15.75" thickBot="1">
      <c r="A13" s="3174" t="s">
        <v>927</v>
      </c>
      <c r="B13" s="3174"/>
      <c r="C13" s="3174"/>
      <c r="D13" s="3174" t="e">
        <f>结果表!D127</f>
        <v>#VALUE!</v>
      </c>
      <c r="E13" s="3174"/>
      <c r="F13" s="3174"/>
      <c r="G13" s="3174"/>
      <c r="H13" s="3174"/>
      <c r="I13" s="3174"/>
    </row>
    <row r="14" spans="1:9" ht="15" thickTop="1">
      <c r="A14" s="3175" t="s">
        <v>932</v>
      </c>
      <c r="B14" s="3175"/>
      <c r="C14" s="3175"/>
      <c r="D14" s="3175"/>
      <c r="E14" s="3175"/>
      <c r="F14" s="3175"/>
      <c r="G14" s="3175"/>
      <c r="H14" s="3175"/>
      <c r="I14" s="317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9" t="s">
        <v>949</v>
      </c>
      <c r="B1" s="3189"/>
      <c r="C1" s="3189"/>
      <c r="D1" s="3189"/>
    </row>
    <row r="2" spans="1:4" ht="18">
      <c r="A2" s="3190" t="s">
        <v>933</v>
      </c>
      <c r="B2" s="3190"/>
      <c r="C2" s="3190"/>
      <c r="D2" s="319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0" t="s">
        <v>939</v>
      </c>
      <c r="B6" s="3190"/>
      <c r="C6" s="3190"/>
      <c r="D6" s="319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1" t="s">
        <v>942</v>
      </c>
      <c r="B11" s="3183"/>
      <c r="C11" s="3183"/>
      <c r="D11" s="3183"/>
    </row>
    <row r="12" spans="1:4" ht="15.75">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（1）根据估价对象《房屋所有权证》复印件、《国有土地使用权》复印件，截至价值时点，估价对象抵押权未见登记。</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45575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土地比较法-住宅、综合</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土地比较法-工业</vt:lpstr>
      <vt:lpstr>典型户型修正</vt:lpstr>
      <vt:lpstr>基准地价修正</vt:lpstr>
      <vt:lpstr>基准地价（汇总）</vt:lpstr>
      <vt:lpstr>修正</vt:lpstr>
      <vt:lpstr>容积率修正</vt:lpstr>
      <vt:lpstr>成本法（废）</vt:lpstr>
      <vt:lpstr>土地案例</vt:lpstr>
      <vt:lpstr>成本法</vt:lpstr>
      <vt:lpstr>比较法-办公</vt:lpstr>
      <vt:lpstr>收益法商</vt:lpstr>
      <vt:lpstr>收益法</vt:lpstr>
      <vt:lpstr>收益法（汇总）</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2024-10-10T01:29:12Z</dcterms:modified>
</cp:coreProperties>
</file>