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7"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成本法" sheetId="68" r:id="rId20"/>
    <sheet name="成本法 (元)" sheetId="69" state="hidden" r:id="rId21"/>
    <sheet name="假设开发法" sheetId="12" state="hidden" r:id="rId22"/>
    <sheet name="收益法-办公" sheetId="15" r:id="rId23"/>
    <sheet name="收益法-车库"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土地案例" sheetId="82"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4" sheetId="8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3" i="80" l="1"/>
  <c r="E34" i="80" s="1"/>
  <c r="E29" i="80"/>
  <c r="E33" i="80"/>
  <c r="G33" i="80"/>
  <c r="N6" i="1"/>
  <c r="N18" i="1"/>
  <c r="I46" i="39"/>
  <c r="G46" i="39"/>
  <c r="E46" i="39"/>
  <c r="I38" i="39"/>
  <c r="G38" i="39"/>
  <c r="E38" i="39"/>
  <c r="P69" i="39"/>
  <c r="Q69" i="39"/>
  <c r="R69" i="39"/>
  <c r="S69" i="39"/>
  <c r="I7" i="39"/>
  <c r="G7" i="39"/>
  <c r="E7" i="39"/>
  <c r="C38" i="39"/>
  <c r="I5" i="39"/>
  <c r="G5" i="39"/>
  <c r="E5" i="39"/>
  <c r="G44" i="43"/>
  <c r="Q72" i="81"/>
  <c r="Q59" i="81"/>
  <c r="K59" i="81"/>
  <c r="P74" i="81" s="1"/>
  <c r="Q58" i="81"/>
  <c r="Q51" i="81"/>
  <c r="J50" i="81"/>
  <c r="J51" i="81" s="1"/>
  <c r="M47" i="81"/>
  <c r="D46" i="81"/>
  <c r="F33" i="81"/>
  <c r="F61" i="81" s="1"/>
  <c r="F23" i="81"/>
  <c r="D24" i="81" s="1"/>
  <c r="F21" i="81"/>
  <c r="F20" i="81"/>
  <c r="M19" i="81"/>
  <c r="F18" i="81"/>
  <c r="F17" i="81"/>
  <c r="F15" i="81"/>
  <c r="G1" i="81"/>
  <c r="C76" i="81"/>
  <c r="D22" i="81" l="1"/>
  <c r="D23" i="81"/>
  <c r="Q71" i="81"/>
  <c r="P61" i="81"/>
  <c r="Y6" i="1"/>
  <c r="Y7" i="1" s="1"/>
  <c r="L14" i="1"/>
  <c r="N14" i="1"/>
  <c r="N7" i="1"/>
  <c r="E31" i="80"/>
  <c r="M8" i="81"/>
  <c r="M9" i="81"/>
  <c r="M23" i="81"/>
  <c r="F37" i="81"/>
  <c r="F16" i="81"/>
  <c r="F7" i="81"/>
  <c r="F36" i="81"/>
  <c r="F26" i="81"/>
  <c r="M22" i="81"/>
  <c r="F8" i="81"/>
  <c r="M6" i="81"/>
  <c r="F6" i="81"/>
  <c r="F40" i="81"/>
  <c r="F38" i="81"/>
  <c r="F13" i="81"/>
  <c r="F42" i="81"/>
  <c r="M26" i="81"/>
  <c r="F9" i="81"/>
  <c r="J15" i="81"/>
  <c r="M27" i="81"/>
  <c r="M24" i="81"/>
  <c r="M28" i="81"/>
  <c r="F66" i="81" l="1"/>
  <c r="F68" i="81"/>
  <c r="F31" i="81"/>
  <c r="C6" i="81"/>
  <c r="F51" i="81"/>
  <c r="C27" i="81"/>
  <c r="F64" i="81"/>
  <c r="F50" i="81"/>
  <c r="M7" i="81"/>
  <c r="M17" i="81" s="1"/>
  <c r="F65" i="81"/>
  <c r="F59" i="81" l="1"/>
  <c r="C49" i="81"/>
  <c r="J6" i="81"/>
  <c r="AL13" i="3"/>
  <c r="K13" i="3"/>
  <c r="G20" i="6" s="1"/>
  <c r="D42" i="43" s="1"/>
  <c r="I13" i="3"/>
  <c r="F19" i="6" s="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1"/>
  <c r="N59" i="81" l="1"/>
  <c r="L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94" i="43" s="1"/>
  <c r="G23" i="78"/>
  <c r="G24" i="78"/>
  <c r="G25" i="78"/>
  <c r="B15" i="78"/>
  <c r="B18" i="78"/>
  <c r="G16" i="73"/>
  <c r="F16" i="73"/>
  <c r="E16" i="73"/>
  <c r="H101" i="43" l="1"/>
  <c r="H95" i="43"/>
  <c r="H93" i="43"/>
  <c r="H100" i="43"/>
  <c r="H97" i="43"/>
  <c r="H96" i="43"/>
  <c r="H98" i="43"/>
  <c r="H99"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H23" i="39" s="1"/>
  <c r="U23" i="39" s="1"/>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S31"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J25" i="39"/>
  <c r="W25" i="39" s="1"/>
  <c r="F15" i="39"/>
  <c r="AA15" i="39" s="1"/>
  <c r="H15" i="39"/>
  <c r="U15" i="39" s="1"/>
  <c r="J15" i="39"/>
  <c r="W15" i="39" s="1"/>
  <c r="U40" i="39"/>
  <c r="S42"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D48" i="9"/>
  <c r="M52" i="9" s="1"/>
  <c r="K9" i="1"/>
  <c r="M9"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J21" i="39"/>
  <c r="W21" i="39" s="1"/>
  <c r="F21" i="39"/>
  <c r="AA21" i="39" s="1"/>
  <c r="H21" i="39"/>
  <c r="AB21" i="39" s="1"/>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K1" i="12"/>
  <c r="E19" i="11"/>
  <c r="E1" i="73"/>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S14" i="39"/>
  <c r="AA14" i="39"/>
  <c r="U43" i="39"/>
  <c r="AB43" i="39"/>
  <c r="W17" i="39"/>
  <c r="AC17"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1"/>
  <c r="F43" i="81"/>
  <c r="L48" i="81"/>
  <c r="D5" i="73"/>
  <c r="E8" i="76"/>
  <c r="D3" i="73"/>
  <c r="F7" i="73"/>
  <c r="E7" i="76"/>
  <c r="B12" i="76"/>
  <c r="E10" i="76"/>
  <c r="AO13" i="1"/>
  <c r="D7" i="73"/>
  <c r="F3" i="73"/>
  <c r="B9" i="76"/>
  <c r="F20" i="31"/>
  <c r="E9" i="76"/>
  <c r="D4" i="73"/>
  <c r="F5" i="73"/>
  <c r="F6" i="73"/>
  <c r="D6" i="73"/>
  <c r="F4" i="73"/>
  <c r="B13" i="76"/>
  <c r="E12" i="76"/>
  <c r="E11" i="76"/>
  <c r="E2" i="68"/>
  <c r="B10" i="76"/>
  <c r="B8" i="76"/>
  <c r="B11" i="76"/>
  <c r="E13" i="76"/>
  <c r="E2" i="69"/>
  <c r="B7" i="76"/>
  <c r="F71" i="81" l="1"/>
  <c r="M7" i="1"/>
  <c r="G6" i="1"/>
  <c r="I24" i="43"/>
  <c r="C24" i="43" s="1"/>
  <c r="H69" i="43"/>
  <c r="J57" i="81"/>
  <c r="J55" i="81" s="1"/>
  <c r="J58" i="81" s="1"/>
  <c r="Q50" i="81" s="1"/>
  <c r="L58" i="81"/>
  <c r="I54" i="81"/>
  <c r="J53" i="81"/>
  <c r="L56" i="81"/>
  <c r="G7" i="1"/>
  <c r="O7" i="1"/>
  <c r="P7" i="1" s="1"/>
  <c r="F27" i="39"/>
  <c r="AB27" i="39"/>
  <c r="J27" i="39"/>
  <c r="AC27" i="39" s="1"/>
  <c r="H25" i="39"/>
  <c r="AC25" i="39"/>
  <c r="F25" i="39"/>
  <c r="AA25" i="39" s="1"/>
  <c r="W23" i="39"/>
  <c r="F19" i="39"/>
  <c r="AA19" i="39" s="1"/>
  <c r="J19" i="39"/>
  <c r="AC19" i="39" s="1"/>
  <c r="H19" i="39"/>
  <c r="U12" i="39"/>
  <c r="AA12" i="39"/>
  <c r="AC38" i="39"/>
  <c r="H123" i="39"/>
  <c r="I123" i="39" s="1"/>
  <c r="J123" i="39" s="1"/>
  <c r="K123" i="39" s="1"/>
  <c r="L123" i="39" s="1"/>
  <c r="M123" i="39" s="1"/>
  <c r="J41" i="39"/>
  <c r="W41" i="39" s="1"/>
  <c r="F41" i="39"/>
  <c r="H41" i="39"/>
  <c r="W29" i="39"/>
  <c r="W27" i="39"/>
  <c r="U21" i="39"/>
  <c r="AC31" i="39"/>
  <c r="W34" i="39"/>
  <c r="AB34" i="39"/>
  <c r="AA31" i="39"/>
  <c r="U32" i="39"/>
  <c r="U31" i="39"/>
  <c r="S38" i="39"/>
  <c r="S23" i="39"/>
  <c r="S21" i="39"/>
  <c r="S13" i="39"/>
  <c r="U9" i="39"/>
  <c r="W9" i="39"/>
  <c r="C18" i="9"/>
  <c r="D18" i="9" s="1"/>
  <c r="M20" i="15"/>
  <c r="F34" i="81"/>
  <c r="F62" i="81" s="1"/>
  <c r="M20" i="81"/>
  <c r="C24" i="12"/>
  <c r="C33" i="81"/>
  <c r="J19" i="81"/>
  <c r="C61" i="81"/>
  <c r="B41" i="1"/>
  <c r="F53" i="9" s="1"/>
  <c r="D93" i="9"/>
  <c r="C40" i="69"/>
  <c r="C40" i="11"/>
  <c r="C21" i="68"/>
  <c r="E19" i="68"/>
  <c r="G22" i="68"/>
  <c r="G22" i="69"/>
  <c r="F34" i="68"/>
  <c r="C36" i="68" s="1"/>
  <c r="M59" i="81"/>
  <c r="G1" i="67"/>
  <c r="K6" i="1"/>
  <c r="G13" i="3"/>
  <c r="G5" i="3" s="1"/>
  <c r="B3" i="3" s="1"/>
  <c r="BL13" i="3"/>
  <c r="BL5" i="3" s="1"/>
  <c r="BA14" i="3"/>
  <c r="AZ14" i="3" s="1"/>
  <c r="G1" i="69"/>
  <c r="G1" i="68"/>
  <c r="G1" i="15"/>
  <c r="B6" i="1"/>
  <c r="E6" i="1" s="1"/>
  <c r="H5" i="3"/>
  <c r="BA5" i="3"/>
  <c r="G28"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E29" i="6"/>
  <c r="K15" i="1" s="1"/>
  <c r="F30" i="6"/>
  <c r="G30" i="6"/>
  <c r="G31" i="6" s="1"/>
  <c r="E28" i="6"/>
  <c r="K14" i="1" s="1"/>
  <c r="L19" i="6"/>
  <c r="L27" i="6"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C16" i="81"/>
  <c r="L48" i="67"/>
  <c r="M24" i="67"/>
  <c r="C76" i="67"/>
  <c r="F42" i="67"/>
  <c r="F26" i="67"/>
  <c r="F13" i="67"/>
  <c r="F16" i="67"/>
  <c r="F36" i="67"/>
  <c r="F6" i="67"/>
  <c r="F38" i="67"/>
  <c r="F43" i="67"/>
  <c r="F9" i="67"/>
  <c r="M29" i="67"/>
  <c r="M8" i="67"/>
  <c r="F7" i="67"/>
  <c r="L47" i="67"/>
  <c r="M9" i="67"/>
  <c r="J15" i="67"/>
  <c r="M23" i="67"/>
  <c r="M6" i="67"/>
  <c r="F8" i="67"/>
  <c r="M26" i="67"/>
  <c r="M28" i="67"/>
  <c r="F40" i="67"/>
  <c r="F37" i="67"/>
  <c r="M22" i="67"/>
  <c r="F13" i="15"/>
  <c r="F42" i="15"/>
  <c r="M22" i="15"/>
  <c r="F36" i="15"/>
  <c r="L47" i="15"/>
  <c r="M26" i="15"/>
  <c r="M29" i="15"/>
  <c r="M8" i="15"/>
  <c r="F37" i="15"/>
  <c r="M24" i="15"/>
  <c r="F40" i="15"/>
  <c r="F8" i="15"/>
  <c r="F43" i="15"/>
  <c r="M23" i="15"/>
  <c r="C76" i="15"/>
  <c r="F6" i="15"/>
  <c r="M6" i="15"/>
  <c r="F9" i="15"/>
  <c r="F16" i="15"/>
  <c r="L48" i="15"/>
  <c r="F38" i="15"/>
  <c r="M9" i="15"/>
  <c r="F26" i="15"/>
  <c r="F7" i="15"/>
  <c r="J15" i="15"/>
  <c r="M28" i="15"/>
  <c r="C16" i="67"/>
  <c r="G1" i="73"/>
  <c r="E507" i="3" l="1"/>
  <c r="E553" i="3"/>
  <c r="E396" i="3"/>
  <c r="V6" i="3"/>
  <c r="E130" i="3"/>
  <c r="E550" i="3"/>
  <c r="E578" i="3"/>
  <c r="E305" i="3"/>
  <c r="E151" i="3"/>
  <c r="E407" i="3"/>
  <c r="E114" i="3"/>
  <c r="E290" i="3"/>
  <c r="E518" i="3"/>
  <c r="E516" i="3"/>
  <c r="E358" i="3"/>
  <c r="E320" i="3"/>
  <c r="E395" i="3"/>
  <c r="E61" i="3"/>
  <c r="E293" i="3"/>
  <c r="E217" i="3"/>
  <c r="E569" i="3"/>
  <c r="E559" i="3"/>
  <c r="E230" i="3"/>
  <c r="E260" i="3"/>
  <c r="E245" i="3"/>
  <c r="E583" i="3"/>
  <c r="AP6" i="1"/>
  <c r="C36" i="69" s="1"/>
  <c r="D33" i="43"/>
  <c r="D1" i="43" s="1"/>
  <c r="F1" i="81"/>
  <c r="Q52" i="81"/>
  <c r="Q73" i="81"/>
  <c r="Q60" i="81"/>
  <c r="AC41" i="39"/>
  <c r="S19" i="39"/>
  <c r="S27" i="39"/>
  <c r="AA27" i="39"/>
  <c r="AB25" i="39"/>
  <c r="U25" i="39"/>
  <c r="W19" i="39"/>
  <c r="AB19" i="39"/>
  <c r="U19" i="39"/>
  <c r="AB41" i="39"/>
  <c r="U41" i="39"/>
  <c r="S41" i="39"/>
  <c r="AA41" i="39"/>
  <c r="F48" i="9"/>
  <c r="O52" i="9" s="1"/>
  <c r="F28" i="81"/>
  <c r="C28" i="81" s="1"/>
  <c r="M18" i="81"/>
  <c r="J18" i="81" s="1"/>
  <c r="F32" i="81"/>
  <c r="F28" i="67"/>
  <c r="C28" i="67" s="1"/>
  <c r="F32" i="67"/>
  <c r="F60" i="67" s="1"/>
  <c r="F28" i="15"/>
  <c r="C28" i="15" s="1"/>
  <c r="F31" i="12"/>
  <c r="C31" i="12" s="1"/>
  <c r="F30" i="69"/>
  <c r="D68" i="9"/>
  <c r="F30" i="68"/>
  <c r="F52" i="9"/>
  <c r="F32" i="15"/>
  <c r="F60" i="15" s="1"/>
  <c r="F54" i="9"/>
  <c r="F30" i="11"/>
  <c r="M18" i="67"/>
  <c r="M18" i="15"/>
  <c r="F11" i="81"/>
  <c r="M11" i="81"/>
  <c r="J10" i="81" s="1"/>
  <c r="J5" i="81" s="1"/>
  <c r="E336" i="3"/>
  <c r="E382" i="3"/>
  <c r="E117" i="3"/>
  <c r="E415" i="3"/>
  <c r="E294" i="3"/>
  <c r="E551" i="3"/>
  <c r="E229" i="3"/>
  <c r="AJ6" i="3"/>
  <c r="F65" i="67"/>
  <c r="F68" i="67"/>
  <c r="F51" i="67"/>
  <c r="M59" i="67"/>
  <c r="N59" i="67"/>
  <c r="L58" i="67"/>
  <c r="Q73" i="67" s="1"/>
  <c r="L59" i="67"/>
  <c r="Q74" i="67" s="1"/>
  <c r="F50" i="67"/>
  <c r="M7" i="67"/>
  <c r="J6" i="67" s="1"/>
  <c r="J18" i="67" s="1"/>
  <c r="F71" i="67"/>
  <c r="F66" i="67"/>
  <c r="F31" i="67"/>
  <c r="C6" i="67"/>
  <c r="C32" i="67" s="1"/>
  <c r="F64" i="67"/>
  <c r="C27" i="67"/>
  <c r="Q71" i="67"/>
  <c r="L56" i="67"/>
  <c r="I54" i="67"/>
  <c r="J53" i="67"/>
  <c r="Q52" i="67" s="1"/>
  <c r="J57" i="67"/>
  <c r="J55" i="67" s="1"/>
  <c r="J58" i="67" s="1"/>
  <c r="Q50" i="67" s="1"/>
  <c r="Q16" i="1"/>
  <c r="F27" i="69" s="1"/>
  <c r="C47" i="69" s="1"/>
  <c r="D45" i="69" s="1"/>
  <c r="M6" i="1"/>
  <c r="K16" i="1"/>
  <c r="E480" i="3"/>
  <c r="AM6" i="3"/>
  <c r="E331" i="3"/>
  <c r="E295" i="3"/>
  <c r="E126" i="3"/>
  <c r="E27" i="3"/>
  <c r="E476" i="3"/>
  <c r="E505" i="3"/>
  <c r="E414" i="3"/>
  <c r="E515" i="3"/>
  <c r="E107" i="3"/>
  <c r="E269" i="3"/>
  <c r="E567" i="3"/>
  <c r="E318" i="3"/>
  <c r="E279" i="3"/>
  <c r="E111" i="3"/>
  <c r="E433" i="3"/>
  <c r="E571" i="3"/>
  <c r="E457" i="3"/>
  <c r="E458" i="3"/>
  <c r="E519" i="3"/>
  <c r="E45" i="3"/>
  <c r="E511" i="3"/>
  <c r="E85" i="3"/>
  <c r="E253" i="3"/>
  <c r="E435" i="3"/>
  <c r="E544" i="3"/>
  <c r="E371" i="3"/>
  <c r="E264" i="3"/>
  <c r="E152" i="3"/>
  <c r="E233" i="3"/>
  <c r="E556" i="3"/>
  <c r="E332" i="3"/>
  <c r="E220" i="3"/>
  <c r="E102" i="3"/>
  <c r="E64" i="3"/>
  <c r="E392" i="3"/>
  <c r="E24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E509" i="3"/>
  <c r="E508" i="3"/>
  <c r="E282" i="3"/>
  <c r="E526" i="3"/>
  <c r="E175" i="3"/>
  <c r="E29" i="3"/>
  <c r="E384" i="3"/>
  <c r="E316" i="3"/>
  <c r="E272" i="3"/>
  <c r="E162" i="3"/>
  <c r="E71" i="3"/>
  <c r="E403" i="3"/>
  <c r="E367" i="3"/>
  <c r="E548" i="3"/>
  <c r="U6" i="3"/>
  <c r="E145" i="3"/>
  <c r="E196" i="3"/>
  <c r="E93" i="3"/>
  <c r="E357" i="3"/>
  <c r="E208" i="3"/>
  <c r="E54" i="3"/>
  <c r="E471" i="3"/>
  <c r="W6" i="3"/>
  <c r="E438" i="3"/>
  <c r="E529" i="3"/>
  <c r="E313" i="3"/>
  <c r="E157" i="3"/>
  <c r="E352" i="3"/>
  <c r="E461" i="3"/>
  <c r="E173" i="3"/>
  <c r="E56" i="3"/>
  <c r="E484" i="3"/>
  <c r="E84" i="3"/>
  <c r="E21" i="3"/>
  <c r="E76" i="3"/>
  <c r="E283" i="3"/>
  <c r="E452" i="3"/>
  <c r="E42" i="3"/>
  <c r="E383" i="3"/>
  <c r="E287" i="3"/>
  <c r="E144" i="3"/>
  <c r="L6" i="3"/>
  <c r="E49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388" i="3"/>
  <c r="N6" i="3"/>
  <c r="E268" i="3"/>
  <c r="E530" i="3"/>
  <c r="E125" i="3"/>
  <c r="E44" i="3"/>
  <c r="E334" i="3"/>
  <c r="E291" i="3"/>
  <c r="E186" i="3"/>
  <c r="E121" i="3"/>
  <c r="E447" i="3"/>
  <c r="AS6" i="3"/>
  <c r="E477" i="3"/>
  <c r="E478" i="3"/>
  <c r="E585" i="3"/>
  <c r="E271" i="3"/>
  <c r="E549" i="3"/>
  <c r="E31" i="3"/>
  <c r="E351" i="3"/>
  <c r="E150" i="3"/>
  <c r="E72" i="3"/>
  <c r="E450" i="3"/>
  <c r="E562" i="3"/>
  <c r="E527" i="3"/>
  <c r="E573" i="3"/>
  <c r="E193" i="3"/>
  <c r="E99" i="3"/>
  <c r="E314" i="3"/>
  <c r="E453" i="3"/>
  <c r="E541" i="3"/>
  <c r="E132" i="3"/>
  <c r="E46" i="3"/>
  <c r="E184" i="3"/>
  <c r="E430" i="3"/>
  <c r="E103" i="3"/>
  <c r="E369" i="3"/>
  <c r="E104" i="3"/>
  <c r="E482" i="3"/>
  <c r="E86" i="3"/>
  <c r="E456" i="3"/>
  <c r="E524" i="3"/>
  <c r="E158" i="3"/>
  <c r="E165" i="3"/>
  <c r="E110" i="3"/>
  <c r="E148" i="3"/>
  <c r="E419" i="3"/>
  <c r="E15" i="3"/>
  <c r="E112" i="3"/>
  <c r="E62" i="3"/>
  <c r="E513" i="3"/>
  <c r="E23" i="3"/>
  <c r="E409" i="3"/>
  <c r="E37" i="3"/>
  <c r="E140" i="3"/>
  <c r="E113" i="3"/>
  <c r="E49" i="3"/>
  <c r="E235" i="3"/>
  <c r="E18" i="3"/>
  <c r="E356" i="3"/>
  <c r="E115" i="3"/>
  <c r="E13" i="3"/>
  <c r="E405" i="3"/>
  <c r="E63" i="3"/>
  <c r="E267" i="3"/>
  <c r="E241" i="3"/>
  <c r="AP6" i="3"/>
  <c r="E309" i="3"/>
  <c r="E355" i="3"/>
  <c r="E492" i="3"/>
  <c r="E160" i="3"/>
  <c r="E59" i="3"/>
  <c r="E258" i="3"/>
  <c r="E417" i="3"/>
  <c r="E449"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421" i="3"/>
  <c r="E163" i="3"/>
  <c r="E442" i="3"/>
  <c r="E25" i="3"/>
  <c r="E170" i="3"/>
  <c r="E123" i="3"/>
  <c r="E176" i="3"/>
  <c r="E118" i="3"/>
  <c r="E300" i="3"/>
  <c r="E389" i="3"/>
  <c r="E491" i="3"/>
  <c r="E83" i="3"/>
  <c r="E324" i="3"/>
  <c r="E413" i="3"/>
  <c r="E48" i="3"/>
  <c r="E105" i="3"/>
  <c r="E242" i="3"/>
  <c r="E219" i="3"/>
  <c r="E340" i="3"/>
  <c r="E365" i="3"/>
  <c r="E381" i="3"/>
  <c r="E142" i="3"/>
  <c r="E363" i="3"/>
  <c r="E255" i="3"/>
  <c r="E326" i="3"/>
  <c r="E370" i="3"/>
  <c r="E522" i="3"/>
  <c r="E190" i="3"/>
  <c r="E75" i="3"/>
  <c r="E281" i="3"/>
  <c r="E420" i="3"/>
  <c r="E451" i="3"/>
  <c r="E296" i="3"/>
  <c r="E67" i="3"/>
  <c r="E425" i="3"/>
  <c r="E479" i="3"/>
  <c r="E525" i="3"/>
  <c r="E81" i="3"/>
  <c r="E33" i="3"/>
  <c r="E249" i="3"/>
  <c r="E467" i="3"/>
  <c r="E349" i="3"/>
  <c r="E95" i="3"/>
  <c r="E554" i="3"/>
  <c r="T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239" i="3"/>
  <c r="E322" i="3"/>
  <c r="E343" i="3"/>
  <c r="E366" i="3"/>
  <c r="E441" i="3"/>
  <c r="E30" i="3"/>
  <c r="E317" i="3"/>
  <c r="E210" i="3"/>
  <c r="E166" i="3"/>
  <c r="E92" i="3"/>
  <c r="E546" i="3"/>
  <c r="E547" i="3"/>
  <c r="E432" i="3"/>
  <c r="E411" i="3"/>
  <c r="E379" i="3"/>
  <c r="E207" i="3"/>
  <c r="E397" i="3"/>
  <c r="E14" i="3"/>
  <c r="E257" i="3"/>
  <c r="E168" i="3"/>
  <c r="E475" i="3"/>
  <c r="E537" i="3"/>
  <c r="E288" i="3"/>
  <c r="E474" i="3"/>
  <c r="E532" i="3"/>
  <c r="E224" i="3"/>
  <c r="E306" i="3"/>
  <c r="E136" i="3"/>
  <c r="E122" i="3"/>
  <c r="I3" i="6"/>
  <c r="E292" i="3"/>
  <c r="E200" i="3"/>
  <c r="E68" i="3"/>
  <c r="E517" i="3"/>
  <c r="E310" i="3"/>
  <c r="E512" i="3"/>
  <c r="E139" i="3"/>
  <c r="E78" i="3"/>
  <c r="E232" i="3"/>
  <c r="E192" i="3"/>
  <c r="E364" i="3"/>
  <c r="E179" i="3"/>
  <c r="E101" i="3"/>
  <c r="E218" i="3"/>
  <c r="E50" i="3"/>
  <c r="E147" i="3"/>
  <c r="E52" i="3"/>
  <c r="E339" i="3"/>
  <c r="E194" i="3"/>
  <c r="E38" i="3"/>
  <c r="E43" i="3"/>
  <c r="E346" i="3"/>
  <c r="E119" i="3"/>
  <c r="E401" i="3"/>
  <c r="E376" i="3"/>
  <c r="E543" i="3"/>
  <c r="E16" i="3"/>
  <c r="E575" i="3"/>
  <c r="E539" i="3"/>
  <c r="E284" i="3"/>
  <c r="E386" i="3"/>
  <c r="E98" i="3"/>
  <c r="E348" i="3"/>
  <c r="E90" i="3"/>
  <c r="E374" i="3"/>
  <c r="E141" i="3"/>
  <c r="E428" i="3"/>
  <c r="E391" i="3"/>
  <c r="AQ6" i="3"/>
  <c r="E299" i="3"/>
  <c r="E137" i="3"/>
  <c r="E455" i="3"/>
  <c r="E60" i="3"/>
  <c r="E276" i="3"/>
  <c r="E108" i="3"/>
  <c r="E483" i="3"/>
  <c r="E440" i="3"/>
  <c r="E393" i="3"/>
  <c r="E329" i="3"/>
  <c r="E286" i="3"/>
  <c r="E222" i="3"/>
  <c r="E127" i="3"/>
  <c r="E307" i="3"/>
  <c r="E521" i="3"/>
  <c r="E259" i="3"/>
  <c r="E520" i="3"/>
  <c r="E487" i="3"/>
  <c r="E167" i="3"/>
  <c r="E35" i="3"/>
  <c r="E80" i="3"/>
  <c r="E265" i="3"/>
  <c r="E20" i="3"/>
  <c r="E289" i="3"/>
  <c r="E36" i="3"/>
  <c r="E325" i="3"/>
  <c r="E234" i="3"/>
  <c r="E100" i="3"/>
  <c r="E473" i="3"/>
  <c r="E333" i="3"/>
  <c r="E202" i="3"/>
  <c r="E40" i="3"/>
  <c r="AH6" i="3"/>
  <c r="E427" i="3"/>
  <c r="E116" i="3"/>
  <c r="R6" i="3"/>
  <c r="E536" i="3"/>
  <c r="E51" i="3"/>
  <c r="E354" i="3"/>
  <c r="E138" i="3"/>
  <c r="E58" i="3"/>
  <c r="E57" i="3"/>
  <c r="E566" i="3"/>
  <c r="E552" i="3"/>
  <c r="E26" i="3"/>
  <c r="E41" i="3"/>
  <c r="E469" i="3"/>
  <c r="E79" i="3"/>
  <c r="E540" i="3"/>
  <c r="E372" i="3"/>
  <c r="E226" i="3"/>
  <c r="E178" i="3"/>
  <c r="E463" i="3"/>
  <c r="J6" i="3"/>
  <c r="E422" i="3"/>
  <c r="E564" i="3"/>
  <c r="E188" i="3"/>
  <c r="E502" i="3"/>
  <c r="E199" i="3"/>
  <c r="E323" i="3"/>
  <c r="Y6" i="3"/>
  <c r="E24" i="3"/>
  <c r="E248" i="3"/>
  <c r="E446" i="3"/>
  <c r="E504" i="3"/>
  <c r="E187" i="3"/>
  <c r="E460" i="3"/>
  <c r="E416" i="3"/>
  <c r="E312" i="3"/>
  <c r="E510" i="3"/>
  <c r="AF6" i="3"/>
  <c r="E34" i="3"/>
  <c r="E96" i="3"/>
  <c r="M7" i="15"/>
  <c r="J6" i="15" s="1"/>
  <c r="J18" i="15" s="1"/>
  <c r="F50" i="15"/>
  <c r="C27" i="15"/>
  <c r="F66" i="15"/>
  <c r="J53" i="15"/>
  <c r="L56" i="15" s="1"/>
  <c r="I54" i="15"/>
  <c r="J57" i="15"/>
  <c r="J55" i="15" s="1"/>
  <c r="J58" i="15" s="1"/>
  <c r="Q50" i="15" s="1"/>
  <c r="F31" i="15"/>
  <c r="C6" i="15"/>
  <c r="C32" i="15" s="1"/>
  <c r="Q71" i="15"/>
  <c r="F71" i="15"/>
  <c r="F51" i="15"/>
  <c r="F68" i="15"/>
  <c r="F65" i="15"/>
  <c r="N59" i="15"/>
  <c r="L59" i="15"/>
  <c r="Q74" i="15" s="1"/>
  <c r="L58" i="15"/>
  <c r="Q60" i="15" s="1"/>
  <c r="M59" i="15"/>
  <c r="F64" i="15"/>
  <c r="E198" i="3"/>
  <c r="E498" i="3"/>
  <c r="E490" i="3"/>
  <c r="E486" i="3"/>
  <c r="E493" i="3"/>
  <c r="E223" i="3"/>
  <c r="E466" i="3"/>
  <c r="E499" i="3"/>
  <c r="E212" i="3"/>
  <c r="E82" i="3"/>
  <c r="E19" i="3"/>
  <c r="E250" i="3"/>
  <c r="E66" i="3"/>
  <c r="E209" i="3"/>
  <c r="E65" i="3"/>
  <c r="E462" i="3"/>
  <c r="E378" i="3"/>
  <c r="E155" i="3"/>
  <c r="E39" i="3"/>
  <c r="E500" i="3"/>
  <c r="E398" i="3"/>
  <c r="E542" i="3"/>
  <c r="E244" i="3"/>
  <c r="E243" i="3"/>
  <c r="E22" i="3"/>
  <c r="E275" i="3"/>
  <c r="AL6" i="3"/>
  <c r="E206" i="3"/>
  <c r="E373" i="3"/>
  <c r="E154" i="3"/>
  <c r="E341" i="3"/>
  <c r="E87" i="3"/>
  <c r="E584" i="3"/>
  <c r="E266" i="3"/>
  <c r="E195" i="3"/>
  <c r="E47" i="3"/>
  <c r="E488" i="3"/>
  <c r="E375" i="3"/>
  <c r="E297" i="3"/>
  <c r="E131" i="3"/>
  <c r="E436" i="3"/>
  <c r="E582" i="3"/>
  <c r="E459" i="3"/>
  <c r="E464" i="3"/>
  <c r="AD6" i="3"/>
  <c r="E149" i="3"/>
  <c r="E360" i="3"/>
  <c r="E174" i="3"/>
  <c r="E534" i="3"/>
  <c r="E412" i="3"/>
  <c r="E494" i="3"/>
  <c r="E59" i="40"/>
  <c r="E197" i="3"/>
  <c r="E470" i="3"/>
  <c r="E342" i="3"/>
  <c r="E408" i="3"/>
  <c r="E129" i="3"/>
  <c r="E225" i="3"/>
  <c r="E251" i="3"/>
  <c r="E94" i="3"/>
  <c r="E308" i="3"/>
  <c r="P6" i="1"/>
  <c r="C13" i="12"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J10" i="40"/>
  <c r="AC10" i="40" s="1"/>
  <c r="H10" i="39"/>
  <c r="U10" i="39" s="1"/>
  <c r="F10" i="40"/>
  <c r="S10" i="40" s="1"/>
  <c r="J10" i="39"/>
  <c r="W10" i="39" s="1"/>
  <c r="H10" i="40"/>
  <c r="AB10" i="40" s="1"/>
  <c r="C7" i="43"/>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F1" i="67"/>
  <c r="AE11" i="1"/>
  <c r="AE9" i="1"/>
  <c r="F27" i="68"/>
  <c r="AE8" i="1"/>
  <c r="AE12" i="1"/>
  <c r="AE10" i="1"/>
  <c r="C16" i="15"/>
  <c r="AE7" i="1"/>
  <c r="F41" i="81"/>
  <c r="F41" i="67"/>
  <c r="H6" i="3" l="1"/>
  <c r="E19" i="43"/>
  <c r="B29" i="1"/>
  <c r="C8" i="68" s="1"/>
  <c r="O6" i="1"/>
  <c r="Q61" i="67"/>
  <c r="C48" i="11"/>
  <c r="C30" i="11"/>
  <c r="F48" i="68"/>
  <c r="C30" i="68"/>
  <c r="C48" i="68"/>
  <c r="F60" i="81"/>
  <c r="C32" i="81"/>
  <c r="F45" i="69"/>
  <c r="F48" i="69"/>
  <c r="C30" i="69"/>
  <c r="C48" i="69"/>
  <c r="M17" i="67"/>
  <c r="C29" i="69"/>
  <c r="D27" i="69" s="1"/>
  <c r="J5" i="67"/>
  <c r="J24" i="67" s="1"/>
  <c r="Q60" i="67"/>
  <c r="F69" i="81"/>
  <c r="J24" i="81"/>
  <c r="J26" i="81"/>
  <c r="J29" i="81" s="1"/>
  <c r="L36" i="43"/>
  <c r="P36" i="43" s="1"/>
  <c r="F24" i="81"/>
  <c r="C53" i="81"/>
  <c r="C48" i="81" s="1"/>
  <c r="C10" i="81"/>
  <c r="C5" i="81" s="1"/>
  <c r="F59" i="67"/>
  <c r="M17" i="15"/>
  <c r="C49" i="67"/>
  <c r="F59" i="15"/>
  <c r="Q73" i="15"/>
  <c r="J5" i="15"/>
  <c r="J24" i="15" s="1"/>
  <c r="F1" i="15"/>
  <c r="C49" i="15"/>
  <c r="Q61" i="15"/>
  <c r="AC6" i="3"/>
  <c r="E6" i="3" s="1"/>
  <c r="Q52" i="15"/>
  <c r="E65" i="39"/>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AE6" i="1"/>
  <c r="M27" i="15"/>
  <c r="M27" i="67"/>
  <c r="F41" i="15"/>
  <c r="G19" i="43" l="1"/>
  <c r="G17" i="43" s="1"/>
  <c r="O16" i="1"/>
  <c r="L37" i="43"/>
  <c r="O37" i="43" s="1"/>
  <c r="E18" i="43"/>
  <c r="G18" i="43" s="1"/>
  <c r="E17" i="43" s="1"/>
  <c r="C17" i="43" s="1"/>
  <c r="O36" i="43"/>
  <c r="Q36" i="43"/>
  <c r="N36" i="43"/>
  <c r="M36" i="43"/>
  <c r="C48" i="67"/>
  <c r="C66" i="67" s="1"/>
  <c r="C38" i="81"/>
  <c r="C66" i="81"/>
  <c r="C60" i="81"/>
  <c r="C24" i="81"/>
  <c r="C48" i="15"/>
  <c r="C66" i="15"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9"/>
  <c r="C34" i="69"/>
  <c r="D10" i="68"/>
  <c r="C17" i="81"/>
  <c r="C17" i="15"/>
  <c r="C17" i="67"/>
  <c r="C14" i="67"/>
  <c r="E7" i="70" l="1"/>
  <c r="D5" i="43"/>
  <c r="C41" i="43" s="1"/>
  <c r="C5" i="43"/>
  <c r="Q37" i="43"/>
  <c r="M37" i="43"/>
  <c r="N37" i="43"/>
  <c r="P37" i="43"/>
  <c r="C60" i="15"/>
  <c r="C60" i="67"/>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F35" i="81"/>
  <c r="M21" i="81"/>
  <c r="C14" i="15"/>
  <c r="C40" i="43" l="1"/>
  <c r="E40" i="43" s="1"/>
  <c r="C39" i="43"/>
  <c r="G39" i="43" s="1"/>
  <c r="I39" i="43" s="1"/>
  <c r="C37" i="43"/>
  <c r="E37" i="43" s="1"/>
  <c r="C38" i="43"/>
  <c r="G38" i="43" s="1"/>
  <c r="I38" i="43" s="1"/>
  <c r="C42" i="43"/>
  <c r="E42" i="43" s="1"/>
  <c r="T11" i="43"/>
  <c r="V11" i="43" s="1"/>
  <c r="T14" i="43"/>
  <c r="V14" i="43" s="1"/>
  <c r="T4" i="43"/>
  <c r="V4" i="43" s="1"/>
  <c r="T5" i="43"/>
  <c r="V5" i="43" s="1"/>
  <c r="T9" i="43"/>
  <c r="V9" i="43" s="1"/>
  <c r="T12" i="43"/>
  <c r="V12" i="43" s="1"/>
  <c r="T3" i="43"/>
  <c r="V3" i="43" s="1"/>
  <c r="T15" i="43"/>
  <c r="V15" i="43" s="1"/>
  <c r="T7" i="43"/>
  <c r="V7" i="43" s="1"/>
  <c r="T10" i="43"/>
  <c r="V10" i="43" s="1"/>
  <c r="T2" i="43"/>
  <c r="V2" i="43" s="1"/>
  <c r="T13" i="43"/>
  <c r="V13" i="43" s="1"/>
  <c r="T16" i="43"/>
  <c r="V16" i="43" s="1"/>
  <c r="T8" i="43"/>
  <c r="V8" i="43" s="1"/>
  <c r="T6" i="43"/>
  <c r="V6" i="43" s="1"/>
  <c r="C18" i="81"/>
  <c r="C15" i="81"/>
  <c r="G41" i="43"/>
  <c r="I41" i="43" s="1"/>
  <c r="E41" i="43"/>
  <c r="G40" i="43"/>
  <c r="I40" i="43" s="1"/>
  <c r="G37" i="43"/>
  <c r="I37" i="43" s="1"/>
  <c r="J20" i="81"/>
  <c r="J17" i="81" s="1"/>
  <c r="F63" i="81"/>
  <c r="C62" i="81" s="1"/>
  <c r="C59" i="81" s="1"/>
  <c r="C34" i="81"/>
  <c r="C31"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9" l="1"/>
  <c r="G3" i="43"/>
  <c r="E39" i="43"/>
  <c r="G42" i="43"/>
  <c r="I42" i="43" s="1"/>
  <c r="E38" i="43"/>
  <c r="C19" i="81"/>
  <c r="C20" i="81" s="1"/>
  <c r="C26" i="81"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J11" i="39" l="1"/>
  <c r="F11" i="39"/>
  <c r="H11" i="39"/>
  <c r="J26" i="43"/>
  <c r="E26" i="43"/>
  <c r="N94" i="46"/>
  <c r="Z7" i="43"/>
  <c r="N370" i="46"/>
  <c r="H26" i="43"/>
  <c r="F26" i="43"/>
  <c r="G26" i="43"/>
  <c r="B116" i="43"/>
  <c r="C23" i="81"/>
  <c r="C29" i="8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I121" i="43" l="1"/>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AB11" i="39"/>
  <c r="U11" i="39"/>
  <c r="AA11" i="39"/>
  <c r="S11" i="39"/>
  <c r="D26" i="43"/>
  <c r="C25" i="43" s="1"/>
  <c r="W11" i="39"/>
  <c r="AC11" i="39"/>
  <c r="J14" i="81"/>
  <c r="C13" i="81"/>
  <c r="Q49" i="81"/>
  <c r="J59" i="81"/>
  <c r="J60" i="81" s="1"/>
  <c r="C57" i="81"/>
  <c r="C64" i="81" s="1"/>
  <c r="C36" i="81"/>
  <c r="L57" i="81"/>
  <c r="L60" i="81" s="1"/>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8" i="43" l="1"/>
  <c r="D116" i="43"/>
  <c r="C33" i="43"/>
  <c r="Q48" i="81"/>
  <c r="L46" i="81"/>
  <c r="C37" i="81"/>
  <c r="C30" i="81" s="1"/>
  <c r="C39" i="81" s="1"/>
  <c r="Q70" i="81"/>
  <c r="C75" i="81"/>
  <c r="C56" i="81"/>
  <c r="C65" i="81" s="1"/>
  <c r="C58" i="81" s="1"/>
  <c r="C67" i="81" s="1"/>
  <c r="C68" i="81" s="1"/>
  <c r="J22" i="81"/>
  <c r="J13" i="81"/>
  <c r="J23" i="81" s="1"/>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34" i="43" l="1"/>
  <c r="E34" i="43" s="1"/>
  <c r="C31" i="43" s="1"/>
  <c r="E33" i="43"/>
  <c r="C30" i="43" s="1"/>
  <c r="Q67" i="81"/>
  <c r="C71" i="81"/>
  <c r="Q69" i="81"/>
  <c r="Q68" i="81" s="1"/>
  <c r="C40" i="81"/>
  <c r="C46" i="81" s="1"/>
  <c r="C80" i="81"/>
  <c r="C79" i="81" s="1"/>
  <c r="J16" i="81"/>
  <c r="J25"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D2" i="33"/>
  <c r="L51" i="67"/>
  <c r="E2" i="76" l="1"/>
  <c r="B2" i="43"/>
  <c r="Q65" i="81"/>
  <c r="Q75" i="81" s="1"/>
  <c r="Q47" i="81"/>
  <c r="Q53" i="81" s="1"/>
  <c r="C43" i="81"/>
  <c r="B2" i="81"/>
  <c r="B3" i="81" s="1"/>
  <c r="Q56" i="81"/>
  <c r="Q62" i="81" s="1"/>
  <c r="C83" i="81"/>
  <c r="C82"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4"/>
  <c r="D2" i="37"/>
  <c r="D2" i="35"/>
  <c r="L51" i="15"/>
  <c r="D2" i="36"/>
  <c r="B2" i="76" l="1"/>
  <c r="B3" i="76" s="1"/>
  <c r="B3"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9" i="1"/>
  <c r="AO12" i="1"/>
  <c r="AO7" i="1"/>
  <c r="AO11" i="1"/>
  <c r="AO6" i="1"/>
  <c r="AO8"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E14" i="74"/>
  <c r="F14" i="74"/>
  <c r="B5" i="74"/>
  <c r="D5" i="74" s="1"/>
  <c r="C28" i="68" l="1"/>
  <c r="C27" i="68" s="1"/>
  <c r="C25" i="68"/>
  <c r="C22" i="68" s="1"/>
  <c r="B6" i="74"/>
  <c r="D6" i="74" s="1"/>
  <c r="C31" i="68" l="1"/>
  <c r="C52" i="68" s="1"/>
  <c r="B2" i="68" s="1"/>
  <c r="C19" i="9"/>
  <c r="C57" i="68" l="1"/>
  <c r="C56" i="68" s="1"/>
  <c r="C102" i="9"/>
  <c r="C21" i="9"/>
  <c r="G19" i="9"/>
  <c r="G21" i="9" s="1"/>
  <c r="D22" i="9"/>
  <c r="B3" i="68"/>
  <c r="D35" i="9"/>
  <c r="D34" i="9"/>
  <c r="C20" i="9"/>
  <c r="C103" i="9" l="1"/>
  <c r="G20" i="9"/>
  <c r="C32" i="9" s="1"/>
  <c r="C35" i="9" s="1"/>
  <c r="C34" i="9" s="1"/>
  <c r="D118" i="9" s="1"/>
  <c r="H118" i="9" l="1"/>
  <c r="H101" i="9" s="1"/>
  <c r="M48" i="9" s="1"/>
  <c r="F118" i="9"/>
  <c r="F119" i="9" s="1"/>
  <c r="F5" i="52" s="1"/>
  <c r="B53" i="72" s="1"/>
  <c r="D4" i="52"/>
  <c r="B47" i="72" s="1"/>
  <c r="D119" i="9"/>
  <c r="D5" i="52" s="1"/>
  <c r="B49" i="72" s="1"/>
  <c r="I118" i="9" l="1"/>
  <c r="C105" i="9" s="1"/>
  <c r="D5" i="53"/>
  <c r="B20" i="72" s="1"/>
  <c r="H4" i="52"/>
  <c r="D45" i="9"/>
  <c r="D53" i="9" s="1"/>
  <c r="H119" i="9"/>
  <c r="H5" i="52" s="1"/>
  <c r="H107" i="9"/>
  <c r="D13" i="53" s="1"/>
  <c r="G118" i="9"/>
  <c r="G4" i="52" s="1"/>
  <c r="B52" i="72" s="1"/>
  <c r="C104" i="9"/>
  <c r="F4" i="52"/>
  <c r="B51" i="72" s="1"/>
  <c r="D6" i="53" l="1"/>
  <c r="B22" i="72" s="1"/>
  <c r="H102" i="9"/>
  <c r="C5" i="74" s="1"/>
  <c r="I4" i="52"/>
  <c r="D55" i="9"/>
  <c r="M53" i="9" s="1"/>
  <c r="C85" i="9"/>
  <c r="C64" i="9"/>
  <c r="C63" i="9" s="1"/>
  <c r="C67" i="9" s="1"/>
  <c r="C68" i="9" s="1"/>
  <c r="D54" i="9" s="1"/>
  <c r="C72" i="9"/>
  <c r="C93" i="9"/>
  <c r="C86" i="9" s="1"/>
  <c r="C78" i="9"/>
  <c r="C73" i="9" s="1"/>
  <c r="D52" i="9"/>
  <c r="E118" i="9"/>
  <c r="E4" i="52" s="1"/>
  <c r="B48" i="72" s="1"/>
  <c r="D122" i="9"/>
  <c r="D8" i="52" s="1"/>
  <c r="B30" i="72"/>
  <c r="D14" i="53"/>
  <c r="B32" i="72" s="1"/>
  <c r="H108" i="9" l="1"/>
  <c r="C6" i="74" s="1"/>
  <c r="D7" i="53"/>
  <c r="B21" i="72" s="1"/>
  <c r="C95" i="9"/>
  <c r="C96" i="9" s="1"/>
  <c r="E96" i="9" s="1"/>
  <c r="E97" i="9" s="1"/>
  <c r="C79" i="9"/>
  <c r="C80" i="9" s="1"/>
  <c r="E80" i="9" s="1"/>
  <c r="E81" i="9" s="1"/>
  <c r="D59" i="9"/>
  <c r="M55" i="9" s="1"/>
  <c r="D123" i="9"/>
  <c r="D9" i="52" s="1"/>
  <c r="D15" i="53" l="1"/>
  <c r="B31" i="72" s="1"/>
  <c r="C97" i="9"/>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<sst xmlns="http://schemas.openxmlformats.org/spreadsheetml/2006/main" count="8693" uniqueCount="3611">
  <si>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</si>
  <si>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</si>
  <si>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</si>
  <si>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</si>
  <si>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</si>
  <si>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</si>
  <si>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</si>
  <si>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</si>
  <si>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</si>
  <si>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</si>
  <si>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</si>
  <si>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</si>
  <si>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</si>
  <si>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</si>
  <si>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</si>
  <si>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</si>
  <si>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</si>
  <si>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</si>
  <si>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</si>
  <si>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</si>
  <si>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</si>
  <si>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</si>
  <si>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</si>
  <si>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</si>
  <si>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</si>
  <si>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</si>
  <si>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</si>
  <si>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</si>
  <si>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</si>
  <si>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</si>
  <si>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</si>
  <si>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</si>
  <si>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</si>
  <si>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</si>
  <si>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</si>
  <si>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</si>
  <si>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</si>
  <si>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</si>
  <si>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</si>
  <si>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</si>
  <si>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</si>
  <si>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</si>
  <si>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</si>
  <si>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</si>
  <si>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</si>
  <si>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</si>
  <si>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</si>
  <si>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</si>
  <si>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</si>
  <si>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</si>
  <si>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</si>
  <si>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</si>
  <si>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</si>
  <si>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</si>
  <si>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</si>
  <si>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</si>
  <si>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</si>
  <si>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</si>
  <si>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</si>
  <si>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</si>
  <si>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</si>
  <si>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</si>
  <si>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</si>
  <si>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</si>
  <si>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</si>
  <si>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</si>
  <si>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</si>
  <si>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</si>
  <si>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</si>
  <si>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</si>
  <si>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</si>
  <si>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</si>
  <si>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</si>
  <si>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</si>
  <si>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</si>
  <si>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</si>
  <si>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</si>
  <si>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</si>
  <si>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</si>
  <si>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</si>
  <si>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</si>
  <si>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</si>
  <si>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</si>
  <si>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</si>
  <si>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</si>
  <si>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</si>
  <si>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</si>
  <si>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</si>
  <si>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</si>
  <si>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</si>
  <si>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</si>
  <si>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</si>
  <si>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</si>
  <si>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</si>
  <si>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</si>
  <si>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</si>
  <si>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</si>
  <si>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</si>
  <si>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</si>
  <si>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</si>
  <si>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</si>
  <si>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</si>
  <si>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</si>
  <si>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</si>
  <si>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</si>
  <si>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</si>
  <si>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</si>
  <si>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</si>
  <si>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</si>
  <si>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</si>
  <si>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</si>
  <si>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</si>
  <si>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</si>
  <si>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</si>
  <si>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</si>
  <si>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</si>
  <si>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</si>
  <si>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</si>
  <si>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</si>
  <si>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</si>
  <si>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</si>
  <si>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</si>
  <si>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</si>
  <si>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</si>
  <si>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</si>
  <si>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</si>
  <si>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</si>
  <si>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</si>
  <si>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</si>
  <si>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</si>
  <si>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</si>
  <si>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</si>
  <si>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</si>
  <si>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</si>
  <si>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</si>
  <si>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</si>
  <si>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</si>
  <si>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</si>
  <si>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</si>
  <si>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</si>
  <si>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</si>
  <si>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</si>
  <si>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</si>
  <si>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</si>
  <si>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</si>
  <si>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</si>
  <si>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</si>
  <si>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</si>
  <si>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</si>
  <si>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</si>
  <si>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</si>
  <si>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</si>
  <si>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</si>
  <si>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</si>
  <si>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</si>
  <si>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</si>
  <si>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</si>
  <si>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</si>
  <si>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</si>
  <si>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</si>
  <si>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</si>
  <si>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</si>
  <si>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</si>
  <si>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</si>
  <si>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</si>
  <si>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</si>
  <si>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</si>
  <si>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</si>
  <si>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</si>
  <si>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</si>
  <si>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</si>
  <si>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</si>
  <si>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</si>
  <si>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</si>
  <si>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</si>
  <si>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</si>
  <si>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</si>
  <si>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</si>
  <si>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</si>
  <si>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</si>
  <si>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</si>
  <si>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</si>
  <si>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</si>
  <si>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</si>
  <si>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</si>
  <si>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</si>
  <si>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</si>
  <si>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</si>
  <si>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</si>
  <si>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</si>
  <si>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</si>
  <si>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</si>
  <si>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</si>
  <si>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</si>
  <si>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</si>
  <si>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</si>
  <si>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</si>
  <si>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</si>
  <si>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</si>
  <si>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</si>
  <si>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</si>
  <si>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</si>
  <si>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</si>
  <si>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</si>
  <si>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</si>
  <si>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</si>
  <si>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</si>
  <si>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</si>
  <si>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</si>
  <si>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</si>
  <si>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</si>
  <si>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</si>
  <si>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</si>
  <si>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</si>
  <si>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</si>
  <si>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</si>
  <si>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</si>
  <si>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</si>
  <si>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</si>
  <si>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</si>
  <si>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</si>
  <si>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</si>
  <si>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</si>
  <si>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</si>
  <si>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</si>
  <si>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</si>
  <si>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</si>
  <si>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</si>
  <si>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</si>
  <si>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</si>
  <si>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</si>
  <si>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</si>
  <si>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</si>
  <si>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</si>
  <si>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</si>
  <si>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</si>
  <si>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</si>
  <si>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</si>
  <si>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</si>
  <si>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</si>
  <si>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</si>
  <si>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</si>
  <si>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</si>
  <si>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</si>
  <si>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</si>
  <si>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</si>
  <si>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</si>
  <si>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</si>
  <si>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</si>
  <si>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</si>
  <si>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</si>
  <si>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</si>
  <si>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</si>
  <si>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</si>
  <si>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</si>
  <si>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</si>
  <si>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</si>
  <si>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</si>
  <si>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</si>
  <si>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</si>
  <si>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</si>
  <si>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</si>
  <si>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</si>
  <si>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</si>
  <si>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</si>
  <si>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</si>
  <si>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</si>
  <si>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</si>
  <si>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</si>
  <si>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</si>
  <si>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</si>
  <si>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</si>
  <si>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</si>
  <si>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</si>
  <si>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</si>
  <si>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</si>
  <si>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</si>
  <si>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</si>
  <si>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</si>
  <si>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</si>
  <si>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</si>
  <si>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</si>
  <si>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</si>
  <si>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</si>
  <si>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</si>
  <si>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</si>
  <si>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</si>
  <si>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</si>
  <si>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</si>
  <si>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</si>
  <si>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</si>
  <si>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</si>
  <si>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</si>
  <si>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</si>
  <si>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</si>
  <si>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</si>
  <si>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</si>
  <si>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</si>
  <si>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</si>
  <si>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</si>
  <si>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</si>
  <si>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</si>
  <si>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</si>
  <si>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</si>
  <si>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</si>
  <si>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</si>
  <si>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</si>
  <si>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</si>
  <si>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</si>
  <si>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</si>
  <si>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</si>
  <si>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</si>
  <si>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</si>
  <si>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</si>
  <si>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</si>
  <si>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</si>
  <si>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</si>
  <si>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</si>
  <si>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</si>
  <si>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</si>
  <si>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</si>
  <si>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</si>
  <si>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</si>
  <si>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</si>
  <si>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</si>
  <si>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</si>
  <si>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</si>
  <si>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</si>
  <si>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</si>
  <si>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</si>
  <si>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</si>
  <si>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</si>
  <si>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</si>
  <si>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</si>
  <si>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</si>
  <si>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</si>
  <si>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</si>
  <si>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</si>
  <si>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</si>
  <si>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</si>
  <si>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</si>
  <si>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</si>
  <si>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</si>
  <si>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</si>
  <si>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</si>
  <si>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</si>
  <si>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</si>
  <si>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</si>
  <si>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</si>
  <si>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</si>
  <si>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</si>
  <si>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</si>
  <si>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</si>
  <si>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</si>
  <si>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</si>
  <si>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</si>
  <si>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</si>
  <si>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</si>
  <si>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</si>
  <si>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</si>
  <si>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</si>
  <si>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</si>
  <si>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</si>
  <si>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</si>
  <si>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</si>
  <si>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</si>
  <si>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</si>
  <si>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</si>
  <si>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</si>
  <si>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</si>
  <si>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</si>
  <si>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</si>
  <si>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</si>
  <si>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</si>
  <si>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</si>
  <si>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</si>
  <si>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</si>
  <si>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</si>
  <si>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</si>
  <si>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</si>
  <si>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</si>
  <si>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</si>
  <si>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</si>
  <si>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</si>
  <si>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</si>
  <si>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</si>
  <si>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</si>
  <si>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</si>
  <si>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</si>
  <si>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</si>
  <si>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</si>
  <si>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</si>
  <si>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</si>
  <si>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</si>
  <si>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</si>
  <si>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</si>
  <si>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</si>
  <si>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</si>
  <si>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</si>
  <si>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</si>
  <si>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</si>
  <si>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</si>
  <si>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</si>
  <si>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</si>
  <si>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</si>
  <si>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</si>
  <si>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</si>
  <si>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</si>
  <si>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</si>
  <si>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</si>
  <si>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</si>
  <si>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</si>
  <si>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</si>
  <si>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</si>
  <si>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</si>
  <si>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</si>
  <si>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</si>
  <si>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</si>
  <si>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</si>
  <si>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</si>
  <si>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</si>
  <si>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</si>
  <si>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</si>
  <si>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</si>
  <si>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</si>
  <si>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</si>
  <si>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</si>
  <si>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</si>
  <si>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</si>
  <si>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</si>
  <si>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</si>
  <si>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</si>
  <si>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</si>
  <si>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</si>
  <si>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</si>
  <si>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</si>
  <si>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</si>
  <si>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</si>
  <si>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</si>
  <si>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</si>
  <si>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</si>
  <si>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</si>
  <si>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</si>
  <si>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</si>
  <si>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</si>
  <si>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</si>
  <si>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</si>
  <si>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</si>
  <si>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</si>
  <si>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</si>
  <si>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</si>
  <si>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</si>
  <si>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</si>
  <si>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</si>
  <si>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</si>
  <si>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</si>
  <si>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</si>
  <si>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</si>
  <si>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</si>
  <si>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</si>
  <si>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</si>
  <si>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</si>
  <si>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</si>
  <si>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</si>
  <si>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</si>
  <si>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</si>
  <si>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</si>
  <si>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</si>
  <si>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</si>
  <si>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</si>
  <si>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</si>
  <si>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</si>
  <si>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</si>
  <si>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</si>
  <si>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</si>
  <si>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</si>
  <si>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</si>
  <si>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</si>
  <si>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</si>
  <si>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</si>
  <si>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</si>
  <si>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</si>
  <si>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</si>
  <si>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</si>
  <si>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</si>
  <si>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</si>
  <si>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</si>
  <si>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</si>
  <si>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</si>
  <si>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</si>
  <si>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</si>
  <si>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</si>
  <si>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</si>
  <si>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</si>
  <si>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</si>
  <si>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</si>
  <si>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</si>
  <si>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</si>
  <si>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</si>
  <si>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</si>
  <si>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</si>
  <si>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</si>
  <si>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</si>
  <si>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</si>
  <si>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</si>
  <si>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</si>
  <si>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</si>
  <si>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</si>
  <si>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</si>
  <si>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</si>
  <si>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</si>
  <si>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</si>
  <si>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</si>
  <si>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</si>
  <si>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</si>
  <si>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</si>
  <si>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</si>
  <si>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</si>
  <si>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</si>
  <si>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</si>
  <si>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</si>
  <si>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</si>
  <si>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</si>
  <si>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</si>
  <si>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</si>
  <si>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</si>
  <si>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</si>
  <si>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</si>
  <si>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</si>
  <si>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</si>
  <si>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</si>
  <si>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</si>
  <si>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</si>
  <si>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</si>
  <si>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</si>
  <si>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</si>
  <si>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</si>
  <si>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</si>
  <si>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</si>
  <si>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</si>
  <si>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</si>
  <si>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</si>
  <si>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</si>
  <si>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</si>
  <si>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</si>
  <si>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</si>
  <si>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</si>
  <si>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</si>
  <si>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</si>
  <si>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</si>
  <si>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</si>
  <si>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</si>
  <si>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</si>
  <si>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</si>
  <si>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</si>
  <si>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</si>
  <si>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</si>
  <si>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</si>
  <si>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</si>
  <si>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</si>
  <si>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</si>
  <si>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</si>
  <si>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</si>
  <si>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</si>
  <si>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</si>
  <si>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</si>
  <si>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</si>
  <si>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</si>
  <si>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</si>
  <si>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</si>
  <si>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</si>
  <si>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</si>
  <si>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</si>
  <si>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</si>
  <si>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</si>
  <si>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</si>
  <si>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</si>
  <si>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</si>
  <si>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</si>
  <si>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</si>
  <si>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</si>
  <si>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</si>
  <si>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</si>
  <si>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</si>
  <si>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</si>
  <si>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</si>
  <si>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</si>
  <si>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</si>
  <si>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</si>
  <si>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</si>
  <si>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</si>
  <si>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</si>
  <si>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</si>
  <si>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</si>
  <si>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</si>
  <si>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</si>
  <si>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</si>
  <si>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</si>
  <si>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</si>
  <si>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</si>
  <si>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</si>
  <si>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</si>
  <si>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</si>
  <si>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</si>
  <si>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</si>
  <si>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</si>
  <si>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</si>
  <si>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</si>
  <si>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</si>
  <si>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</si>
  <si>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</si>
  <si>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</si>
  <si>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</si>
  <si>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</si>
  <si>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</si>
  <si>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</si>
  <si>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</si>
  <si>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</si>
  <si>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</si>
  <si>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</si>
  <si>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</si>
  <si>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</si>
  <si>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</si>
  <si>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</si>
  <si>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</si>
  <si>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</si>
  <si>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</si>
  <si>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</si>
  <si>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</si>
  <si>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</si>
  <si>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</si>
  <si>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</si>
  <si>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</si>
  <si>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</si>
  <si>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</si>
  <si>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</si>
  <si>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</si>
  <si>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</si>
  <si>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</si>
  <si>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</si>
  <si>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</si>
  <si>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</si>
  <si>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</si>
  <si>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</si>
  <si>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</si>
  <si>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</si>
  <si>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</si>
  <si>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</si>
  <si>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</si>
  <si>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</si>
  <si>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</si>
  <si>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</si>
  <si>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</si>
  <si>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</si>
  <si>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</si>
  <si>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</si>
  <si>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</si>
  <si>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</si>
  <si>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</si>
  <si>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</si>
  <si>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</si>
  <si>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</si>
  <si>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</si>
  <si>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</si>
  <si>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</si>
  <si>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</si>
  <si>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</si>
  <si>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</si>
  <si>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</si>
  <si>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</si>
  <si>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</si>
  <si>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</si>
  <si>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</si>
  <si>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</si>
  <si>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</si>
  <si>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</si>
  <si>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</si>
  <si>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</si>
  <si>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</si>
  <si>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</si>
  <si>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</si>
  <si>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</si>
  <si>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</si>
  <si>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</si>
  <si>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</si>
  <si>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</si>
  <si>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</si>
  <si>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</si>
  <si>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</si>
  <si>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</si>
  <si>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</si>
  <si>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</si>
  <si>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</si>
  <si>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</si>
  <si>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</si>
  <si>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</si>
  <si>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</si>
  <si>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</si>
  <si>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</si>
  <si>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</si>
  <si>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</si>
  <si>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</si>
  <si>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</si>
  <si>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</si>
  <si>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</si>
  <si>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</si>
  <si>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</si>
  <si>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</si>
  <si>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</si>
  <si>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</si>
  <si>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</si>
  <si>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</si>
  <si>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</si>
  <si>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</si>
  <si>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</si>
  <si>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</si>
  <si>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</si>
  <si>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</si>
  <si>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</si>
  <si>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</si>
  <si>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</si>
  <si>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</si>
  <si>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</si>
  <si>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</si>
  <si>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</si>
  <si>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</si>
  <si>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</si>
  <si>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</si>
  <si>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</si>
  <si>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</si>
  <si>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</si>
  <si>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</si>
  <si>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</si>
  <si>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</si>
  <si>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</si>
  <si>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</si>
  <si>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</si>
  <si>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</si>
  <si>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</si>
  <si>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</si>
  <si>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</si>
  <si>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</si>
  <si>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</si>
  <si>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</si>
  <si>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</si>
  <si>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</si>
  <si>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</si>
  <si>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</si>
  <si>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</si>
  <si>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</si>
  <si>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</si>
  <si>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</si>
  <si>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</si>
  <si>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</si>
  <si>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</si>
  <si>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</si>
  <si>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</si>
  <si>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</si>
  <si>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</si>
  <si>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</si>
  <si>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</si>
  <si>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</si>
  <si>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</si>
  <si>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</si>
  <si>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</si>
  <si>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</si>
  <si>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</si>
  <si>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</si>
  <si>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</si>
  <si>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</si>
  <si>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</si>
  <si>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</si>
  <si>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</si>
  <si>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</si>
  <si>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</si>
  <si>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</si>
  <si>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</si>
  <si>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</si>
  <si>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</si>
  <si>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</si>
  <si>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</si>
  <si>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</si>
  <si>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</si>
  <si>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</si>
  <si>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</si>
  <si>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</si>
  <si>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</si>
  <si>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</si>
  <si>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</si>
  <si>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</si>
  <si>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</si>
  <si>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</si>
  <si>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</si>
  <si>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</si>
  <si>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</si>
  <si>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</si>
  <si>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</si>
  <si>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</si>
  <si>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</si>
  <si>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</si>
  <si>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</si>
  <si>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</si>
  <si>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</si>
  <si>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</si>
  <si>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</si>
  <si>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</si>
  <si>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</si>
  <si>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</si>
  <si>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</si>
  <si>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</si>
  <si>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</si>
  <si>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</si>
  <si>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</si>
  <si>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</si>
  <si>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</si>
  <si>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</si>
  <si>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</si>
  <si>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</si>
  <si>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</si>
  <si>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</si>
  <si>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</si>
  <si>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</si>
  <si>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</si>
  <si>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</si>
  <si>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</si>
  <si>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</si>
  <si>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</si>
  <si>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</si>
  <si>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</si>
  <si>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</si>
  <si>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</si>
  <si>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</si>
  <si>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</si>
  <si>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</si>
  <si>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</si>
  <si>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</si>
  <si>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</si>
  <si>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</si>
  <si>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</si>
  <si>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</si>
  <si>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</si>
  <si>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</si>
  <si>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</si>
  <si>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</si>
  <si>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</si>
  <si>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</si>
  <si>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</si>
  <si>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</si>
  <si>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</si>
  <si>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</si>
  <si>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</si>
  <si>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</si>
  <si>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</si>
  <si>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</si>
  <si>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</si>
  <si>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</si>
  <si>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</si>
  <si>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</si>
  <si>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</si>
  <si>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</si>
  <si>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</si>
  <si>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</si>
  <si>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</si>
  <si>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</si>
  <si>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</si>
  <si>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</si>
  <si>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</si>
  <si>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</si>
  <si>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</si>
  <si>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</si>
  <si>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</si>
  <si>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</si>
  <si>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</si>
  <si>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</si>
  <si>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</si>
  <si>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</si>
  <si>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</si>
  <si>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</si>
  <si>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</si>
  <si>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</si>
  <si>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</si>
  <si>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</si>
  <si>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</si>
  <si>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</si>
  <si>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</si>
  <si>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</si>
  <si>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</si>
  <si>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</si>
  <si>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</si>
  <si>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</si>
  <si>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</si>
  <si>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</si>
  <si>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</si>
  <si>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</si>
  <si>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</si>
  <si>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</si>
  <si>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</si>
  <si>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</si>
  <si>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</si>
  <si>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</si>
  <si>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</si>
  <si>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</si>
  <si>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</si>
  <si>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</si>
  <si>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</si>
  <si>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</si>
  <si>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</si>
  <si>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</si>
  <si>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</si>
  <si>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</si>
  <si>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</si>
  <si>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</si>
  <si>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</si>
  <si>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</si>
  <si>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</si>
  <si>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</si>
  <si>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</si>
  <si>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</si>
  <si>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</si>
  <si>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</si>
  <si>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</si>
  <si>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</si>
  <si>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</si>
  <si>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</si>
  <si>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</si>
  <si>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</si>
  <si>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</si>
  <si>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</si>
  <si>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</si>
  <si>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</si>
  <si>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</si>
  <si>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</si>
  <si>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</si>
  <si>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</si>
  <si>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</si>
  <si>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</si>
  <si>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</si>
  <si>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</si>
  <si>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</si>
  <si>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</si>
  <si>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</si>
  <si>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</si>
  <si>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</si>
  <si>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</si>
  <si>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</si>
  <si>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</si>
  <si>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</si>
  <si>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</si>
  <si>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</si>
  <si>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</si>
  <si>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</si>
  <si>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</si>
  <si>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</si>
  <si>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</si>
  <si>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</si>
  <si>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</si>
  <si>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</si>
  <si>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</si>
  <si>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</si>
  <si>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</si>
  <si>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</si>
  <si>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</si>
  <si>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</si>
  <si>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</si>
  <si>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</si>
  <si>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</si>
  <si>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</si>
  <si>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</si>
  <si>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</si>
  <si>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</si>
  <si>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</si>
  <si>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</si>
  <si>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</si>
  <si>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</si>
  <si>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</si>
  <si>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</si>
  <si>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</si>
  <si>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</si>
  <si>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</si>
  <si>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</si>
  <si>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</si>
  <si>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</si>
  <si>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</si>
  <si>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</si>
  <si>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</si>
  <si>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</si>
  <si>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</si>
  <si>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</si>
  <si>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</si>
  <si>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</si>
  <si>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</si>
  <si>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</si>
  <si>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</si>
  <si>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</si>
  <si>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</si>
  <si>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</si>
  <si>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</si>
  <si>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</si>
  <si>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</si>
  <si>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</si>
  <si>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</si>
  <si>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</si>
  <si>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</si>
  <si>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</si>
  <si>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</si>
  <si>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</si>
  <si>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</si>
  <si>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</si>
  <si>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</si>
  <si>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</si>
  <si>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</si>
  <si>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</si>
  <si>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</si>
  <si>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</si>
  <si>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</si>
  <si>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</si>
  <si>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</si>
  <si>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</si>
  <si>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</si>
  <si>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</si>
  <si>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</si>
  <si>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</si>
  <si>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</si>
  <si>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</si>
  <si>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</si>
  <si>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</si>
  <si>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</si>
  <si>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</si>
  <si>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</si>
  <si>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</si>
  <si>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</si>
  <si>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</si>
  <si>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</si>
  <si>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</si>
  <si>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</si>
  <si>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</si>
  <si>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</si>
  <si>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</si>
  <si>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</si>
  <si>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</si>
  <si>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</si>
  <si>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</si>
  <si>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</si>
  <si>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</si>
  <si>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</si>
  <si>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</si>
  <si>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</si>
  <si>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</si>
  <si>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</si>
  <si>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</si>
  <si>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</si>
  <si>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</si>
  <si>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</si>
  <si>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</si>
  <si>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</si>
  <si>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</si>
  <si>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</si>
  <si>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</si>
  <si>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</si>
  <si>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</si>
  <si>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</si>
  <si>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</si>
  <si>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</si>
  <si>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</si>
  <si>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</si>
  <si>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</si>
  <si>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</si>
  <si>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</si>
  <si>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</si>
  <si>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</si>
  <si>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</si>
  <si>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</si>
  <si>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</si>
  <si>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</si>
  <si>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</si>
  <si>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</si>
  <si>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</si>
  <si>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</si>
  <si>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</si>
  <si>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</si>
  <si>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</si>
  <si>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</si>
  <si>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</si>
  <si>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</si>
  <si>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</si>
  <si>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</si>
  <si>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</si>
  <si>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</si>
  <si>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</si>
  <si>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</si>
  <si>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</si>
  <si>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</si>
  <si>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</si>
  <si>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</si>
  <si>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</si>
  <si>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</si>
  <si>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</si>
  <si>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</si>
  <si>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</si>
  <si>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</si>
  <si>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</si>
  <si>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</si>
  <si>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</si>
  <si>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</si>
  <si>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</si>
  <si>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</si>
  <si>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</si>
  <si>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</si>
  <si>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</si>
  <si>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</si>
  <si>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</si>
  <si>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</si>
  <si>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</si>
  <si>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</si>
  <si>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</si>
  <si>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</si>
  <si>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</si>
  <si>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</si>
  <si>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</si>
  <si>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</si>
  <si>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</si>
  <si>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</si>
  <si>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</si>
  <si>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</si>
  <si>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</si>
  <si>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</si>
  <si>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</si>
  <si>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</si>
  <si>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</si>
  <si>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</si>
  <si>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</si>
  <si>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</si>
  <si>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</si>
  <si>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</si>
  <si>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</si>
  <si>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</si>
  <si>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</si>
  <si>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</si>
  <si>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</si>
  <si>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</si>
  <si>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</si>
  <si>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</si>
  <si>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</si>
  <si>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</si>
  <si>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</si>
  <si>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</si>
  <si>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</si>
  <si>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</si>
  <si>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</si>
  <si>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</si>
  <si>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</si>
  <si>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</si>
  <si>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</si>
  <si>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</si>
  <si>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</si>
  <si>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</si>
  <si>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</si>
  <si>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</si>
  <si>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</si>
  <si>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</si>
  <si>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</si>
  <si>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</si>
  <si>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</si>
  <si>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</si>
  <si>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</si>
  <si>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</si>
  <si>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</si>
  <si>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</si>
  <si>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</si>
  <si>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</si>
  <si>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</si>
  <si>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</si>
  <si>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</si>
  <si>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</si>
  <si>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</si>
  <si>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</si>
  <si>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</si>
  <si>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</si>
  <si>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</si>
  <si>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</si>
  <si>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</si>
  <si>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</si>
  <si>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</si>
  <si>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</si>
  <si>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</si>
  <si>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</si>
  <si>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</si>
  <si>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</si>
  <si>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</si>
  <si>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</si>
  <si>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</si>
  <si>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</si>
  <si>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</si>
  <si>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</si>
  <si>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</si>
  <si>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</si>
  <si>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</si>
  <si>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</si>
  <si>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</si>
  <si>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</si>
  <si>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</si>
  <si>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</si>
  <si>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</si>
  <si>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</si>
  <si>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</si>
  <si>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</si>
  <si>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</si>
  <si>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</si>
  <si>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</si>
  <si>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</si>
  <si>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</si>
  <si>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</si>
  <si>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</si>
  <si>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</si>
  <si>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</si>
  <si>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</si>
  <si>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</si>
  <si>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</si>
  <si>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</si>
  <si>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</si>
  <si>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</si>
  <si>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</si>
  <si>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</si>
  <si>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</si>
  <si>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</si>
  <si>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</si>
  <si>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</si>
  <si>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</si>
  <si>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</si>
  <si>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</si>
  <si>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</si>
  <si>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</si>
  <si>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</si>
  <si>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</si>
  <si>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</si>
  <si>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</si>
  <si>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</si>
  <si>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</si>
  <si>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</si>
  <si>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</si>
  <si>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</si>
  <si>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</si>
  <si>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</si>
  <si>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</si>
  <si>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</si>
  <si>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</si>
  <si>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</si>
  <si>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</si>
  <si>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</si>
  <si>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</si>
  <si>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</si>
  <si>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</si>
  <si>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</si>
  <si>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</si>
  <si>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</si>
  <si>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</si>
  <si>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</si>
  <si>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</si>
  <si>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</si>
  <si>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</si>
  <si>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</si>
  <si>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</si>
  <si>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</si>
  <si>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</si>
  <si>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</si>
  <si>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</si>
  <si>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</si>
  <si>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</si>
  <si>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</si>
  <si>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</si>
  <si>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</si>
  <si>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</si>
  <si>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</si>
  <si>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</si>
  <si>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</si>
  <si>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</si>
  <si>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</si>
  <si>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</si>
  <si>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</si>
  <si>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</si>
  <si>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</si>
  <si>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</si>
  <si>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</si>
  <si>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</si>
  <si>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</si>
  <si>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</si>
  <si>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</si>
  <si>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</si>
  <si>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</si>
  <si>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</si>
  <si>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</si>
  <si>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</si>
  <si>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</si>
  <si>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</si>
  <si>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</si>
  <si>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</si>
  <si>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</si>
  <si>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</si>
  <si>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</si>
  <si>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</si>
  <si>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</si>
  <si>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</si>
  <si>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</si>
  <si>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</si>
  <si>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</si>
  <si>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</si>
  <si>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</si>
  <si>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</si>
  <si>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</si>
  <si>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</si>
  <si>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</si>
  <si>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</si>
  <si>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</si>
  <si>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</si>
  <si>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</si>
  <si>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</si>
  <si>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</si>
  <si>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</si>
  <si>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</si>
  <si>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</si>
  <si>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</si>
  <si>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</si>
  <si>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</si>
  <si>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</si>
  <si>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</si>
  <si>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</si>
  <si>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</si>
  <si>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</si>
  <si>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</si>
  <si>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</si>
  <si>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</si>
  <si>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</si>
  <si>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</si>
  <si>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</si>
  <si>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</si>
  <si>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</si>
  <si>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</si>
  <si>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</si>
  <si>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</si>
  <si>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</si>
  <si>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</si>
  <si>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</si>
  <si>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</si>
  <si>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</si>
  <si>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</si>
  <si>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</si>
  <si>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</si>
  <si>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</si>
  <si>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</si>
  <si>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</si>
  <si>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</si>
  <si>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</si>
  <si>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</si>
  <si>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</si>
  <si>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</si>
  <si>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</si>
  <si>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</si>
  <si>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</si>
  <si>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</si>
  <si>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</si>
  <si>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</si>
  <si>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</si>
  <si>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</si>
  <si>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</si>
  <si>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</si>
  <si>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</si>
  <si>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</si>
  <si>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</si>
  <si>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</si>
  <si>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</si>
  <si>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</si>
  <si>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</si>
  <si>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</si>
  <si>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</si>
  <si>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</si>
  <si>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</si>
  <si>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</si>
  <si>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</si>
  <si>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</si>
  <si>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</si>
  <si>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</si>
  <si>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</si>
  <si>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</si>
  <si>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</si>
  <si>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</si>
  <si>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</si>
  <si>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</si>
  <si>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</si>
  <si>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</si>
  <si>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</si>
  <si>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</si>
  <si>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</si>
  <si>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</si>
  <si>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</si>
  <si>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</si>
  <si>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</si>
  <si>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</si>
  <si>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</si>
  <si>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</si>
  <si>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</si>
  <si>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</si>
  <si>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</si>
  <si>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</si>
  <si>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</si>
  <si>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</si>
  <si>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</si>
  <si>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</si>
  <si>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</si>
  <si>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</si>
  <si>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</si>
  <si>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</si>
  <si>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</si>
  <si>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</si>
  <si>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</si>
  <si>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</si>
  <si>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</si>
  <si>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</si>
  <si>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</si>
  <si>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</si>
  <si>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</si>
  <si>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</si>
  <si>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</si>
  <si>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</si>
  <si>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</si>
  <si>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</si>
  <si>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</si>
  <si>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</si>
  <si>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</si>
  <si>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</si>
  <si>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</si>
  <si>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</si>
  <si>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</si>
  <si>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</si>
  <si>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</si>
  <si>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</si>
  <si>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</si>
  <si>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</si>
  <si>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</si>
  <si>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</si>
  <si>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</si>
  <si>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</si>
  <si>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</si>
  <si>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</si>
  <si>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</si>
  <si>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</si>
  <si>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</si>
  <si>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</si>
  <si>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</si>
  <si>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</si>
  <si>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</si>
  <si>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</si>
  <si>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</si>
  <si>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</si>
  <si>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</si>
  <si>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</si>
  <si>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</si>
  <si>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</si>
  <si>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</si>
  <si>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</si>
  <si>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</si>
  <si>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</si>
  <si>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</si>
  <si>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</si>
  <si>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</si>
  <si>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</si>
  <si>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</si>
  <si>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</si>
  <si>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</si>
  <si>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</si>
  <si>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</si>
  <si>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</si>
  <si>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</si>
  <si>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</si>
  <si>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</si>
  <si>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</si>
  <si>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</si>
  <si>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</si>
  <si>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</si>
  <si>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</si>
  <si>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</si>
  <si>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</si>
  <si>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</si>
  <si>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</si>
  <si>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</si>
  <si>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</si>
  <si>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</si>
  <si>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</si>
  <si>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</si>
  <si>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</si>
  <si>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</si>
  <si>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</si>
  <si>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</si>
  <si>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</si>
  <si>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</si>
  <si>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</si>
  <si>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</si>
  <si>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</si>
  <si>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</si>
  <si>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</si>
  <si>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</si>
  <si>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</si>
  <si>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</si>
  <si>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</si>
  <si>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</si>
  <si>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</si>
  <si>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</si>
  <si>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</si>
  <si>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</si>
  <si>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</si>
  <si>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</si>
  <si>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</si>
  <si>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</si>
  <si>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</si>
  <si>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</si>
  <si>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</si>
  <si>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</si>
  <si>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</si>
  <si>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</si>
  <si>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</si>
  <si>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</si>
  <si>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</si>
  <si>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</si>
  <si>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</si>
  <si>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</si>
  <si>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</si>
  <si>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</si>
  <si>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</si>
  <si>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</si>
  <si>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</si>
  <si>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</si>
  <si>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</si>
  <si>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</si>
  <si>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</si>
  <si>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</si>
  <si>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</si>
  <si>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</si>
  <si>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</si>
  <si>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</si>
  <si>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</si>
  <si>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</si>
  <si>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</si>
  <si>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</si>
  <si>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</si>
  <si>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</si>
  <si>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</si>
  <si>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</si>
  <si>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</si>
  <si>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</si>
  <si>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</si>
  <si>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</si>
  <si>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</si>
  <si>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</si>
  <si>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</si>
  <si>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</si>
  <si>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</si>
  <si>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</si>
  <si>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</si>
  <si>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</si>
  <si>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</si>
  <si>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</si>
  <si>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</si>
  <si>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</si>
  <si>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</si>
  <si>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</si>
  <si>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</si>
  <si>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</si>
  <si>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</si>
  <si>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</si>
  <si>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</si>
  <si>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</si>
  <si>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</si>
  <si>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</si>
  <si>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</si>
  <si>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</si>
  <si>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</si>
  <si>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</si>
  <si>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</si>
  <si>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</si>
  <si>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</si>
  <si>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</si>
  <si>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</si>
  <si>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</si>
  <si>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</si>
  <si>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</si>
  <si>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</si>
  <si>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</si>
  <si>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</si>
  <si>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</si>
  <si>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</si>
  <si>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</si>
  <si>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</si>
  <si>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</si>
  <si>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</si>
  <si>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</si>
  <si>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</si>
  <si>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</si>
  <si>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</si>
  <si>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</si>
  <si>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</si>
  <si>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</si>
  <si>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</si>
  <si>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</si>
  <si>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</si>
  <si>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</si>
  <si>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</si>
  <si>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</si>
  <si>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</si>
  <si>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</si>
  <si>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</si>
  <si>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</si>
  <si>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</si>
  <si>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</si>
  <si>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</si>
  <si>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</si>
  <si>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</si>
  <si>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</si>
  <si>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</si>
  <si>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</si>
  <si>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</si>
  <si>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</si>
  <si>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</si>
  <si>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</si>
  <si>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</si>
  <si>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</si>
  <si>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</si>
  <si>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</si>
  <si>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</si>
  <si>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</si>
  <si>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</si>
  <si>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</si>
  <si>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</si>
  <si>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</si>
  <si>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</si>
  <si>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</si>
  <si>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</si>
  <si>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</si>
  <si>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</si>
  <si>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</si>
  <si>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</si>
  <si>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</si>
  <si>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</si>
  <si>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</si>
  <si>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</si>
  <si>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</si>
  <si>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</si>
  <si>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</si>
  <si>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</si>
  <si>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</si>
  <si>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</si>
  <si>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</si>
  <si>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</si>
  <si>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</si>
  <si>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</si>
  <si>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</si>
  <si>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</si>
  <si>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</si>
  <si>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</si>
  <si>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</si>
  <si>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</si>
  <si>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</si>
  <si>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</si>
  <si>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</si>
  <si>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</si>
  <si>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</si>
  <si>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</si>
  <si>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</si>
  <si>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</si>
  <si>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</si>
  <si>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</si>
  <si>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</si>
  <si>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</si>
  <si>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</si>
  <si>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</si>
  <si>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</si>
  <si>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</si>
  <si>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</si>
  <si>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</si>
  <si>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</si>
  <si>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</si>
  <si>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</si>
  <si>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</si>
  <si>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</si>
  <si>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</si>
  <si>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</si>
  <si>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</si>
  <si>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</si>
  <si>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</si>
  <si>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</si>
  <si>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</si>
  <si>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</si>
  <si>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</si>
  <si>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</si>
  <si>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</si>
  <si>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</si>
  <si>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</si>
  <si>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</si>
  <si>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</si>
  <si>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</si>
  <si>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</si>
  <si>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</si>
  <si>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</si>
  <si>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</si>
  <si>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</si>
  <si>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</si>
  <si>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</si>
  <si>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</si>
  <si>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</si>
  <si>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</si>
  <si>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</si>
  <si>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</si>
  <si>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</si>
  <si>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</si>
  <si>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</si>
  <si>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</si>
  <si>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</si>
  <si>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</si>
  <si>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</si>
  <si>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</si>
  <si>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</si>
  <si>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</si>
  <si>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</si>
  <si>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</si>
  <si>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</si>
  <si>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</si>
  <si>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</si>
  <si>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</si>
  <si>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</si>
  <si>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</si>
  <si>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</si>
  <si>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</si>
  <si>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</si>
  <si>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</si>
  <si>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</si>
  <si>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</si>
  <si>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</si>
  <si>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</si>
  <si>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</si>
  <si>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</si>
  <si>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</si>
  <si>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</si>
  <si>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</si>
  <si>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</si>
  <si>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</si>
  <si>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</si>
  <si>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</si>
  <si>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</si>
  <si>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</si>
  <si>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</si>
  <si>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</si>
  <si>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</si>
  <si>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</si>
  <si>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</si>
  <si>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</si>
  <si>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</si>
  <si>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</si>
  <si>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</si>
  <si>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</si>
  <si>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</si>
  <si>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</si>
  <si>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</si>
  <si>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</si>
  <si>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</si>
  <si>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</si>
  <si>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</si>
  <si>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</si>
  <si>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</si>
  <si>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</si>
  <si>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</si>
  <si>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</si>
  <si>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</si>
  <si>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</si>
  <si>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</si>
  <si>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</si>
  <si>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</si>
  <si>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</si>
  <si>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</si>
  <si>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</si>
  <si>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</si>
  <si>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</si>
  <si>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</si>
  <si>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</si>
  <si>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</si>
  <si>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</si>
  <si>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</si>
  <si>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</si>
  <si>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</si>
  <si>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</si>
  <si>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</si>
  <si>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</si>
  <si>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</si>
  <si>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</si>
  <si>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</si>
  <si>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</si>
  <si>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</si>
  <si>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</si>
  <si>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</si>
  <si>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</si>
  <si>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</si>
  <si>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</si>
  <si>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</si>
  <si>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</si>
  <si>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</si>
  <si>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</si>
  <si>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</si>
  <si>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</si>
  <si>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</si>
  <si>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</si>
  <si>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</si>
  <si>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</si>
  <si>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</si>
  <si>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</si>
  <si>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</si>
  <si>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</si>
  <si>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</si>
  <si>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</si>
  <si>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</si>
  <si>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</si>
  <si>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</si>
  <si>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</si>
  <si>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</si>
  <si>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</si>
  <si>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</si>
  <si>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</si>
  <si>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</si>
  <si>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</si>
  <si>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</si>
  <si>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</si>
  <si>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</si>
  <si>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</si>
  <si>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</si>
  <si>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</si>
  <si>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</si>
  <si>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</si>
  <si>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</si>
  <si>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</si>
  <si>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</si>
  <si>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</si>
  <si>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</si>
  <si>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</si>
  <si>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</si>
  <si>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</si>
  <si>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</si>
  <si>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</si>
  <si>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</si>
  <si>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</si>
  <si>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</si>
  <si>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</si>
  <si>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</si>
  <si>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</si>
  <si>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</si>
  <si>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</si>
  <si>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</si>
  <si>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</si>
  <si>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</si>
  <si>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</si>
  <si>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</si>
  <si>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</si>
  <si>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</si>
  <si>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</si>
  <si>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</si>
  <si>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</si>
  <si>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</si>
  <si>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</si>
  <si>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</si>
  <si>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</si>
  <si>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</si>
  <si>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</si>
  <si>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</si>
  <si>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</si>
  <si>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</si>
  <si>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</si>
  <si>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</si>
  <si>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</si>
  <si>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</si>
  <si>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</si>
  <si>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</si>
  <si>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</si>
  <si>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</si>
  <si>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</si>
  <si>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</si>
  <si>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</si>
  <si>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</si>
  <si>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</si>
  <si>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</si>
  <si>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</si>
  <si>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</si>
  <si>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</si>
  <si>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</si>
  <si>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</si>
  <si>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</si>
  <si>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</si>
  <si>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</si>
  <si>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</si>
  <si>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</si>
  <si>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</si>
  <si>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</si>
  <si>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</si>
  <si>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</si>
  <si>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</si>
  <si>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</si>
  <si>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</si>
  <si>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</si>
  <si>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</si>
  <si>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</si>
  <si>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</si>
  <si>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</si>
  <si>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</si>
  <si>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</si>
  <si>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</si>
  <si>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</si>
  <si>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</si>
  <si>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</si>
  <si>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</si>
  <si>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</si>
  <si>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</si>
  <si>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</si>
  <si>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</si>
  <si>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</si>
  <si>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</si>
  <si>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</si>
  <si>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</si>
  <si>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</si>
  <si>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</si>
  <si>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</si>
  <si>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</si>
  <si>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</si>
  <si>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</si>
  <si>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</si>
  <si>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</si>
  <si>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</si>
  <si>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</si>
  <si>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</si>
  <si>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</si>
  <si>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</si>
  <si>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</si>
  <si>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</si>
  <si>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</si>
  <si>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</si>
  <si>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</si>
  <si>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</si>
  <si>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</si>
  <si>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</si>
  <si>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</si>
  <si>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</si>
  <si>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</si>
  <si>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</si>
  <si>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</si>
  <si>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</si>
  <si>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</si>
  <si>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</si>
  <si>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</si>
  <si>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</si>
  <si>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</si>
  <si>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</si>
  <si>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</si>
  <si>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</si>
  <si>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</si>
  <si>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</si>
  <si>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</si>
  <si>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</si>
  <si>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</si>
  <si>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</si>
  <si>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</si>
  <si>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</si>
  <si>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</si>
  <si>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</si>
  <si>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</si>
  <si>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</si>
  <si>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</si>
  <si>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</si>
  <si>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</si>
  <si>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</si>
  <si>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</si>
  <si>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</si>
  <si>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</si>
  <si>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</si>
  <si>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</si>
  <si>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</si>
  <si>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</si>
  <si>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</si>
  <si>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</si>
  <si>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</si>
  <si>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</si>
  <si>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</si>
  <si>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</si>
  <si>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</si>
  <si>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</si>
  <si>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</si>
  <si>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</si>
  <si>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</si>
  <si>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</si>
  <si>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</si>
  <si>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</si>
  <si>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</si>
  <si>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</si>
  <si>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</si>
  <si>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</si>
  <si>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</si>
  <si>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</si>
  <si>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</si>
  <si>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</si>
  <si>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</si>
  <si>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</si>
  <si>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</si>
  <si>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</si>
  <si>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</si>
  <si>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</si>
  <si>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</si>
  <si>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</si>
  <si>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</si>
  <si>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</si>
  <si>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</si>
  <si>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</si>
  <si>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</si>
  <si>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</si>
  <si>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</si>
  <si>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</si>
  <si>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</si>
  <si>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</si>
  <si>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</si>
  <si>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</si>
  <si>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</si>
  <si>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</si>
  <si>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</si>
  <si>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</si>
  <si>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</si>
  <si>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</si>
  <si>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</si>
  <si>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</si>
  <si>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</si>
  <si>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</si>
  <si>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</si>
  <si>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</si>
  <si>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</si>
  <si>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</si>
  <si>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</si>
  <si>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</si>
  <si>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</si>
  <si>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</si>
  <si>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</si>
  <si>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</si>
  <si>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</si>
  <si>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</si>
  <si>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</si>
  <si>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</si>
  <si>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</si>
  <si>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</si>
  <si>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</si>
  <si>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</si>
  <si>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</si>
  <si>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</si>
  <si>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</si>
  <si>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</si>
  <si>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</si>
  <si>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</si>
  <si>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</si>
  <si>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</si>
  <si>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</si>
  <si>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</si>
  <si>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</si>
  <si>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</si>
  <si>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</si>
  <si>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</si>
  <si>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</si>
  <si>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</si>
  <si>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</si>
  <si>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</si>
  <si>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</si>
  <si>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</si>
  <si>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</si>
  <si>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</si>
  <si>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</si>
  <si>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</si>
  <si>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</si>
  <si>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</si>
  <si>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</si>
  <si>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</si>
  <si>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</si>
  <si>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</si>
  <si>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</si>
  <si>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</si>
  <si>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</si>
  <si>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</si>
  <si>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</si>
  <si>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</si>
  <si>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</si>
  <si>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</si>
  <si>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</si>
  <si>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</si>
  <si>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</si>
  <si>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</si>
  <si>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</si>
  <si>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</si>
  <si>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</si>
  <si>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</si>
  <si>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</si>
  <si>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</si>
  <si>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</si>
  <si>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</si>
  <si>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</si>
  <si>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</si>
  <si>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</si>
  <si>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</si>
  <si>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</si>
  <si>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</si>
  <si>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</si>
  <si>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</si>
  <si>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</si>
  <si>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</si>
  <si>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</si>
  <si>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</si>
  <si>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</si>
  <si>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</si>
  <si>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</si>
  <si>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</si>
  <si>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</si>
  <si>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</si>
  <si>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</si>
  <si>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</si>
  <si>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</si>
  <si>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</si>
  <si>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</si>
  <si>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</si>
  <si>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</si>
  <si>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</si>
  <si>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</si>
  <si>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</si>
  <si>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</si>
  <si>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</si>
  <si>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</si>
  <si>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</si>
  <si>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</si>
  <si>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</si>
  <si>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</si>
  <si>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</si>
  <si>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</si>
  <si>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</si>
  <si>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</si>
  <si>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</si>
  <si>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</si>
  <si>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</si>
  <si>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</si>
  <si>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</si>
  <si>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</si>
  <si>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</si>
  <si>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</si>
  <si>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</si>
  <si>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</si>
  <si>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</si>
  <si>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</si>
  <si>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</si>
  <si>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</si>
  <si>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</si>
  <si>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</si>
  <si>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</si>
  <si>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</si>
  <si>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</si>
  <si>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</si>
  <si>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</si>
  <si>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</si>
  <si>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</si>
  <si>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</si>
  <si>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</si>
  <si>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</si>
  <si>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</si>
  <si>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</si>
  <si>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</si>
  <si>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</si>
  <si>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</si>
  <si>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</si>
  <si>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</si>
  <si>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</si>
  <si>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</si>
  <si>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</si>
  <si>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</si>
  <si>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</si>
  <si>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</si>
  <si>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</si>
  <si>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</si>
  <si>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</si>
  <si>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</si>
  <si>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</si>
  <si>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</si>
  <si>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</si>
  <si>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</si>
  <si>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</si>
  <si>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</si>
  <si>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</si>
  <si>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</si>
  <si>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</si>
  <si>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</si>
  <si>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</si>
  <si>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</si>
  <si>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</si>
  <si>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</si>
  <si>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</si>
  <si>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</si>
  <si>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</si>
  <si>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</si>
  <si>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</si>
  <si>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</si>
  <si>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</si>
  <si>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</si>
  <si>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</si>
  <si>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</si>
  <si>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</si>
  <si>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</si>
  <si>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</si>
  <si>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</si>
  <si>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</si>
  <si>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</si>
  <si>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</si>
  <si>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</si>
  <si>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</si>
  <si>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</si>
  <si>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</si>
  <si>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</si>
  <si>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</si>
  <si>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</si>
  <si>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</si>
  <si>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</si>
  <si>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</si>
  <si>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</si>
  <si>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</si>
  <si>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</si>
  <si>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</si>
  <si>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</si>
  <si>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</si>
  <si>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</si>
  <si>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</si>
  <si>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</si>
  <si>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</si>
  <si>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</si>
  <si>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</si>
  <si>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</si>
  <si>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</si>
  <si>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</si>
  <si>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</si>
  <si>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</si>
  <si>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</si>
  <si>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</si>
  <si>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</si>
  <si>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</si>
  <si>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</si>
  <si>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</si>
  <si>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</si>
  <si>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</si>
  <si>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</si>
  <si>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</si>
  <si>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</si>
  <si>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</si>
  <si>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</si>
  <si>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</si>
  <si>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</si>
  <si>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</si>
  <si>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</si>
  <si>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</si>
  <si>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</si>
  <si>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</si>
  <si>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</si>
  <si>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</si>
  <si>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</si>
  <si>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</si>
  <si>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</si>
  <si>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</si>
  <si>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</si>
  <si>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</si>
  <si>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</si>
  <si>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</si>
  <si>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</si>
  <si>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</si>
  <si>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</si>
  <si>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</si>
  <si>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</si>
  <si>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</si>
  <si>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</si>
  <si>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</si>
  <si>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</si>
  <si>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</si>
  <si>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</si>
  <si>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</si>
  <si>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</si>
  <si>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</si>
  <si>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</si>
  <si>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</si>
  <si>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</si>
  <si>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</si>
  <si>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</si>
  <si>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</si>
  <si>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</si>
  <si>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</si>
  <si>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</si>
  <si>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</si>
  <si>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</si>
  <si>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</si>
  <si>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</si>
  <si>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</si>
  <si>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</si>
  <si>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</si>
  <si>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</si>
  <si>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</si>
  <si>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</si>
  <si>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</si>
  <si>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</si>
  <si>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</si>
  <si>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</si>
  <si>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</si>
  <si>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</si>
  <si>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</si>
  <si>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</si>
  <si>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</si>
  <si>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</si>
  <si>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</si>
  <si>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</si>
  <si>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</si>
  <si>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</si>
  <si>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</si>
  <si>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</si>
  <si>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</si>
  <si>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</si>
  <si>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</si>
  <si>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</si>
  <si>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</si>
  <si>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</si>
  <si>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</si>
  <si>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</si>
  <si>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</si>
  <si>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</si>
  <si>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</si>
  <si>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</si>
  <si>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</si>
  <si>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</si>
  <si>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</si>
  <si>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</si>
  <si>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</si>
  <si>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</si>
  <si>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</si>
  <si>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</si>
  <si>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</si>
  <si>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</si>
  <si>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</si>
  <si>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</si>
  <si>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</si>
  <si>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</si>
  <si>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</si>
  <si>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</si>
  <si>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</si>
  <si>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</si>
  <si>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</si>
  <si>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</si>
  <si>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</si>
  <si>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</si>
  <si>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</si>
  <si>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</si>
  <si>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</si>
  <si>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</si>
  <si>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</si>
  <si>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</si>
  <si>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</si>
  <si>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</si>
  <si>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</si>
  <si>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</si>
  <si>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</si>
  <si>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</si>
  <si>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</si>
  <si>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</si>
  <si>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</si>
  <si>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</si>
  <si>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</si>
  <si>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</si>
  <si>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</si>
  <si>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</si>
  <si>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</si>
  <si>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</si>
  <si>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</si>
  <si>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</si>
  <si>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</si>
  <si>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</si>
  <si>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</si>
  <si>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</si>
  <si>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</si>
  <si>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</si>
  <si>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</si>
  <si>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</si>
  <si>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</si>
  <si>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</si>
  <si>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</si>
  <si>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</si>
  <si>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</si>
  <si>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</si>
  <si>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</si>
  <si>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</si>
  <si>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</si>
  <si>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</si>
  <si>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</si>
  <si>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</si>
  <si>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</si>
  <si>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</si>
  <si>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</si>
  <si>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</si>
  <si>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</si>
  <si>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</si>
  <si>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</si>
  <si>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</si>
  <si>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</si>
  <si>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</si>
  <si>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</si>
  <si>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</si>
  <si>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</si>
  <si>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</si>
  <si>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</si>
  <si>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</si>
  <si>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</si>
  <si>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</si>
  <si>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</si>
  <si>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</si>
  <si>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</si>
  <si>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</si>
  <si>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</si>
  <si>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</si>
  <si>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</si>
  <si>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</si>
  <si>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</si>
  <si>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</si>
  <si>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</si>
  <si>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</si>
  <si>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</si>
  <si>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</si>
  <si>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</si>
  <si>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</si>
  <si>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</si>
  <si>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</si>
  <si>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</si>
  <si>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</si>
  <si>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</si>
  <si>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</si>
  <si>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</si>
  <si>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</si>
  <si>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</si>
  <si>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</si>
  <si>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</si>
  <si>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</si>
  <si>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</si>
  <si>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</si>
  <si>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</si>
  <si>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</si>
  <si>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</si>
  <si>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</si>
  <si>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</si>
  <si>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</si>
  <si>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</si>
  <si>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</si>
  <si>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</si>
  <si>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</si>
  <si>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</si>
  <si>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</si>
  <si>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</si>
  <si>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</si>
  <si>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</si>
  <si>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</si>
  <si>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</si>
  <si>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</si>
  <si>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</si>
  <si>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</si>
  <si>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</si>
  <si>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</si>
  <si>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</si>
  <si>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</si>
  <si>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</si>
  <si>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</si>
  <si>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</si>
  <si>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</si>
  <si>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</si>
  <si>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</si>
  <si>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</si>
  <si>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</si>
  <si>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</si>
  <si>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</si>
  <si>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</si>
  <si>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</si>
  <si>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</si>
  <si>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</si>
  <si>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</si>
  <si>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</si>
  <si>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</si>
  <si>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</si>
  <si>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</si>
  <si>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</si>
  <si>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</si>
  <si>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</si>
  <si>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</si>
  <si>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</si>
  <si>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</si>
  <si>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</si>
  <si>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</si>
  <si>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</si>
  <si>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</si>
  <si>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</si>
  <si>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</si>
  <si>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</si>
  <si>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</si>
  <si>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</si>
  <si>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</si>
  <si>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</si>
  <si>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</si>
  <si>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</si>
  <si>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</si>
  <si>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</si>
  <si>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</si>
  <si>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</si>
  <si>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</si>
  <si>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</si>
  <si>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</si>
  <si>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</si>
  <si>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</si>
  <si>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</si>
  <si>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</si>
  <si>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</si>
  <si>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</si>
  <si>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</si>
  <si>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</si>
  <si>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</si>
  <si>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</si>
  <si>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</si>
  <si>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</si>
  <si>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</si>
  <si>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</si>
  <si>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</si>
  <si>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</si>
  <si>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</si>
  <si>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</si>
  <si>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</si>
  <si>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</si>
  <si>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</si>
  <si>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</si>
  <si>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</si>
  <si>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</si>
  <si>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</si>
  <si>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</si>
  <si>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</si>
  <si>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</si>
  <si>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</si>
  <si>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</si>
  <si>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</si>
  <si>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</si>
  <si>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</si>
  <si>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</si>
  <si>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</si>
  <si>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</si>
  <si>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</si>
  <si>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</si>
  <si>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</si>
  <si>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</si>
  <si>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</si>
  <si>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</si>
  <si>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</si>
  <si>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</si>
  <si>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</si>
  <si>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</si>
  <si>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</si>
  <si>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</si>
  <si>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</si>
  <si>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</si>
  <si>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</si>
  <si>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</si>
  <si>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</si>
  <si>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</si>
  <si>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</si>
  <si>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</si>
  <si>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</si>
  <si>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</si>
  <si>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</si>
  <si>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</si>
  <si>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</si>
  <si>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</si>
  <si>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</si>
  <si>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</si>
  <si>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</si>
  <si>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</si>
  <si>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</si>
  <si>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</si>
  <si>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</si>
  <si>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</si>
  <si>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</si>
  <si>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</si>
  <si>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</si>
  <si>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</si>
  <si>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</si>
  <si>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</si>
  <si>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</si>
  <si>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</si>
  <si>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</si>
  <si>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</si>
  <si>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</si>
  <si>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</si>
  <si>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</si>
  <si>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</si>
  <si>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</si>
  <si>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</si>
  <si>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</si>
  <si>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</si>
  <si>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</si>
  <si>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</si>
  <si>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</si>
  <si>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</si>
  <si>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</si>
  <si>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</si>
  <si>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</si>
  <si>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</si>
  <si>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</si>
  <si>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</si>
  <si>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</si>
  <si>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</si>
  <si>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</si>
  <si>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</si>
  <si>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</si>
  <si>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</si>
  <si>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</si>
  <si>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</si>
  <si>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</si>
  <si>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</si>
  <si>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</si>
  <si>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</si>
  <si>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</si>
  <si>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</si>
  <si>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</si>
  <si>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</si>
  <si>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</si>
  <si>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</si>
  <si>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</si>
  <si>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</si>
  <si>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</si>
  <si>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</si>
  <si>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</si>
  <si>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</si>
  <si>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</si>
  <si>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</si>
  <si>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</si>
  <si>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</si>
  <si>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</si>
  <si>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</si>
  <si>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</si>
  <si>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</si>
  <si>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</si>
  <si>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</si>
  <si>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</si>
  <si>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</si>
  <si>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</si>
  <si>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</si>
  <si>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</si>
  <si>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</si>
  <si>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</si>
  <si>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</si>
  <si>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</si>
  <si>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</si>
  <si>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</si>
  <si>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</si>
  <si>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</si>
  <si>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</si>
  <si>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</si>
  <si>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</si>
  <si>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</si>
  <si>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</si>
  <si>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</si>
  <si>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</si>
  <si>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</si>
  <si>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</si>
  <si>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</si>
  <si>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</si>
  <si>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</si>
  <si>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</si>
  <si>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</si>
  <si>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</si>
  <si>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</si>
  <si>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</si>
  <si>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</si>
  <si>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</si>
  <si>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</si>
  <si>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</si>
  <si>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</si>
  <si>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</si>
  <si>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</si>
  <si>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</si>
  <si>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</si>
  <si>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</si>
  <si>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</si>
  <si>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</si>
  <si>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</si>
  <si>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</si>
  <si>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</si>
  <si>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</si>
  <si>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</si>
  <si>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</si>
  <si>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</si>
  <si>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</si>
  <si>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</si>
  <si>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</si>
  <si>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</si>
  <si>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</si>
  <si>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</si>
  <si>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</si>
  <si>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</si>
  <si>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</si>
  <si>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</si>
  <si>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</si>
  <si>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</si>
  <si>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</si>
  <si>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</si>
  <si>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</si>
  <si>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</si>
  <si>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</si>
  <si>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</si>
  <si>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</si>
  <si>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</si>
  <si>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</si>
  <si>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</si>
  <si>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</si>
  <si>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</si>
  <si>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</si>
  <si>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</si>
  <si>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</si>
  <si>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</si>
  <si>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</si>
  <si>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</si>
  <si>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</si>
  <si>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</si>
  <si>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</si>
  <si>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</si>
  <si>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</si>
  <si>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</si>
  <si>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</si>
  <si>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</si>
  <si>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</si>
  <si>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</si>
  <si>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</si>
  <si>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</si>
  <si>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</si>
  <si>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</si>
  <si>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</si>
  <si>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</si>
  <si>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</si>
  <si>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</si>
  <si>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</si>
  <si>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</si>
  <si>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</si>
  <si>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</si>
  <si>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</si>
  <si>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</si>
  <si>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</si>
  <si>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</si>
  <si>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</si>
  <si>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</si>
  <si>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</si>
  <si>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</si>
  <si>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</si>
  <si>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</si>
  <si>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</si>
  <si>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</si>
  <si>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</si>
  <si>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</si>
  <si>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</si>
  <si>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</si>
  <si>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</si>
  <si>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</si>
  <si>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</si>
  <si>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</si>
  <si>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</si>
  <si>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</si>
  <si>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</si>
  <si>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</si>
  <si>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</si>
  <si>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</si>
  <si>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</si>
  <si>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</si>
  <si>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</si>
  <si>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</si>
  <si>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</si>
  <si>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</si>
  <si>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</si>
  <si>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</si>
  <si>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</si>
  <si>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</si>
  <si>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</si>
  <si>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</si>
  <si>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</si>
  <si>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</si>
  <si>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</si>
  <si>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</si>
  <si>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</si>
  <si>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</si>
  <si>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</si>
  <si>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</si>
  <si>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</si>
  <si>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</si>
  <si>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</si>
  <si>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</si>
  <si>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</si>
  <si>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</si>
  <si>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</si>
  <si>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</si>
  <si>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</si>
  <si>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</si>
  <si>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</si>
  <si>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</si>
  <si>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</si>
  <si>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</si>
  <si>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</si>
  <si>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</si>
  <si>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</si>
  <si>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</si>
  <si>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</si>
  <si>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</si>
  <si>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</si>
  <si>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</si>
  <si>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</si>
  <si>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</si>
  <si>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</si>
  <si>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</si>
  <si>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</si>
  <si>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</si>
  <si>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</si>
  <si>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</si>
  <si>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</si>
  <si>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</si>
  <si>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</si>
  <si>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</si>
  <si>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</si>
  <si>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</si>
  <si>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</si>
  <si>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</si>
  <si>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</si>
  <si>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</si>
  <si>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</si>
  <si>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</si>
  <si>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</si>
  <si>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</si>
  <si>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</si>
  <si>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</si>
  <si>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</si>
  <si>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</si>
  <si>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</si>
  <si>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</si>
  <si>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</si>
  <si>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</si>
  <si>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</si>
  <si>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</si>
  <si>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</si>
  <si>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</si>
  <si>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</si>
  <si>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</si>
  <si>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</si>
  <si>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</si>
  <si>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</si>
  <si>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</si>
  <si>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</si>
  <si>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</si>
  <si>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</si>
  <si>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</si>
  <si>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</si>
  <si>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</si>
  <si>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</si>
  <si>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</si>
  <si>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</si>
  <si>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</si>
  <si>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</si>
  <si>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</si>
  <si>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</si>
  <si>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</si>
  <si>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</si>
  <si>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</si>
  <si>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</si>
  <si>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</si>
  <si>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</si>
  <si>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</si>
  <si>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</si>
  <si>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</si>
  <si>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</si>
  <si>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</si>
  <si>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</si>
  <si>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</si>
  <si>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</si>
  <si>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</si>
  <si>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</si>
  <si>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</si>
  <si>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</si>
  <si>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</si>
  <si>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</si>
  <si>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</si>
  <si>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</si>
  <si>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</si>
  <si>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</si>
  <si>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</si>
  <si>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</si>
  <si>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</si>
  <si>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</si>
  <si>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</si>
  <si>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</si>
  <si>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</si>
  <si>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</si>
  <si>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</si>
  <si>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</si>
  <si>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</si>
  <si>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</si>
  <si>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</si>
  <si>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</si>
  <si>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</si>
  <si>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</si>
  <si>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</si>
  <si>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</si>
  <si>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</si>
  <si>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</si>
  <si>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</si>
  <si>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</si>
  <si>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</si>
  <si>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</si>
  <si>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</si>
  <si>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</si>
  <si>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</si>
  <si>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</si>
  <si>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</si>
  <si>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</si>
  <si>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</si>
  <si>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</si>
  <si>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</si>
  <si>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</si>
  <si>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</si>
  <si>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</si>
  <si>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</si>
  <si>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</si>
  <si>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</si>
  <si>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</si>
  <si>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</si>
  <si>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</si>
  <si>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</si>
  <si>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</si>
  <si>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</si>
  <si>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</si>
  <si>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</si>
  <si>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</si>
  <si>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</si>
  <si>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</si>
  <si>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</si>
  <si>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</si>
  <si>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</si>
  <si>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</si>
  <si>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</si>
  <si>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</si>
  <si>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</si>
  <si>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</si>
  <si>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</si>
  <si>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</si>
  <si>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</si>
  <si>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</si>
  <si>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</si>
  <si>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</si>
  <si>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</si>
  <si>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</si>
  <si>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</si>
  <si>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</si>
  <si>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</si>
  <si>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</si>
  <si>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</si>
  <si>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</si>
  <si>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</si>
  <si>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</si>
  <si>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</si>
  <si>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</si>
  <si>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</si>
  <si>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</si>
  <si>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</si>
  <si>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</si>
  <si>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</si>
  <si>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</si>
  <si>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</si>
  <si>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</si>
  <si>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</si>
  <si>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</si>
  <si>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</si>
  <si>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</si>
  <si>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</si>
  <si>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</si>
  <si>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</si>
  <si>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</si>
  <si>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</si>
  <si>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</si>
  <si>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</si>
  <si>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</si>
  <si>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</si>
  <si>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</si>
  <si>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</si>
  <si>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</si>
  <si>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</si>
  <si>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</si>
  <si>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</si>
  <si>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</si>
  <si>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</si>
  <si>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</si>
  <si>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</si>
  <si>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</si>
  <si>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</si>
  <si>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</si>
  <si>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</si>
  <si>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</si>
  <si>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</si>
  <si>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</si>
  <si>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</si>
  <si>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</si>
  <si>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</si>
  <si>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</si>
  <si>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</si>
  <si>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</si>
  <si>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</si>
  <si>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</si>
  <si>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</si>
  <si>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</si>
  <si>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</si>
  <si>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</si>
  <si>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</si>
  <si>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</si>
  <si>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</si>
  <si>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</si>
  <si>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</si>
  <si>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</si>
  <si>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</si>
  <si>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</si>
  <si>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</si>
  <si>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</si>
  <si>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</si>
  <si>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</si>
  <si>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</si>
  <si>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</si>
  <si>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</si>
  <si>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</si>
  <si>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</si>
  <si>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</si>
  <si>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</si>
  <si>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</si>
  <si>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</si>
  <si>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</si>
  <si>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</si>
  <si>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</si>
  <si>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</si>
  <si>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</si>
  <si>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</si>
  <si>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</si>
  <si>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</si>
  <si>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</si>
  <si>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</si>
  <si>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</si>
  <si>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</si>
  <si>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</si>
  <si>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</si>
  <si>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</si>
  <si>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</si>
  <si>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</si>
  <si>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</si>
  <si>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</si>
  <si>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</si>
  <si>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</si>
  <si>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</si>
  <si>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</si>
  <si>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</si>
  <si>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</si>
  <si>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</si>
  <si>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</si>
  <si>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</si>
  <si>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</si>
  <si>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</si>
  <si>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</si>
  <si>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</si>
  <si>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</si>
  <si>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</si>
  <si>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</si>
  <si>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</si>
  <si>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</si>
  <si>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</si>
  <si>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</si>
  <si>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</si>
  <si>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</si>
  <si>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</si>
  <si>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</si>
  <si>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</si>
  <si>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</si>
  <si>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</si>
  <si>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</si>
  <si>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</si>
  <si>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</si>
  <si>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</si>
  <si>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</si>
  <si>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</si>
  <si>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</si>
  <si>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</si>
  <si>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</si>
  <si>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</si>
  <si>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</si>
  <si>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</si>
  <si>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</si>
  <si>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</si>
  <si>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</si>
  <si>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</si>
  <si>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</si>
  <si>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</si>
  <si>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</si>
  <si>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</si>
  <si>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</si>
  <si>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</si>
  <si>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</si>
  <si>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</si>
  <si>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</si>
  <si>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</si>
  <si>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</si>
  <si>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</si>
  <si>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</si>
  <si>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</si>
  <si>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</si>
  <si>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</si>
  <si>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</si>
  <si>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</si>
  <si>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</si>
  <si>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</si>
  <si>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</si>
  <si>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</si>
  <si>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</si>
  <si>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</si>
  <si>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</si>
  <si>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</si>
  <si>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</si>
  <si>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</si>
  <si>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</si>
  <si>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</si>
  <si>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</si>
  <si>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</si>
  <si>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</si>
  <si>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</si>
  <si>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</si>
  <si>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</si>
  <si>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</si>
  <si>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</si>
  <si>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</si>
  <si>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</si>
  <si>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</si>
  <si>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</si>
  <si>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</si>
  <si>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</si>
  <si>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</si>
  <si>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</si>
  <si>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</si>
  <si>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</si>
  <si>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</si>
  <si>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</si>
  <si>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</si>
  <si>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</si>
  <si>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</si>
  <si>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</si>
  <si>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</si>
  <si>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</si>
  <si>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</si>
  <si>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</si>
  <si>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</si>
  <si>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</si>
  <si>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</si>
  <si>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</si>
  <si>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</si>
  <si>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</si>
  <si>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</si>
  <si>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</si>
  <si>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</si>
  <si>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</si>
  <si>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</si>
  <si>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</si>
  <si>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</si>
  <si>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</si>
  <si>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</si>
  <si>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</si>
  <si>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</si>
  <si>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</si>
  <si>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</si>
  <si>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</si>
  <si>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</si>
  <si>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</si>
  <si>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</si>
  <si>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</si>
  <si>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</si>
  <si>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</si>
  <si>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</si>
  <si>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</si>
  <si>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</si>
  <si>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</si>
  <si>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</si>
  <si>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</si>
  <si>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</si>
  <si>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</si>
  <si>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</si>
  <si>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</si>
  <si>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</si>
  <si>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</si>
  <si>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</si>
  <si>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</si>
  <si>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</si>
  <si>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</si>
  <si>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</si>
  <si>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</si>
  <si>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</si>
  <si>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</si>
  <si>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</si>
  <si>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</si>
  <si>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</si>
  <si>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</si>
  <si>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</si>
  <si>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</si>
  <si>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</si>
  <si>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</si>
  <si>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</si>
  <si>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</si>
  <si>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</si>
  <si>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</si>
  <si>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</si>
  <si>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</si>
  <si>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</si>
  <si>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</si>
  <si>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</si>
  <si>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</si>
  <si>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</si>
  <si>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</si>
  <si>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</si>
  <si>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</si>
  <si>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</si>
  <si>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</si>
  <si>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</si>
  <si>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</si>
  <si>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</si>
  <si>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</si>
  <si>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</si>
  <si>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</si>
  <si>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</si>
  <si>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</si>
  <si>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</si>
  <si>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</si>
  <si>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</si>
  <si>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</si>
  <si>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</si>
  <si>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</si>
  <si>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</si>
  <si>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</si>
  <si>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</si>
  <si>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</si>
  <si>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</si>
  <si>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</si>
  <si>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</si>
  <si>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</si>
  <si>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</si>
  <si>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</si>
  <si>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</si>
  <si>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</si>
  <si>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</si>
  <si>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</si>
  <si>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</si>
  <si>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</si>
  <si>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</si>
  <si>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</si>
  <si>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</si>
  <si>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</si>
  <si>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</si>
  <si>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</si>
  <si>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</si>
  <si>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</si>
  <si>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</si>
  <si>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</si>
  <si>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</si>
  <si>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</si>
  <si>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</si>
  <si>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</si>
  <si>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</si>
  <si>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</si>
  <si>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</si>
  <si>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</si>
  <si>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</si>
  <si>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</si>
  <si>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</si>
  <si>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</si>
  <si>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</si>
  <si>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</si>
  <si>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</si>
  <si>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</si>
  <si>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</si>
  <si>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</si>
  <si>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</si>
  <si>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</si>
  <si>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</si>
  <si>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</si>
  <si>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</si>
  <si>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</si>
  <si>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</si>
  <si>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</si>
  <si>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</si>
  <si>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</si>
  <si>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</si>
  <si>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</si>
  <si>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</si>
  <si>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</si>
  <si>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</si>
  <si>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</si>
  <si>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</si>
  <si>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</si>
  <si>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</si>
  <si>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</si>
  <si>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</si>
  <si>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</si>
  <si>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</si>
  <si>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</si>
  <si>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</si>
  <si>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</si>
  <si>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</si>
  <si>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</si>
  <si>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</si>
  <si>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</si>
  <si>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</si>
  <si>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</si>
  <si>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</si>
  <si>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</si>
  <si>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</si>
  <si>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</si>
  <si>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</si>
  <si>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</si>
  <si>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</si>
  <si>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</si>
  <si>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</si>
  <si>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</si>
  <si>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</si>
  <si>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</si>
  <si>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</si>
  <si>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</si>
  <si>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</si>
  <si>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</si>
  <si>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</si>
  <si>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</si>
  <si>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</si>
  <si>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</si>
  <si>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</si>
  <si>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</si>
  <si>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</si>
  <si>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</si>
  <si>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</si>
  <si>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</si>
  <si>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</si>
  <si>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</si>
  <si>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</si>
  <si>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</si>
  <si>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</si>
  <si>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</si>
  <si>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</si>
  <si>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</si>
  <si>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</si>
  <si>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</si>
  <si>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</si>
  <si>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</si>
  <si>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</si>
  <si>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</si>
  <si>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</si>
  <si>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</si>
  <si>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</si>
  <si>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</si>
  <si>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</si>
  <si>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</si>
  <si>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</si>
  <si>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</si>
  <si>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</si>
  <si>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</si>
  <si>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</si>
  <si>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</si>
  <si>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</si>
  <si>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</si>
  <si>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</si>
  <si>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</si>
  <si>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</si>
  <si>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</si>
  <si>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</si>
  <si>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</si>
  <si>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</si>
  <si>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</si>
  <si>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</si>
  <si>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</si>
  <si>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是</t>
  </si>
  <si>
    <t>地上</t>
  </si>
  <si>
    <t>建筑面积</t>
  </si>
  <si>
    <t>人防</t>
  </si>
  <si>
    <t>负3层</t>
  </si>
  <si>
    <t>负2层</t>
  </si>
  <si>
    <t>负1层夹层</t>
  </si>
  <si>
    <t>负1层</t>
  </si>
  <si>
    <t>附属用房1</t>
  </si>
  <si>
    <t>附属用房2</t>
  </si>
  <si>
    <t>地上办公</t>
  </si>
  <si>
    <t>地上设备</t>
  </si>
  <si>
    <t>地下车库</t>
  </si>
  <si>
    <t>地下设备</t>
  </si>
  <si>
    <t>地下</t>
  </si>
  <si>
    <t>工业</t>
    <phoneticPr fontId="7" type="noConversion"/>
  </si>
  <si>
    <t>车库</t>
    <phoneticPr fontId="7" type="noConversion"/>
  </si>
  <si>
    <t>现房</t>
  </si>
  <si>
    <t>工业项目</t>
  </si>
  <si>
    <t>无</t>
  </si>
  <si>
    <t>否</t>
  </si>
  <si>
    <t>通路</t>
  </si>
  <si>
    <t>通电</t>
  </si>
  <si>
    <t>通讯</t>
  </si>
  <si>
    <t>通上水</t>
  </si>
  <si>
    <t>通下水</t>
  </si>
  <si>
    <t>平整</t>
  </si>
  <si>
    <t>总</t>
  </si>
  <si>
    <t>建安造价</t>
  </si>
  <si>
    <t>总造价</t>
  </si>
  <si>
    <t>主体（含屋面、外装）</t>
  </si>
  <si>
    <t>装修</t>
  </si>
  <si>
    <t>机电设备</t>
  </si>
  <si>
    <t>室外工程</t>
  </si>
  <si>
    <t>占比</t>
  </si>
  <si>
    <t>主体</t>
  </si>
  <si>
    <t>设备</t>
  </si>
  <si>
    <t>室外</t>
  </si>
  <si>
    <t>高层</t>
  </si>
  <si>
    <t>多层</t>
  </si>
  <si>
    <t>-</t>
  </si>
  <si>
    <t>建筑类型</t>
    <phoneticPr fontId="134" type="noConversion"/>
  </si>
  <si>
    <t>成新度</t>
  </si>
  <si>
    <t>收益法</t>
    <phoneticPr fontId="16" type="noConversion"/>
  </si>
  <si>
    <t>收益法-办公</t>
  </si>
  <si>
    <t>收益法-办公</t>
    <phoneticPr fontId="16" type="noConversion"/>
  </si>
  <si>
    <t>收益法-车库</t>
  </si>
  <si>
    <t>收益法-车库</t>
    <phoneticPr fontId="16" type="noConversion"/>
  </si>
  <si>
    <t>估价对象容积率</t>
  </si>
  <si>
    <t>不临65条商业街</t>
  </si>
  <si>
    <t>Ⅶ-门1</t>
  </si>
  <si>
    <t>钢混</t>
  </si>
  <si>
    <t>非生产用房</t>
  </si>
  <si>
    <t>成本法</t>
  </si>
  <si>
    <t>收益法（汇总）</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</si>
  <si>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</si>
  <si>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</si>
  <si>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</si>
  <si>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</si>
  <si>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</si>
  <si>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</si>
  <si>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</si>
  <si>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</si>
  <si>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</si>
  <si>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</si>
  <si>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</si>
  <si>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</si>
  <si>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</si>
  <si>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</si>
  <si>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</si>
  <si>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</si>
  <si>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</si>
  <si>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</si>
  <si>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</si>
  <si>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成交每亩价(万元/亩)</t>
  </si>
  <si>
    <t>成交楼面价(元/㎡)</t>
  </si>
  <si>
    <t>溢价率(%)</t>
  </si>
  <si>
    <t>出让年限(年)</t>
  </si>
  <si>
    <t>北京市石景山区中关村科技园石景山园北Ⅱ区西井地块土地一级开发项目1606-605地块B23研发设计用地</t>
  </si>
  <si>
    <t>北京市</t>
  </si>
  <si>
    <t>京土储挂(石)[2022]070号</t>
  </si>
  <si>
    <t xml:space="preserve"> 商业/办公用地</t>
  </si>
  <si>
    <t xml:space="preserve"> 挂牌</t>
  </si>
  <si>
    <t xml:space="preserve"> B23研发设计用地</t>
  </si>
  <si>
    <t xml:space="preserve">-- </t>
  </si>
  <si>
    <t xml:space="preserve"> 已成交</t>
  </si>
  <si>
    <t xml:space="preserve"> 北京中关村工业互联网产业发展有限公司  </t>
  </si>
  <si>
    <t>2023-01-04 15:00</t>
  </si>
  <si>
    <t xml:space="preserve"> 50年</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</si>
  <si>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</si>
  <si>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</si>
  <si>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</si>
  <si>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</si>
  <si>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2021-10-25 15:00</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</si>
  <si>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</si>
  <si>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</si>
  <si>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</si>
  <si>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</si>
  <si>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</si>
  <si>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</si>
  <si>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</si>
  <si>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 xml:space="preserve"> 商业40年、办公50年</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</si>
  <si>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</si>
  <si>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</si>
  <si>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</si>
  <si>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</si>
  <si>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</si>
  <si>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</si>
  <si>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</si>
  <si>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</si>
  <si>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</si>
  <si>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</si>
  <si>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</si>
  <si>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</si>
  <si>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</si>
  <si>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</si>
  <si>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</si>
  <si>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</si>
  <si>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</si>
  <si>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</si>
  <si>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</si>
  <si>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</si>
  <si>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</si>
  <si>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</si>
  <si>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</si>
  <si>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</si>
  <si>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</si>
  <si>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</si>
  <si>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</si>
  <si>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</si>
  <si>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</si>
  <si>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</si>
  <si>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</si>
  <si>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</si>
  <si>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</si>
  <si>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 xml:space="preserve"> 商业40年、综合50年</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</si>
  <si>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</si>
  <si>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</si>
  <si>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</si>
  <si>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</si>
  <si>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</si>
  <si>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</si>
  <si>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</si>
  <si>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</si>
  <si>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 xml:space="preserve"> --</t>
  </si>
  <si>
    <t>石景山区鲁谷路C2商业金融用地(原北京市弹簧厂)</t>
  </si>
  <si>
    <t>京土整储挂(石)[2013]025号</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</si>
  <si>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</si>
  <si>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</si>
  <si>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</si>
  <si>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</si>
  <si>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</si>
  <si>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 xml:space="preserve"> 商业:40年、综合:50年</t>
  </si>
  <si>
    <t>石景山区银河商务区二期</t>
  </si>
  <si>
    <t>京土整储招(石)[2007]022号</t>
  </si>
  <si>
    <t xml:space="preserve"> 公共设施用地(C)</t>
  </si>
  <si>
    <t xml:space="preserve"> 大连万达集团股份有限公司  </t>
  </si>
  <si>
    <t xml:space="preserve"> 商业40年综合50年</t>
  </si>
  <si>
    <t>石景山区鲁谷银河商务区I地块商业金融项目用地</t>
  </si>
  <si>
    <t>京土整储招(石)[2007]056号</t>
  </si>
  <si>
    <t xml:space="preserve"> 商业金融</t>
  </si>
  <si>
    <t xml:space="preserve"> 北京高校房地产开发总公司 、锡华实业投资集团有限公司投标联合体  </t>
  </si>
  <si>
    <t xml:space="preserve"> 商业40年</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</si>
  <si>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</si>
  <si>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</si>
  <si>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</si>
  <si>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</si>
  <si>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</si>
  <si>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</si>
  <si>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 xml:space="preserve"> 40年</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</si>
  <si>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</si>
  <si>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</si>
  <si>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</si>
  <si>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</si>
  <si>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</si>
  <si>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</si>
  <si>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 xml:space="preserve"> --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</si>
  <si>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</si>
  <si>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</si>
  <si>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</si>
  <si>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</si>
  <si>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</si>
  <si>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</si>
  <si>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</si>
  <si>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</si>
  <si>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</si>
  <si>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</si>
  <si>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</si>
  <si>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</si>
  <si>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</si>
  <si>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</si>
  <si>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</si>
  <si>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</si>
  <si>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</si>
  <si>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</si>
  <si>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</si>
  <si>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</si>
  <si>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</si>
  <si>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</si>
  <si>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</si>
  <si>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</si>
  <si>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科研用地</t>
    <phoneticPr fontId="30" type="noConversion"/>
  </si>
  <si>
    <t>商办用地</t>
  </si>
  <si>
    <t>商办用地</t>
    <phoneticPr fontId="30" type="noConversion"/>
  </si>
  <si>
    <t>无自持</t>
  </si>
  <si>
    <t>无自持</t>
    <phoneticPr fontId="30" type="noConversion"/>
  </si>
  <si>
    <t>自持20年</t>
  </si>
  <si>
    <t>七通</t>
  </si>
  <si>
    <t>六通</t>
  </si>
  <si>
    <t>五通</t>
  </si>
  <si>
    <t>四通</t>
  </si>
  <si>
    <t>三通</t>
  </si>
  <si>
    <t>一般</t>
  </si>
  <si>
    <t>较好</t>
  </si>
  <si>
    <t>正常</t>
  </si>
  <si>
    <t>是否自持</t>
    <phoneticPr fontId="30" type="noConversion"/>
  </si>
  <si>
    <t>无自持</t>
    <phoneticPr fontId="30" type="noConversion"/>
  </si>
  <si>
    <t>自持满年限</t>
    <phoneticPr fontId="30" type="noConversion"/>
  </si>
  <si>
    <t>自持满年限</t>
    <phoneticPr fontId="30" type="noConversion"/>
  </si>
  <si>
    <t>未包含在土地购买价格中</t>
  </si>
  <si>
    <t>全部缴纳</t>
  </si>
  <si>
    <t>已包含在土地取得成本中</t>
  </si>
  <si>
    <t>总价</t>
  </si>
  <si>
    <t>成本比率</t>
  </si>
  <si>
    <t>公共服务</t>
  </si>
  <si>
    <t>与级别开发程度一致</t>
  </si>
  <si>
    <t>较差</t>
  </si>
  <si>
    <t>好</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</si>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</sst>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0" fillId="0" borderId="0" xfId="0"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4"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估价对象为房地产,属开发建设的工业项目，该项目尚在开发建设中。根据《国有土地使用证》[]，估价对象（分摊）出让国有建设用地使用权面积为6294.36平方米，规划建筑面积为39707.96平方米。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2024年1月25日</v>
      </c>
    </row>
    <row r="13" spans="1:2" s="1202" customFormat="1">
      <c r="A13" s="1200" t="s">
        <v>529</v>
      </c>
      <c r="B13" s="1201"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67475</v>
      </c>
    </row>
    <row r="21" spans="1:2" s="1202" customFormat="1">
      <c r="A21" s="1200" t="s">
        <v>537</v>
      </c>
      <c r="B21" s="1201">
        <f ca="1">'预评函-2'!D7</f>
        <v>16993</v>
      </c>
    </row>
    <row r="22" spans="1:2" s="1202" customFormat="1">
      <c r="A22" s="1200" t="s">
        <v>538</v>
      </c>
      <c r="B22" s="1201" t="str">
        <f ca="1">'预评函-2'!D6</f>
        <v>陆亿柒仟肆佰柒拾伍万元整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67475</v>
      </c>
    </row>
    <row r="31" spans="1:2" s="1202" customFormat="1">
      <c r="A31" s="1200" t="s">
        <v>576</v>
      </c>
      <c r="B31" s="1201">
        <f ca="1">'预评函-2'!D15</f>
        <v>16993</v>
      </c>
    </row>
    <row r="32" spans="1:2" s="1202" customFormat="1">
      <c r="A32" s="1200" t="s">
        <v>543</v>
      </c>
      <c r="B32" s="1201" t="str">
        <f ca="1">'预评函-2'!D14</f>
        <v>陆亿柒仟肆佰柒拾伍万元整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39707.960000000006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39608</v>
      </c>
    </row>
    <row r="48" spans="1:2" s="1202" customFormat="1">
      <c r="A48" s="1200" t="s">
        <v>549</v>
      </c>
      <c r="B48" s="1201">
        <f ca="1">'预评函-3'!E4</f>
        <v>9975</v>
      </c>
    </row>
    <row r="49" spans="1:2" s="1202" customFormat="1">
      <c r="A49" s="1200" t="s">
        <v>550</v>
      </c>
      <c r="B49" s="1201" t="str">
        <f ca="1">'预评函-3'!D5</f>
        <v>叁亿玖仟陆佰零捌万元整</v>
      </c>
    </row>
    <row r="50" spans="1:2" s="1202" customFormat="1">
      <c r="A50" s="1200" t="s">
        <v>574</v>
      </c>
      <c r="B50" s="1201" t="str">
        <f>'预评函-3'!F2</f>
        <v>在建建筑物价值</v>
      </c>
    </row>
    <row r="51" spans="1:2" s="1202" customFormat="1">
      <c r="A51" s="1200" t="s">
        <v>551</v>
      </c>
      <c r="B51" s="1201">
        <f ca="1">'预评函-3'!F4</f>
        <v>27867</v>
      </c>
    </row>
    <row r="52" spans="1:2" s="1202" customFormat="1">
      <c r="A52" s="1200" t="s">
        <v>552</v>
      </c>
      <c r="B52" s="1201">
        <f ca="1">'预评函-3'!G4</f>
        <v>7018</v>
      </c>
    </row>
    <row r="53" spans="1:2" s="1202" customFormat="1">
      <c r="A53" s="1200" t="s">
        <v>580</v>
      </c>
      <c r="B53" s="1201" t="str">
        <f ca="1">'预评函-3'!F5</f>
        <v>贰亿柒仟捌佰陆拾柒万元整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3425</v>
      </c>
      <c r="C5" s="1546" t="s">
        <v>318</v>
      </c>
      <c r="F5" s="1547" t="s">
        <v>1015</v>
      </c>
      <c r="G5" s="1547">
        <v>70</v>
      </c>
      <c r="H5" s="1547" t="s">
        <v>1016</v>
      </c>
      <c r="I5" s="1547" t="s">
        <v>3342</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3343</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3344</v>
      </c>
    </row>
    <row r="8" spans="1:23">
      <c r="A8" s="1545" t="s">
        <v>1025</v>
      </c>
      <c r="B8" s="1545" t="s">
        <v>1026</v>
      </c>
      <c r="C8" s="1546" t="s">
        <v>319</v>
      </c>
      <c r="F8" s="1547" t="s">
        <v>1027</v>
      </c>
      <c r="H8" s="1547" t="s">
        <v>2579</v>
      </c>
      <c r="I8" s="1547" t="s">
        <v>3345</v>
      </c>
    </row>
    <row r="9" spans="1:23">
      <c r="A9" s="1545" t="s">
        <v>1028</v>
      </c>
      <c r="B9" s="1545" t="s">
        <v>1029</v>
      </c>
      <c r="C9" s="1546" t="s">
        <v>320</v>
      </c>
      <c r="F9" s="1547" t="s">
        <v>1030</v>
      </c>
      <c r="H9" s="1547"/>
      <c r="I9" s="1550" t="s">
        <v>3346</v>
      </c>
    </row>
    <row r="10" spans="1:23">
      <c r="A10" s="1545" t="s">
        <v>1031</v>
      </c>
      <c r="B10" s="1545" t="s">
        <v>1032</v>
      </c>
      <c r="C10" s="1546" t="s">
        <v>321</v>
      </c>
      <c r="F10" s="1547" t="s">
        <v>2580</v>
      </c>
      <c r="I10" s="1550" t="s">
        <v>3347</v>
      </c>
    </row>
    <row r="11" spans="1:23">
      <c r="A11" s="1545" t="s">
        <v>1033</v>
      </c>
      <c r="B11" s="1545" t="s">
        <v>1034</v>
      </c>
      <c r="C11" s="1546" t="s">
        <v>322</v>
      </c>
      <c r="F11" s="1547" t="s">
        <v>13</v>
      </c>
      <c r="I11" s="1550" t="s">
        <v>3348</v>
      </c>
    </row>
    <row r="12" spans="1:23">
      <c r="A12" s="1545" t="s">
        <v>1035</v>
      </c>
      <c r="B12" s="1545" t="s">
        <v>1036</v>
      </c>
      <c r="C12" s="1546" t="s">
        <v>323</v>
      </c>
      <c r="I12" s="1550" t="s">
        <v>3349</v>
      </c>
    </row>
    <row r="13" spans="1:23">
      <c r="A13" s="1545" t="s">
        <v>1037</v>
      </c>
      <c r="B13" s="1545" t="s">
        <v>1038</v>
      </c>
      <c r="C13" s="1546" t="s">
        <v>324</v>
      </c>
      <c r="I13" s="1550" t="s">
        <v>3350</v>
      </c>
    </row>
    <row r="14" spans="1:23">
      <c r="A14" s="1545" t="s">
        <v>1039</v>
      </c>
      <c r="B14" s="1545" t="s">
        <v>1040</v>
      </c>
      <c r="C14" s="1547" t="s">
        <v>13</v>
      </c>
      <c r="I14" s="1550" t="s">
        <v>3351</v>
      </c>
    </row>
    <row r="15" spans="1:23">
      <c r="A15" s="1545" t="s">
        <v>1041</v>
      </c>
      <c r="B15" s="1545" t="s">
        <v>1042</v>
      </c>
      <c r="C15" s="1546"/>
      <c r="I15" s="1550" t="s">
        <v>3352</v>
      </c>
    </row>
    <row r="16" spans="1:23">
      <c r="A16" s="1545" t="s">
        <v>1043</v>
      </c>
      <c r="B16" s="1545" t="s">
        <v>312</v>
      </c>
      <c r="C16" s="1546"/>
    </row>
    <row r="17" spans="1:3">
      <c r="A17" s="1545" t="s">
        <v>1044</v>
      </c>
      <c r="B17" s="1545" t="s">
        <v>2291</v>
      </c>
      <c r="C17" s="1546"/>
    </row>
    <row r="18" spans="1:3">
      <c r="A18" s="1545" t="s">
        <v>1045</v>
      </c>
      <c r="B18" s="1545" t="s">
        <v>2435</v>
      </c>
      <c r="C18" s="1546"/>
    </row>
    <row r="19" spans="1:3">
      <c r="A19" s="1545" t="s">
        <v>1046</v>
      </c>
      <c r="B19" s="1545" t="s">
        <v>3427</v>
      </c>
      <c r="C19" s="1546"/>
    </row>
    <row r="20" spans="1:3">
      <c r="A20" s="1545" t="s">
        <v>1047</v>
      </c>
      <c r="B20" s="1545" t="s">
        <v>3429</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0" t="s">
        <v>2582</v>
      </c>
      <c r="J2" s="3500"/>
      <c r="K2" s="3500"/>
      <c r="L2" s="3500"/>
      <c r="M2" s="3500"/>
      <c r="N2" s="3500"/>
      <c r="O2" s="3500"/>
      <c r="P2" s="3500"/>
      <c r="Q2" s="3500"/>
      <c r="R2" s="3500"/>
    </row>
    <row r="3" spans="1:18">
      <c r="A3" s="3019" t="s">
        <v>2503</v>
      </c>
      <c r="B3" s="3020">
        <f>项目基本情况!D3</f>
        <v>45316</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2.9</v>
      </c>
      <c r="D5" s="3024">
        <f>IF(ISERROR(ROUND(POWER(1+E5,A5-C5)*(POWER(1+E5,C5)-1)/(POWER(1+E5,A5)-1),3)),0,ROUND(POWER(1+E5,A5-C5)*(POWER(1+E5,C5)-1)/(POWER(1+E5,A5)-1),4))</f>
        <v>0.1358</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12.9</v>
      </c>
      <c r="D6" s="3024">
        <f>IF(ISERROR(ROUND(POWER(1+E6,A6-C6)*(POWER(1+E6,C6)-1)/(POWER(1+E6,A6)-1),3)),0,ROUND(POWER(1+E6,A6-C6)*(POWER(1+E6,C6)-1)/(POWER(1+E6,A6)-1),4))</f>
        <v>0.46210000000000001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32.92</v>
      </c>
      <c r="D7" s="3024">
        <f>IF(ISERROR(ROUND(POWER(1+E7,A7-C7)*(POWER(1+E7,C7)-1)/(POWER(1+E7,A7)-1),3)),0,ROUND(POWER(1+E7,A7-C7)*(POWER(1+E7,C7)-1)/(POWER(1+E7,A7)-1),4))</f>
        <v>0.77480000000000004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9" t="str">
        <f>IF(B10="北京市","北京市",C10)&amp;F10&amp;IF(结果表!G1="在建","出让国有建设用地使用权及在建建筑物",IF(结果表!G1="土地","出让国有建设用地使用权",))&amp;B9&amp;"预评估"</f>
        <v>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2168</v>
      </c>
      <c r="B3" s="2372"/>
      <c r="C3" s="2373" t="s">
        <v>2169</v>
      </c>
      <c r="D3" s="2372">
        <v>45316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3381</v>
      </c>
      <c r="C8" s="2389"/>
      <c r="D8" s="3512" t="s">
        <v>2175</v>
      </c>
      <c r="E8" s="2390"/>
      <c r="F8" s="2391"/>
      <c r="G8" s="2662"/>
      <c r="H8" s="2662"/>
      <c r="I8" s="2662"/>
      <c r="J8" s="2438"/>
      <c r="K8" s="2613"/>
      <c r="L8" s="2612"/>
      <c r="M8" s="2612"/>
      <c r="N8" s="2438"/>
      <c r="O8" s="2449"/>
      <c r="P8" s="2438"/>
      <c r="Q8" s="2438"/>
      <c r="R8" s="2438"/>
    </row>
    <row r="9" spans="1:30" ht="13.5" thickBot="1">
      <c r="A9" s="2392" t="s">
        <v>2176</v>
      </c>
      <c r="B9" s="2393"/>
      <c r="C9" s="2394"/>
      <c r="D9" s="3513"/>
      <c r="E9" s="2393"/>
      <c r="F9" s="2395"/>
      <c r="G9" s="2664"/>
      <c r="H9" s="2664"/>
      <c r="I9" s="2664"/>
      <c r="J9" s="2438"/>
      <c r="K9" s="2615"/>
      <c r="L9" s="2612"/>
      <c r="M9" s="2612"/>
      <c r="N9" s="2438"/>
      <c r="O9" s="2449"/>
      <c r="P9" s="2438"/>
      <c r="Q9" s="2438"/>
      <c r="R9" s="2438"/>
    </row>
    <row r="10" spans="1:30" ht="13.5" thickTop="1">
      <c r="A10" s="2396" t="s">
        <v>2177</v>
      </c>
      <c r="B10" s="2397"/>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3334</v>
      </c>
      <c r="B13" s="2406" t="s">
        <v>2188</v>
      </c>
      <c r="C13" s="856"/>
      <c r="D13" s="856"/>
      <c r="E13" s="856"/>
      <c r="F13" s="856">
        <v>57017</v>
      </c>
      <c r="G13" s="856"/>
      <c r="H13" s="856">
        <v>57017</v>
      </c>
      <c r="I13" s="856">
        <v>57017</v>
      </c>
      <c r="J13" s="3061"/>
      <c r="K13" s="2612"/>
      <c r="L13" s="2612"/>
      <c r="M13" s="2438"/>
      <c r="N13" s="2449"/>
      <c r="O13" s="2438"/>
      <c r="P13" s="2438"/>
      <c r="Q13" s="2438"/>
      <c r="AD13" s="1744"/>
    </row>
    <row r="14" spans="1:30">
      <c r="A14" s="1081"/>
      <c r="B14" s="2406" t="s">
        <v>2189</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t="str">
        <f>IF(A13="出让",IF(E13="","",ROUNDDOWN(MIN((E13-$D$3)/365,E14),2)),E14)</f>
        <v/>
      </c>
      <c r="F15" s="2409">
        <f>IF(A13="出让",IF(F13="","",ROUNDDOWN(MIN((F13-$D$3)/365,F14),2)),F14)</f>
        <v>32.049999999999997</v>
      </c>
      <c r="G15" s="2409" t="str">
        <f>IF(A13="出让",IF(G13="","",ROUNDDOWN(MIN((G13-$D$3)/365,G14),2)),G14)</f>
        <v/>
      </c>
      <c r="H15" s="2409">
        <f>IF(A13="出让",IF(H13="","",ROUNDDOWN(MIN((H13-$D$3)/365,H14),2)),H14)</f>
        <v>32.049999999999997</v>
      </c>
      <c r="I15" s="2409">
        <f>IF(A13="出让",IF(I13="","",ROUNDDOWN(MIN((I13-$D$3)/365,I14),2)),I14)</f>
        <v>32.049999999999997</v>
      </c>
      <c r="J15" s="3063"/>
      <c r="K15" s="2450"/>
      <c r="L15" s="2450"/>
      <c r="M15" s="2508"/>
      <c r="N15" s="2450"/>
      <c r="O15" s="2508"/>
      <c r="P15" s="2438"/>
      <c r="Q15" s="2438"/>
      <c r="AD15" s="1744"/>
    </row>
    <row r="16" spans="1:30">
      <c r="A16" s="2399" t="s">
        <v>2191</v>
      </c>
      <c r="B16" s="3519"/>
      <c r="C16" s="3520"/>
      <c r="D16" s="3521"/>
      <c r="E16" s="2412" t="s">
        <v>2192</v>
      </c>
      <c r="F16" s="3522"/>
      <c r="G16" s="3523"/>
      <c r="H16" s="3523"/>
      <c r="I16" s="3524"/>
      <c r="J16" s="2438"/>
      <c r="K16" s="2616"/>
      <c r="L16" s="2450"/>
      <c r="M16" s="2450"/>
      <c r="N16" s="2508"/>
      <c r="O16" s="2450"/>
      <c r="P16" s="2508"/>
      <c r="Q16" s="2438"/>
      <c r="R16" s="2438"/>
    </row>
    <row r="17" spans="1:28">
      <c r="A17" s="313" t="s">
        <v>2193</v>
      </c>
      <c r="B17" s="302" t="s">
        <v>2194</v>
      </c>
      <c r="C17" s="8">
        <f>'数据-汇总表'!E3</f>
        <v>39707.960000000006</v>
      </c>
      <c r="D17" s="2321" t="s">
        <v>2195</v>
      </c>
      <c r="E17" s="3525" t="s">
        <v>2196</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6294.36</v>
      </c>
      <c r="D18" s="1092" t="s">
        <v>2199</v>
      </c>
      <c r="E18" s="3528" t="s">
        <v>2200</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1054</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5" t="s">
        <v>2204</v>
      </c>
      <c r="C20" s="3516"/>
      <c r="D20" s="3517" t="s">
        <v>2205</v>
      </c>
      <c r="E20" s="3518"/>
      <c r="F20" s="2646" t="s">
        <v>1055</v>
      </c>
      <c r="G20" s="2663"/>
      <c r="H20" s="2663"/>
      <c r="I20" s="2663"/>
      <c r="J20" s="2438"/>
      <c r="K20" s="3514"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1056</v>
      </c>
      <c r="D21" s="1567" t="s">
        <v>2208</v>
      </c>
      <c r="E21" s="2634" t="s">
        <v>1056</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1057</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2" t="s">
        <v>2212</v>
      </c>
      <c r="B27" s="320" t="s">
        <v>2213</v>
      </c>
      <c r="C27" s="2415" t="s">
        <v>3400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2" t="s">
        <v>2214</v>
      </c>
      <c r="C28" s="2417" t="s">
        <v>3401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2" t="s">
        <v>2215</v>
      </c>
      <c r="C29" s="2419" t="s">
        <v>3402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2" t="s">
        <v>2216</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2217</v>
      </c>
      <c r="B31" s="2421" t="s">
        <v>3399</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t="s">
        <v>3403</v>
      </c>
      <c r="C34" s="2025" t="s">
        <v>3404</v>
      </c>
      <c r="D34" s="2025" t="s">
        <v>3405</v>
      </c>
      <c r="E34" s="2025" t="s">
        <v>3406</v>
      </c>
      <c r="F34" s="2025" t="s">
        <v>3407</v>
      </c>
      <c r="G34" s="2025" t="s">
        <v>3408</v>
      </c>
      <c r="H34" s="2025"/>
      <c r="I34" s="2663"/>
      <c r="J34" s="2438"/>
      <c r="K34" s="2426">
        <f>COUNTIF(B34:H34,"——")</f>
        <v>0</v>
      </c>
      <c r="L34" s="323" t="s">
        <v>2219</v>
      </c>
      <c r="M34" s="323" t="s">
        <v>2220</v>
      </c>
      <c r="N34" s="323" t="s">
        <v>2221</v>
      </c>
      <c r="O34" s="323" t="s">
        <v>2222</v>
      </c>
      <c r="P34" s="323" t="s">
        <v>2223</v>
      </c>
      <c r="Q34" s="323" t="s">
        <v>2224</v>
      </c>
      <c r="R34" s="323" t="s">
        <v>2225</v>
      </c>
      <c r="S34" s="3501" t="s">
        <v>2226</v>
      </c>
      <c r="T34" s="2427" t="str">
        <f>NUMBERSTRING(7-K34,1)&amp;"通"</f>
        <v>七通</v>
      </c>
      <c r="U34" s="2438"/>
      <c r="V34" s="2438"/>
    </row>
    <row r="35" spans="1:30">
      <c r="A35" s="2428"/>
      <c r="B35" s="3508" t="s">
        <v>2227</v>
      </c>
      <c r="C35" s="3508"/>
      <c r="D35" s="3508"/>
      <c r="E35" s="3508"/>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1"/>
      <c r="T35" s="329" t="str">
        <f>IF(T34="一通",L35,IF(T34="二通",M35,IF(T34="三通",N35,IF(T34="四通",O35,IF(T34="五通",P35,IF(T34="六通",Q35,R35))))))</f>
        <v>通路、通电、通讯、通上水、通下水、平整、</v>
      </c>
      <c r="U35" s="2438"/>
      <c r="V35" s="2438"/>
    </row>
    <row r="36" spans="1:30">
      <c r="A36" s="2429"/>
      <c r="B36" s="664" t="s">
        <v>2183</v>
      </c>
      <c r="C36" s="664" t="s">
        <v>2184</v>
      </c>
      <c r="D36" s="664" t="s">
        <v>2182</v>
      </c>
      <c r="E36" s="664"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3432</v>
      </c>
      <c r="F38" s="2431" t="s">
        <v>3432</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1066</v>
      </c>
      <c r="AZ2" s="1049"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39707.960000000006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1071</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3383</v>
      </c>
      <c r="J9" s="809"/>
      <c r="K9" s="1602" t="s">
        <v>3396</v>
      </c>
      <c r="L9" s="809"/>
      <c r="M9" s="1602"/>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3335</v>
      </c>
      <c r="L10" s="809"/>
      <c r="M10" s="1608"/>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3382</v>
      </c>
      <c r="E13" s="13">
        <f>IF($C$3="是",ROUND($A$3*G13/$B$3,2),ROUND($A$3*(G13-AT13)/$B$3,2))</f>
        <v>6294.36</v>
      </c>
      <c r="F13" s="29"/>
      <c r="G13" s="30">
        <f>H13+AC13+AT13</f>
        <v>39707.960000000006</v>
      </c>
      <c r="H13" s="17">
        <f>SUMIF(I$12:AB$12,"总值",I13:AB13)</f>
        <v>39425.990000000005</v>
      </c>
      <c r="I13" s="1625">
        <f>面积!C29</f>
        <v>32206.960000000006</v>
      </c>
      <c r="J13" s="1625"/>
      <c r="K13" s="1625">
        <f>面积!C31</f>
        <v>7219.03</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面积!C30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40" t="s">
        <v>1130</v>
      </c>
      <c r="B2" s="3540"/>
      <c r="C2" s="3540"/>
      <c r="D2" s="796" t="s">
        <v>1106</v>
      </c>
      <c r="E2" s="1638" t="s">
        <v>1107</v>
      </c>
      <c r="F2" s="2658"/>
      <c r="G2" s="2649"/>
      <c r="H2" s="2650"/>
      <c r="I2" s="2324" t="s">
        <v>1131</v>
      </c>
      <c r="J2" s="2658"/>
      <c r="K2" s="2658"/>
      <c r="L2" s="2658"/>
      <c r="M2" s="2658"/>
      <c r="N2" s="2660"/>
      <c r="O2" s="2658"/>
      <c r="P2" s="2658"/>
    </row>
    <row r="3" spans="1:16" ht="15.75" thickBot="1">
      <c r="A3" s="3541" t="s">
        <v>1104</v>
      </c>
      <c r="B3" s="3541"/>
      <c r="C3" s="3541"/>
      <c r="D3" s="43">
        <f>'数据-基础表'!AY6</f>
        <v>6294.36</v>
      </c>
      <c r="E3" s="43">
        <f>'数据-基础表'!AZ5</f>
        <v>39707.960000000006</v>
      </c>
      <c r="F3" s="2658"/>
      <c r="G3" s="1145"/>
      <c r="H3" s="1026" t="s">
        <v>1105</v>
      </c>
      <c r="I3" s="855">
        <f>ROUND('数据-基础表'!B3/'数据-基础表'!A3,2)</f>
        <v>6.31</v>
      </c>
      <c r="J3" s="2658"/>
      <c r="K3" s="2658"/>
      <c r="L3" s="2658"/>
      <c r="M3" s="2658"/>
      <c r="N3" s="2660"/>
      <c r="O3" s="2658"/>
      <c r="P3" s="2658"/>
    </row>
    <row r="4" spans="1:16" ht="15">
      <c r="A4" s="3542"/>
      <c r="B4" s="3543"/>
      <c r="C4" s="3544"/>
      <c r="D4" s="1640" t="s">
        <v>1106</v>
      </c>
      <c r="E4" s="1641" t="s">
        <v>1107</v>
      </c>
      <c r="F4" s="2658"/>
      <c r="G4" s="2651" t="s">
        <v>1132</v>
      </c>
      <c r="H4" s="1026" t="s">
        <v>1112</v>
      </c>
      <c r="I4" s="855">
        <f>ROUND(SUMIF('数据-基础表'!I9:AS9,"地上",'数据-基础表'!I5:AS5)/'数据-基础表'!A3,2)</f>
        <v>5.16</v>
      </c>
      <c r="J4" s="2658"/>
      <c r="K4" s="2658"/>
      <c r="L4" s="2658"/>
      <c r="M4" s="2658"/>
      <c r="N4" s="2660"/>
      <c r="O4" s="2658"/>
      <c r="P4" s="2658"/>
    </row>
    <row r="5" spans="1:16">
      <c r="A5" s="44" t="s">
        <v>1108</v>
      </c>
      <c r="B5" s="3545" t="s">
        <v>1109</v>
      </c>
      <c r="C5" s="3545"/>
      <c r="D5" s="45">
        <f>ROUND($D$3*E5/$E$3,2)</f>
        <v>0</v>
      </c>
      <c r="E5" s="46">
        <f>SUMIF('数据-基础表'!$11:$11,"住宅",'数据-基础表'!$5:$5)</f>
        <v>0</v>
      </c>
      <c r="F5" s="2658"/>
      <c r="G5" s="1145"/>
      <c r="H5" s="1026" t="s">
        <v>1105</v>
      </c>
      <c r="I5" s="855">
        <f>ROUND(E31/D31,2)</f>
        <v>6.31</v>
      </c>
      <c r="J5" s="2658"/>
      <c r="K5" s="2658"/>
      <c r="L5" s="2658"/>
      <c r="M5" s="2658"/>
      <c r="N5" s="2658"/>
      <c r="O5" s="2658"/>
      <c r="P5" s="2658"/>
    </row>
    <row r="6" spans="1:16" ht="15" thickBot="1">
      <c r="A6" s="1643"/>
      <c r="B6" s="3545" t="s">
        <v>1110</v>
      </c>
      <c r="C6" s="3545"/>
      <c r="D6" s="45">
        <f>ROUND($D$3*E6/$E$3,2)</f>
        <v>6294.36</v>
      </c>
      <c r="E6" s="46">
        <f>E3-E5</f>
        <v>39707.960000000006</v>
      </c>
      <c r="F6" s="2658"/>
      <c r="G6" s="2652" t="s">
        <v>1111</v>
      </c>
      <c r="H6" s="1146" t="s">
        <v>1112</v>
      </c>
      <c r="I6" s="2653">
        <f>ROUND(F31/D31,2)</f>
        <v>5.16</v>
      </c>
      <c r="J6" s="2658"/>
      <c r="K6" s="2658"/>
      <c r="L6" s="2658"/>
      <c r="M6" s="2658"/>
      <c r="N6" s="2658"/>
      <c r="O6" s="2658"/>
      <c r="P6" s="2658"/>
    </row>
    <row r="7" spans="1:16" ht="15.75" thickBot="1">
      <c r="A7" s="3537"/>
      <c r="B7" s="3538"/>
      <c r="C7" s="3539"/>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5105.33</v>
      </c>
      <c r="E8" s="48">
        <f>SUMIF('数据-基础表'!BB10:BK10,"地上",'数据-基础表'!BB5:BK5)</f>
        <v>32206.960000000006</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1144.33</v>
      </c>
      <c r="E13" s="48">
        <f>SUMPRODUCT(('数据-基础表'!BB10:BK10="地下")*('数据-基础表'!BB11:BK11="车库")*('数据-基础表'!BB5:BK5))</f>
        <v>7219.03</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6249.66</v>
      </c>
      <c r="E16" s="50">
        <f>SUM(E8:E15)</f>
        <v>39425.990000000005</v>
      </c>
      <c r="F16" s="2658"/>
      <c r="G16" s="2659"/>
      <c r="H16" s="1647" t="s">
        <v>1134</v>
      </c>
      <c r="I16" s="1648"/>
      <c r="J16" s="1139"/>
      <c r="K16" s="3534" t="s">
        <v>1134</v>
      </c>
      <c r="L16" s="3535"/>
      <c r="M16" s="3535"/>
      <c r="N16" s="3535"/>
      <c r="O16" s="3535"/>
      <c r="P16" s="3536"/>
    </row>
    <row r="17" spans="1:19" ht="15">
      <c r="A17" s="1649" t="s">
        <v>1135</v>
      </c>
      <c r="B17" s="1650" t="s">
        <v>1136</v>
      </c>
      <c r="C17" s="1651" t="s">
        <v>1137</v>
      </c>
      <c r="D17" s="1652" t="s">
        <v>1125</v>
      </c>
      <c r="E17" s="1653" t="s">
        <v>1126</v>
      </c>
      <c r="F17" s="1654"/>
      <c r="G17" s="1655"/>
      <c r="H17" s="1656" t="s">
        <v>1138</v>
      </c>
      <c r="I17" s="1657" t="s">
        <v>1123</v>
      </c>
      <c r="J17" s="1139"/>
      <c r="K17" s="3531" t="s">
        <v>1139</v>
      </c>
      <c r="L17" s="3532"/>
      <c r="M17" s="3533"/>
      <c r="N17" s="3531" t="s">
        <v>1140</v>
      </c>
      <c r="O17" s="3532"/>
      <c r="P17" s="3533"/>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6" t="s">
        <v>3397</v>
      </c>
      <c r="D19" s="45">
        <f>ROUND($D$3*E19/$E$3,2)</f>
        <v>5105.33</v>
      </c>
      <c r="E19" s="53">
        <f t="shared" ref="E19:E26" si="1">SUM(F19:G19)</f>
        <v>32206.960000000006</v>
      </c>
      <c r="F19" s="2794">
        <f>'数据-基础表'!I13</f>
        <v>32206.960000000006</v>
      </c>
      <c r="G19" s="2795"/>
      <c r="H19" s="670">
        <f>ROUND($D$3*I19/$E$3,2)</f>
        <v>36.51</v>
      </c>
      <c r="I19" s="48">
        <f t="shared" ref="I19:I26" si="2">IF($I$17="自定义",P19,M19)</f>
        <v>230.34</v>
      </c>
      <c r="J19" s="1139"/>
      <c r="K19" s="1138">
        <f t="shared" ref="K19:K26" si="3">ROUND(E$28*E19/E$27,2)</f>
        <v>230.34</v>
      </c>
      <c r="L19" s="1026">
        <f t="shared" ref="L19:L26" si="4">ROUND(IF(COUNTIF(C19,"*住宅*")&gt;0,E$29*E19/E$32,0),2)</f>
        <v>0</v>
      </c>
      <c r="M19" s="1150">
        <f>K19+L19</f>
        <v>230.34</v>
      </c>
      <c r="N19" s="1667"/>
      <c r="O19" s="1668"/>
      <c r="P19" s="1150">
        <f>N19+O19</f>
        <v>0</v>
      </c>
      <c r="R19" s="1026">
        <f t="shared" ref="R19:S26" si="5">D19+H19</f>
        <v>5141.84</v>
      </c>
      <c r="S19" s="1027">
        <f t="shared" si="5"/>
        <v>32437.300000000007</v>
      </c>
    </row>
    <row r="20" spans="1:19">
      <c r="A20" s="1669"/>
      <c r="B20" s="47" t="s">
        <v>1152</v>
      </c>
      <c r="C20" s="3416" t="s">
        <v>3398</v>
      </c>
      <c r="D20" s="45">
        <f t="shared" ref="D20:D26" si="6">ROUND($D$3*E20/$E$3,2)</f>
        <v>1144.33</v>
      </c>
      <c r="E20" s="53">
        <f t="shared" si="1"/>
        <v>7219.03</v>
      </c>
      <c r="F20" s="2794"/>
      <c r="G20" s="2795">
        <f>'数据-基础表'!K13</f>
        <v>7219.03</v>
      </c>
      <c r="H20" s="670">
        <f t="shared" ref="H20:H26" si="7">ROUND($D$3*I20/$E$3,2)</f>
        <v>8.18</v>
      </c>
      <c r="I20" s="48">
        <f t="shared" si="2"/>
        <v>51.63</v>
      </c>
      <c r="J20" s="1139"/>
      <c r="K20" s="1138">
        <f t="shared" si="3"/>
        <v>51.63</v>
      </c>
      <c r="L20" s="1026">
        <f t="shared" si="4"/>
        <v>0</v>
      </c>
      <c r="M20" s="1150">
        <f t="shared" ref="M20:M26" si="8">K20+L20</f>
        <v>51.63</v>
      </c>
      <c r="N20" s="1667"/>
      <c r="O20" s="1668"/>
      <c r="P20" s="1150">
        <f t="shared" ref="P20:P26" si="9">N20+O20</f>
        <v>0</v>
      </c>
      <c r="R20" s="1026">
        <f t="shared" si="5"/>
        <v>1152.51</v>
      </c>
      <c r="S20" s="1027">
        <f t="shared" si="5"/>
        <v>7270.66</v>
      </c>
    </row>
    <row r="21" spans="1:19">
      <c r="A21" s="1669"/>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6249.66</v>
      </c>
      <c r="E27" s="1141">
        <f>IF(SUM(E19:E26)='数据-基础表'!BA5,SUM(E19:E26),IF(F27="地上面积有误","面积有误","地下面积有误"))</f>
        <v>39425.990000000005</v>
      </c>
      <c r="F27" s="1140">
        <f>IF(SUM(F19:F26)=E8,SUM(F19:F26),"地上面积有误")</f>
        <v>32206.960000000006</v>
      </c>
      <c r="G27" s="1142">
        <f>SUM(G19:G26)</f>
        <v>7219.03</v>
      </c>
      <c r="H27" s="1143">
        <f>SUM(H19:H26)</f>
        <v>44.69</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t="str">
        <f>IF(SUM(R19:R26)=$D$3,SUM(R19:R26),SUM(R19:R26)&amp;"误差"&amp;ROUND(SUM(R19:R26)-$D$3,2))</f>
        <v>6294.35误差-0.01</v>
      </c>
      <c r="S27" s="1026">
        <f>IF(SUM(S19:S26)=$E$3,SUM(S19:S26),SUM(S19:S26)&amp;"误差"&amp;ROUND(SUM(S19:S26)-E3,2))</f>
        <v>39707.960000000006</v>
      </c>
    </row>
    <row r="28" spans="1:19">
      <c r="A28" s="1669"/>
      <c r="B28" s="47" t="s">
        <v>1154</v>
      </c>
      <c r="C28" s="1038" t="s">
        <v>1155</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1157</v>
      </c>
      <c r="D31" s="676">
        <f>D27+D30</f>
        <v>6294.36</v>
      </c>
      <c r="E31" s="676">
        <f>E27+E30</f>
        <v>39707.960000000006</v>
      </c>
      <c r="F31" s="677">
        <f>F27+F30</f>
        <v>32488.930000000008</v>
      </c>
      <c r="G31" s="678">
        <f>G27+G30</f>
        <v>7219.03</v>
      </c>
      <c r="H31" s="2658"/>
      <c r="I31" s="2658"/>
      <c r="J31" s="2658"/>
      <c r="K31" s="2658"/>
      <c r="L31" s="2658"/>
      <c r="M31" s="2658"/>
      <c r="N31" s="2658"/>
      <c r="O31" s="2658"/>
      <c r="P31" s="2658"/>
    </row>
    <row r="32" spans="1:19">
      <c r="A32" s="1642"/>
      <c r="B32" s="1642" t="s">
        <v>1158</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5">
        <f>项目基本情况!D3</f>
        <v>45316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3424</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3606</v>
      </c>
      <c r="D6" s="858">
        <f>SUMIF(项目基本情况!C$12:I$12,C6,项目基本情况!C$14:I$14)</f>
        <v>50</v>
      </c>
      <c r="E6" s="857">
        <f>IF(B6="","",SUMIF(项目基本情况!C$12:I$12,C6,项目基本情况!C$13:I$13))</f>
        <v>57017</v>
      </c>
      <c r="F6" s="64">
        <f>SUMIF(项目基本情况!C$12:I$12,C6,项目基本情况!C$15:I$15)</f>
        <v>32.049999999999997</v>
      </c>
      <c r="G6" s="65">
        <f>IF(ISERROR(ROUND(POWER(1+H6,D6-F6)*(POWER(1+H6,F6)-1)/(POWER(1+H6,D6)-1),3)),0,ROUND(POWER(1+H6,D6-F6)*(POWER(1+H6,F6)-1)/(POWER(1+H6,D6)-1),3))</f>
        <v>0.86599999999999999</v>
      </c>
      <c r="H6" s="732">
        <v>0.05</v>
      </c>
      <c r="I6" s="732">
        <v>5.5E-2</v>
      </c>
      <c r="J6" s="66">
        <v>7.0000000000000007E-2</v>
      </c>
      <c r="K6" s="1030">
        <f>SUMIF('数据-汇总表'!C$19:C$33,A6,'数据-汇总表'!E$19:E$33)</f>
        <v>32206.960000000006</v>
      </c>
      <c r="L6" s="733">
        <v>5800</v>
      </c>
      <c r="M6" s="67">
        <f t="shared" ref="M6:M14" si="0">ROUND(K6*L6/10000,0)</f>
        <v>18680</v>
      </c>
      <c r="N6" s="731">
        <f>ROUND(N18*0.5+N19*0.5,2)</f>
        <v>0.92</v>
      </c>
      <c r="O6" s="67" t="str">
        <f>IF($N$5="成新度","——",ROUND(M6*N6,0))</f>
        <v>——</v>
      </c>
      <c r="P6" s="68" t="str">
        <f>IF($N$5="成新度","——",M6-O6)</f>
        <v>——</v>
      </c>
      <c r="Q6" s="734">
        <v>0.15</v>
      </c>
      <c r="R6" s="69">
        <f ca="1">SUMIF('数据-汇总表'!C$19:C$33,A6,'数据-汇总表'!R$19:R$27)</f>
        <v>5141.84</v>
      </c>
      <c r="S6" s="51">
        <f>IF('数据-汇总表'!$I$17="按面积比例",SUMIF('数据-汇总表'!C$19:C$33,A6,'数据-汇总表'!K$19:K$33),SUMIF('数据-汇总表'!C$19:C$33,A6,'数据-汇总表'!N$19:N$33))</f>
        <v>230.34</v>
      </c>
      <c r="T6" s="1172">
        <f>ROUND($L$14*S6/10000,0)</f>
        <v>134</v>
      </c>
      <c r="U6" s="3427">
        <v>3.6</v>
      </c>
      <c r="V6" s="70">
        <v>2.5000000000000001E-2</v>
      </c>
      <c r="W6" s="70">
        <v>0.08</v>
      </c>
      <c r="X6" s="1040"/>
      <c r="Y6" s="71">
        <f>N6</f>
        <v>0.92</v>
      </c>
      <c r="Z6" s="72"/>
      <c r="AA6" s="66"/>
      <c r="AB6" s="66"/>
      <c r="AC6" s="1040"/>
      <c r="AD6" s="73"/>
      <c r="AE6" s="1041">
        <f ca="1">IF(AN6="",0,SUMIF(INDIRECT("'"&amp;AN6&amp;"'"&amp;"!E:E"),$AE$5,INDIRECT("'"&amp;AN6&amp;"'"&amp;"!F:F")))</f>
        <v>32.049999999999997</v>
      </c>
      <c r="AF6" s="1347"/>
      <c r="AG6" s="138">
        <f>IF(AF6="",0,AE6-AF6)</f>
        <v>0</v>
      </c>
      <c r="AH6" s="74"/>
      <c r="AI6" s="76">
        <v>365</v>
      </c>
      <c r="AJ6" s="77"/>
      <c r="AK6" s="78">
        <v>5.0000000000000001E-3</v>
      </c>
      <c r="AL6" s="79">
        <v>1.5E-3</v>
      </c>
      <c r="AM6" s="80">
        <v>5.0000000000000001E-3</v>
      </c>
      <c r="AN6" s="1714" t="s">
        <v>3426</v>
      </c>
      <c r="AO6" s="52">
        <f ca="1">SUMIF(INDIRECT("'"&amp;AN6&amp;"'"&amp;"!A:A"),"总价",INDIRECT("'"&amp;AN6&amp;"'"&amp;"!B:B"))</f>
        <v>62563</v>
      </c>
      <c r="AP6" s="1715">
        <f>IF(C6="住宅",K6*L6,0)</f>
        <v>0</v>
      </c>
      <c r="AQ6" s="52">
        <f>ROUND($L$14*$N$14*S6/10000,0)</f>
        <v>123</v>
      </c>
      <c r="AR6" s="52">
        <f>ROUND($L$14*(1-$N$14)*S6/10000,0)</f>
        <v>11</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3335</v>
      </c>
      <c r="D7" s="858">
        <f>SUMIF(项目基本情况!C$12:I$12,C7,项目基本情况!C$14:I$14)</f>
        <v>50</v>
      </c>
      <c r="E7" s="857">
        <f>IF(B7="","",SUMIF(项目基本情况!C$12:I$12,C7,项目基本情况!C$13:I$13))</f>
        <v>57017</v>
      </c>
      <c r="F7" s="64">
        <f>SUMIF(项目基本情况!C$12:I$12,C7,项目基本情况!C$15:I$15)</f>
        <v>32.049999999999997</v>
      </c>
      <c r="G7" s="65">
        <f t="shared" ref="G7:G11" si="2">IF(ISERROR(ROUND(POWER(1+H7,D7-F7)*(POWER(1+H7,F7)-1)/(POWER(1+H7,D7)-1),3)),0,ROUND(POWER(1+H7,D7-F7)*(POWER(1+H7,F7)-1)/(POWER(1+H7,D7)-1),3))</f>
        <v>0.86599999999999999</v>
      </c>
      <c r="H7" s="732">
        <v>0.05</v>
      </c>
      <c r="I7" s="732">
        <v>5.5E-2</v>
      </c>
      <c r="J7" s="66">
        <v>7.0000000000000007E-2</v>
      </c>
      <c r="K7" s="1030">
        <f>SUMIF('数据-汇总表'!C$19:C$33,A7,'数据-汇总表'!E$19:E$33)</f>
        <v>7219.03</v>
      </c>
      <c r="L7" s="733">
        <v>5800</v>
      </c>
      <c r="M7" s="67">
        <f t="shared" si="0"/>
        <v>4187</v>
      </c>
      <c r="N7" s="731">
        <f>N6</f>
        <v>0.92</v>
      </c>
      <c r="O7" s="67" t="str">
        <f t="shared" ref="O7:O14" si="3">IF($N$5="成新度","——",ROUND(M7*N7,0))</f>
        <v>——</v>
      </c>
      <c r="P7" s="68" t="str">
        <f t="shared" ref="P7:P14" si="4">IF($N$5="成新度","——",M7-O7)</f>
        <v>——</v>
      </c>
      <c r="Q7" s="734">
        <v>0.1</v>
      </c>
      <c r="R7" s="69">
        <f ca="1">SUMIF('数据-汇总表'!C$19:C$33,A7,'数据-汇总表'!R$19:R$27)</f>
        <v>1152.51</v>
      </c>
      <c r="S7" s="51">
        <f>IF('数据-汇总表'!$I$17="按面积比例",SUMIF('数据-汇总表'!C$19:C$33,A7,'数据-汇总表'!K$19:K$33),SUMIF('数据-汇总表'!C$19:C$33,A7,'数据-汇总表'!N$19:N$33))</f>
        <v>51.63</v>
      </c>
      <c r="T7" s="1172">
        <f t="shared" ref="T7:T13" si="5">ROUND($L$14*S7/10000,0)</f>
        <v>30</v>
      </c>
      <c r="U7" s="3427">
        <v>500</v>
      </c>
      <c r="V7" s="70">
        <v>0.02</v>
      </c>
      <c r="W7" s="70">
        <v>0.1</v>
      </c>
      <c r="X7" s="1040"/>
      <c r="Y7" s="71">
        <f>Y6</f>
        <v>0.92</v>
      </c>
      <c r="Z7" s="72"/>
      <c r="AA7" s="66"/>
      <c r="AB7" s="66"/>
      <c r="AC7" s="1040"/>
      <c r="AD7" s="73"/>
      <c r="AE7" s="1041">
        <f t="shared" ref="AE7:AE13" ca="1" si="6">IF(AN7="",0,SUMIF(INDIRECT("'"&amp;AN7&amp;"'"&amp;"!E:E"),$AE$5,INDIRECT("'"&amp;AN7&amp;"'"&amp;"!F:F")))</f>
        <v>32.049999999999997</v>
      </c>
      <c r="AF7" s="1347"/>
      <c r="AG7" s="138">
        <f t="shared" ref="AG7:AG13" si="7">IF(AF7="",0,AE7-AF7)</f>
        <v>0</v>
      </c>
      <c r="AH7" s="74">
        <v>126</v>
      </c>
      <c r="AI7" s="76">
        <v>12</v>
      </c>
      <c r="AJ7" s="77"/>
      <c r="AK7" s="78">
        <v>5.0000000000000001E-3</v>
      </c>
      <c r="AL7" s="79">
        <v>1.5E-3</v>
      </c>
      <c r="AM7" s="80">
        <v>5.0000000000000001E-3</v>
      </c>
      <c r="AN7" s="1714" t="s">
        <v>3428</v>
      </c>
      <c r="AO7" s="52">
        <f t="shared" ref="AO7:AO13" ca="1" si="8">SUMIF(INDIRECT("'"&amp;AN7&amp;"'"&amp;"!A:A"),"总价",INDIRECT("'"&amp;AN7&amp;"'"&amp;"!B:B"))</f>
        <v>638</v>
      </c>
      <c r="AP7" s="1715">
        <f t="shared" ref="AP7:AP13" si="9">IF(C7="住宅",K7*L7,0)</f>
        <v>0</v>
      </c>
      <c r="AQ7" s="52">
        <f t="shared" ref="AQ7:AQ13" si="10">ROUND($L$14*$N$14*S7/10000,0)</f>
        <v>28</v>
      </c>
      <c r="AR7" s="52">
        <f t="shared" ref="AR7:AR13" si="11">ROUND($L$14*(1-$N$14)*S7/10000,0)</f>
        <v>2</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281.96999999999997</v>
      </c>
      <c r="L14" s="82">
        <f>L6</f>
        <v>5800</v>
      </c>
      <c r="M14" s="67">
        <f t="shared" si="0"/>
        <v>164</v>
      </c>
      <c r="N14" s="83">
        <f>N6</f>
        <v>0.92</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0.86599999999999999</v>
      </c>
      <c r="H16" s="90">
        <f>ROUND(SUMPRODUCT(H6:H13,K6:K13)/SUMPRODUCT((H6:H13&gt;0)*(K6:K13)),3)</f>
        <v>0.05</v>
      </c>
      <c r="I16" s="91"/>
      <c r="J16" s="91"/>
      <c r="K16" s="92">
        <f>SUM(K6:K15)</f>
        <v>39707.960000000006</v>
      </c>
      <c r="L16" s="93">
        <f>ROUND(M16*10000/SUM(K6:K14),0)</f>
        <v>5800</v>
      </c>
      <c r="M16" s="93">
        <f>SUM(M6:M14)</f>
        <v>23031</v>
      </c>
      <c r="N16" s="94">
        <f>ROUND(SUMPRODUCT(M6:M14,N6:N14)/M16,3)</f>
        <v>0.92</v>
      </c>
      <c r="O16" s="93">
        <f>SUM(O6:O14)</f>
        <v>0</v>
      </c>
      <c r="P16" s="93">
        <f>SUM(P6:P14)</f>
        <v>0</v>
      </c>
      <c r="Q16" s="95">
        <f>ROUND(SUMPRODUCT(Q6:Q13,K6:K13)/SUMPRODUCT((Q6:Q13&gt;0)*(K6:K13)),2)</f>
        <v>0.14000000000000001</v>
      </c>
      <c r="R16" s="1034">
        <f ca="1">SUM(R6:R13)</f>
        <v>6294.35</v>
      </c>
      <c r="S16" s="96">
        <f>SUM(S6:S13)</f>
        <v>281.97000000000003</v>
      </c>
      <c r="T16" s="97">
        <f>IF(SUMIF(T6:T13,"&lt;9E307")=M14,SUMIF(T6:T13,"&lt;9E307"),"有误，请检查")</f>
        <v>164</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2017</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f>ROUND(1-(2024-N17)/60,2)</f>
        <v>0.88</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c r="C19" s="2798" t="s">
        <v>2303</v>
      </c>
      <c r="D19" s="2675"/>
      <c r="E19" s="2672"/>
      <c r="F19" s="2672"/>
      <c r="G19" s="2672"/>
      <c r="H19" s="2672"/>
      <c r="I19" s="2672"/>
      <c r="J19" s="2672"/>
      <c r="K19" s="2671"/>
      <c r="L19" s="2671"/>
      <c r="M19" s="2670"/>
      <c r="N19" s="2670">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ROUND(B28*K16/10000,0)</f>
        <v>794</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6" t="s">
        <v>2284</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45316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16993</v>
      </c>
      <c r="D5" s="2511" t="e">
        <f>ROUND(B5*10000/$B$2,0)</f>
        <v>#DIV/0!</v>
      </c>
      <c r="E5" s="2685"/>
      <c r="F5" s="2686"/>
      <c r="G5" s="2686"/>
      <c r="H5" s="2687"/>
      <c r="I5" s="2687"/>
      <c r="J5" s="2687"/>
      <c r="K5" s="2687"/>
    </row>
    <row r="6" spans="1:11" ht="16.5">
      <c r="A6" s="2511" t="s">
        <v>656</v>
      </c>
      <c r="B6" s="2511">
        <f>SUM(G14:G23)</f>
        <v>0</v>
      </c>
      <c r="C6" s="2511">
        <f ca="1">IF(B6=G14,结果表!H108,ROUND(B6*10000/$B$1,0))</f>
        <v>16993</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4" sqref="C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582" t="str">
        <f>项目基本情况!S2</f>
        <v>房地产</v>
      </c>
      <c r="B2" s="3583"/>
      <c r="C2" s="3583"/>
      <c r="D2" s="3583"/>
      <c r="E2" s="3583"/>
      <c r="F2" s="3583"/>
      <c r="G2" s="3583"/>
      <c r="H2" s="3583"/>
      <c r="I2" s="3584"/>
    </row>
    <row r="3" spans="1:12" ht="12.75">
      <c r="A3" s="3586" t="s">
        <v>1263</v>
      </c>
      <c r="B3" s="3587"/>
      <c r="C3" s="3587"/>
      <c r="D3" s="3587"/>
      <c r="E3" s="3587"/>
      <c r="F3" s="3587"/>
      <c r="G3" s="3587"/>
      <c r="H3" s="3587"/>
      <c r="I3" s="3587"/>
    </row>
    <row r="4" spans="1:12" ht="14.25">
      <c r="A4" s="1753" t="s">
        <v>1264</v>
      </c>
      <c r="B4" s="1754" t="s">
        <v>1265</v>
      </c>
      <c r="C4" s="1755" t="s">
        <v>3435</v>
      </c>
      <c r="D4" s="1755" t="s">
        <v>3436</v>
      </c>
      <c r="E4" s="3588" t="s">
        <v>1266</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1267</v>
      </c>
      <c r="B5" s="3549">
        <v>25</v>
      </c>
      <c r="C5" s="3565"/>
      <c r="D5" s="3585"/>
      <c r="E5" s="131" t="s">
        <v>1268</v>
      </c>
      <c r="F5" s="1756"/>
      <c r="G5" s="1756"/>
      <c r="H5" s="1756"/>
      <c r="I5" s="1372"/>
    </row>
    <row r="6" spans="1:12" ht="12.75">
      <c r="A6" s="3562"/>
      <c r="B6" s="3549"/>
      <c r="C6" s="3566"/>
      <c r="D6" s="3585"/>
      <c r="E6" s="131" t="s">
        <v>1269</v>
      </c>
      <c r="F6" s="1756"/>
      <c r="G6" s="1756"/>
      <c r="H6" s="1756"/>
      <c r="I6" s="1372"/>
    </row>
    <row r="7" spans="1:12" ht="12.75">
      <c r="A7" s="3562"/>
      <c r="B7" s="3549"/>
      <c r="C7" s="3567"/>
      <c r="D7" s="3585"/>
      <c r="E7" s="131" t="s">
        <v>1270</v>
      </c>
      <c r="F7" s="1756"/>
      <c r="G7" s="1756"/>
      <c r="H7" s="1756"/>
      <c r="I7" s="1372"/>
    </row>
    <row r="8" spans="1:12" ht="12.75">
      <c r="A8" s="3562" t="s">
        <v>1271</v>
      </c>
      <c r="B8" s="3549">
        <v>15</v>
      </c>
      <c r="C8" s="3565"/>
      <c r="D8" s="3585"/>
      <c r="E8" s="131" t="s">
        <v>1272</v>
      </c>
      <c r="F8" s="1756"/>
      <c r="G8" s="1756"/>
      <c r="H8" s="1756"/>
      <c r="I8" s="1372"/>
    </row>
    <row r="9" spans="1:12" ht="12.75">
      <c r="A9" s="3562"/>
      <c r="B9" s="3549"/>
      <c r="C9" s="3567"/>
      <c r="D9" s="3585"/>
      <c r="E9" s="131" t="s">
        <v>1273</v>
      </c>
      <c r="F9" s="1756"/>
      <c r="G9" s="1756"/>
      <c r="H9" s="1756"/>
      <c r="I9" s="1372"/>
    </row>
    <row r="10" spans="1:12" ht="12.75">
      <c r="A10" s="3562" t="s">
        <v>1274</v>
      </c>
      <c r="B10" s="3549">
        <v>15</v>
      </c>
      <c r="C10" s="3565"/>
      <c r="D10" s="3585"/>
      <c r="E10" s="131" t="s">
        <v>1275</v>
      </c>
      <c r="F10" s="1756"/>
      <c r="G10" s="1756"/>
      <c r="H10" s="1756"/>
      <c r="I10" s="1372"/>
    </row>
    <row r="11" spans="1:12" ht="12.75">
      <c r="A11" s="3562"/>
      <c r="B11" s="3549"/>
      <c r="C11" s="3567"/>
      <c r="D11" s="3585"/>
      <c r="E11" s="131" t="s">
        <v>1276</v>
      </c>
      <c r="F11" s="1756"/>
      <c r="G11" s="1756"/>
      <c r="H11" s="1756"/>
      <c r="I11" s="1372"/>
    </row>
    <row r="12" spans="1:12" ht="12.75">
      <c r="A12" s="3562" t="s">
        <v>1277</v>
      </c>
      <c r="B12" s="3549">
        <v>15</v>
      </c>
      <c r="C12" s="3565"/>
      <c r="D12" s="3585"/>
      <c r="E12" s="131" t="s">
        <v>1278</v>
      </c>
      <c r="F12" s="1756"/>
      <c r="G12" s="1756"/>
      <c r="H12" s="1756"/>
      <c r="I12" s="1372"/>
    </row>
    <row r="13" spans="1:12" ht="12.75">
      <c r="A13" s="3562"/>
      <c r="B13" s="3549"/>
      <c r="C13" s="3567"/>
      <c r="D13" s="3585"/>
      <c r="E13" s="131" t="s">
        <v>1279</v>
      </c>
      <c r="F13" s="1756"/>
      <c r="G13" s="1756"/>
      <c r="H13" s="1756"/>
      <c r="I13" s="1372"/>
    </row>
    <row r="14" spans="1:12" ht="12.75">
      <c r="A14" s="3562" t="s">
        <v>1280</v>
      </c>
      <c r="B14" s="3549">
        <v>30</v>
      </c>
      <c r="C14" s="3565">
        <v>5</v>
      </c>
      <c r="D14" s="3585">
        <v>5</v>
      </c>
      <c r="E14" s="131" t="s">
        <v>1281</v>
      </c>
      <c r="F14" s="1756"/>
      <c r="G14" s="1756"/>
      <c r="H14" s="1756"/>
      <c r="I14" s="1372"/>
    </row>
    <row r="15" spans="1:12" ht="12.75">
      <c r="A15" s="3562"/>
      <c r="B15" s="3549"/>
      <c r="C15" s="3566"/>
      <c r="D15" s="3585"/>
      <c r="E15" s="131" t="s">
        <v>1282</v>
      </c>
      <c r="F15" s="1756"/>
      <c r="G15" s="1756"/>
      <c r="H15" s="1756"/>
      <c r="I15" s="1372"/>
    </row>
    <row r="16" spans="1:12" ht="12.75">
      <c r="A16" s="3562"/>
      <c r="B16" s="3549"/>
      <c r="C16" s="3567"/>
      <c r="D16" s="3585"/>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72" t="s">
        <v>2129</v>
      </c>
      <c r="F18" s="3573"/>
      <c r="G18" s="3573"/>
      <c r="H18" s="3573"/>
      <c r="I18" s="3573"/>
      <c r="K18" s="302" t="s">
        <v>1288</v>
      </c>
      <c r="L18" s="302">
        <f>IF(C1="",'数据-汇总表'!E3,SUMIF(项目类型,C1,'数据-汇总表'!E17:E26)+SUMIF(项目类型,C1,'数据-汇总表'!I17:I26))</f>
        <v>39707.960000000006</v>
      </c>
      <c r="M18" s="302">
        <f>IF(C1="",'数据-汇总表'!E3,SUMIF(项目类型,C1,'数据-汇总表'!E17:E26))</f>
        <v>39707.960000000006</v>
      </c>
    </row>
    <row r="19" spans="1:36" ht="15">
      <c r="A19" s="1760" t="s">
        <v>1289</v>
      </c>
      <c r="B19" s="1761" t="s">
        <v>1290</v>
      </c>
      <c r="C19" s="134">
        <f ca="1">SUMIF(INDIRECT("'"&amp;C4&amp;"'"&amp;"!A:A"),结果表!B19,INDIRECT("'"&amp;C4&amp;"'"&amp;"!B:B"))</f>
        <v>71749</v>
      </c>
      <c r="D19" s="135">
        <f ca="1">SUMIF(INDIRECT("'"&amp;D4&amp;"'"&amp;"!A:A"),结果表!B19,INDIRECT("'"&amp;D4&amp;"'"&amp;"!B:B"))</f>
        <v>63201</v>
      </c>
      <c r="E19" s="1760" t="s">
        <v>1291</v>
      </c>
      <c r="F19" s="1761" t="s">
        <v>1290</v>
      </c>
      <c r="G19" s="136">
        <f ca="1">ROUND(C19*$C$18+D19*$D$18,0)</f>
        <v>67475</v>
      </c>
      <c r="H19" s="1762" t="s">
        <v>1292</v>
      </c>
      <c r="I19" s="129"/>
      <c r="K19" s="302" t="s">
        <v>1293</v>
      </c>
      <c r="L19" s="302">
        <f>IF(C1="",'数据-汇总表'!D3,SUMIF(项目类型,C1,'数据-汇总表'!D17:D26)+SUMIF(项目类型,C1,'数据-汇总表'!H17:H27))</f>
        <v>6294.36</v>
      </c>
      <c r="M19" s="302">
        <f>IF(C1="",'数据-汇总表'!D3,SUMIF(项目类型,C1,'数据-汇总表'!D17:D26))</f>
        <v>6294.36</v>
      </c>
    </row>
    <row r="20" spans="1:36" ht="15">
      <c r="A20" s="1763"/>
      <c r="B20" s="1026" t="s">
        <v>1294</v>
      </c>
      <c r="C20" s="137">
        <f ca="1">SUMIF(INDIRECT("'"&amp;C4&amp;"'"&amp;"!A:A"),结果表!B20,INDIRECT("'"&amp;C4&amp;"'"&amp;"!B:B"))</f>
        <v>18069</v>
      </c>
      <c r="D20" s="138">
        <f ca="1">SUMIF(INDIRECT("'"&amp;D4&amp;"'"&amp;"!A:A"),结果表!B20,INDIRECT("'"&amp;D4&amp;"'"&amp;"!B:B"))</f>
        <v>15916</v>
      </c>
      <c r="E20" s="1763"/>
      <c r="F20" s="1026" t="s">
        <v>1294</v>
      </c>
      <c r="G20" s="139">
        <f ca="1">ROUND(C20*$C$18+D20*$D$18,0)</f>
        <v>16993</v>
      </c>
      <c r="H20" s="808" t="s">
        <v>1295</v>
      </c>
      <c r="I20" s="129"/>
    </row>
    <row r="21" spans="1:36" ht="15" customHeight="1" thickBot="1">
      <c r="A21" s="828"/>
      <c r="B21" s="1764" t="s">
        <v>1296</v>
      </c>
      <c r="C21" s="719">
        <f ca="1">ROUND(C19*10000/L19,0)</f>
        <v>113989</v>
      </c>
      <c r="D21" s="720">
        <f ca="1">ROUND(D19*10000/L19,0)</f>
        <v>100409</v>
      </c>
      <c r="E21" s="828"/>
      <c r="F21" s="1764" t="s">
        <v>1296</v>
      </c>
      <c r="G21" s="140">
        <f ca="1">ROUND(G19*10000/L19,0)</f>
        <v>107199</v>
      </c>
      <c r="H21" s="1765" t="s">
        <v>1295</v>
      </c>
      <c r="I21" s="129"/>
    </row>
    <row r="22" spans="1:36" ht="15" thickBot="1">
      <c r="A22" s="1687" t="s">
        <v>1297</v>
      </c>
      <c r="B22" s="1766"/>
      <c r="C22" s="1767"/>
      <c r="D22" s="721">
        <f ca="1">IF(C19&lt;D19,D19/C19-1,C19/D19-1)</f>
        <v>0.13525102450910587</v>
      </c>
      <c r="E22" s="129"/>
      <c r="F22" s="129"/>
      <c r="G22" s="129"/>
      <c r="H22" s="129"/>
      <c r="I22" s="129"/>
    </row>
    <row r="23" spans="1:36" ht="13.5" thickBot="1">
      <c r="A23" s="1746"/>
      <c r="B23" s="1746"/>
      <c r="C23" s="1746"/>
      <c r="D23" s="1746"/>
      <c r="E23" s="129"/>
      <c r="F23" s="129"/>
      <c r="G23" s="129"/>
      <c r="H23" s="129"/>
      <c r="I23" s="129"/>
    </row>
    <row r="24" spans="1:36" ht="14.25">
      <c r="A24" s="3556" t="s">
        <v>1298</v>
      </c>
      <c r="B24" s="1761" t="s">
        <v>1290</v>
      </c>
      <c r="C24" s="136">
        <f>IF(B30=0,0,D30)</f>
        <v>0</v>
      </c>
      <c r="D24" s="1768"/>
      <c r="E24" s="129"/>
      <c r="F24" s="129"/>
      <c r="G24" s="129"/>
      <c r="H24" s="129"/>
      <c r="I24" s="129"/>
    </row>
    <row r="25" spans="1:36" ht="14.25">
      <c r="A25" s="3557"/>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67475</v>
      </c>
      <c r="D32" s="1774" t="s">
        <v>3604</v>
      </c>
      <c r="E32" s="129"/>
      <c r="F32" s="129"/>
      <c r="G32" s="129"/>
      <c r="H32" s="129"/>
      <c r="I32" s="129"/>
    </row>
    <row r="33" spans="1:15" ht="15">
      <c r="A33" s="786" t="s">
        <v>1305</v>
      </c>
      <c r="B33" s="1775"/>
      <c r="C33" s="1776" t="s">
        <v>3605</v>
      </c>
      <c r="D33" s="1777" t="s">
        <v>3435</v>
      </c>
      <c r="E33" s="1778" t="s">
        <v>1306</v>
      </c>
      <c r="F33" s="1779" t="str">
        <f>IF(D32="楼面单价","取值（单价）","取值（总价）")</f>
        <v>取值（总价）</v>
      </c>
      <c r="G33" s="129"/>
      <c r="H33" s="129"/>
      <c r="I33" s="129"/>
    </row>
    <row r="34" spans="1:15" ht="15">
      <c r="A34" s="1780"/>
      <c r="B34" s="1781" t="s">
        <v>1307</v>
      </c>
      <c r="C34" s="148">
        <f ca="1">IF(C33="自定义",F34,C32-C35)</f>
        <v>39608</v>
      </c>
      <c r="D34" s="861">
        <f ca="1">IF(C33="自定义",ROUND(C34/C32,3),IF(C33="收益比率",SUMIF(INDIRECT("'"&amp;D33&amp;"'"&amp;"!b:b"),"土地收益比率",INDIRECT("'"&amp;D33&amp;"'"&amp;"!c:c")),SUMIF(INDIRECT("'"&amp;D33&amp;"'"&amp;"!b:b"),"土地成本比率",INDIRECT("'"&amp;D33&amp;"'"&amp;"!c:c"))))</f>
        <v>0.58699999999999997</v>
      </c>
      <c r="E34" s="1782" t="s">
        <v>1308</v>
      </c>
      <c r="F34" s="1329"/>
      <c r="G34" s="129"/>
      <c r="H34" s="129"/>
      <c r="I34" s="129"/>
    </row>
    <row r="35" spans="1:15" ht="15.75" thickBot="1">
      <c r="A35" s="1783"/>
      <c r="B35" s="1784" t="s">
        <v>1309</v>
      </c>
      <c r="C35" s="1170">
        <f ca="1">IF(C33="自定义",F35,ROUND(C32*D35,0))</f>
        <v>27867</v>
      </c>
      <c r="D35" s="1171">
        <f ca="1">IF(C33="自定义",ROUND(C35/C32,3),IF(C33="收益比率",SUMIF(INDIRECT("'"&amp;D33&amp;"'"&amp;"!b:b"),"建筑物收益比率",INDIRECT("'"&amp;D33&amp;"'"&amp;"!c:c")),SUMIF(INDIRECT("'"&amp;D33&amp;"'"&amp;"!b:b"),"建筑物成本比率",INDIRECT("'"&amp;D33&amp;"'"&amp;"!c:c"))))</f>
        <v>0.41299999999999998</v>
      </c>
      <c r="E35" s="1785" t="s">
        <v>1310</v>
      </c>
      <c r="F35" s="154"/>
      <c r="G35" s="129"/>
      <c r="H35" s="129"/>
      <c r="I35" s="129"/>
    </row>
    <row r="36" spans="1:15" ht="15.75" thickBot="1">
      <c r="A36" s="3576" t="s">
        <v>1311</v>
      </c>
      <c r="B36" s="1786" t="s">
        <v>1312</v>
      </c>
      <c r="C36" s="145"/>
      <c r="D36" s="1787"/>
      <c r="E36" s="1788"/>
      <c r="F36" s="1789"/>
      <c r="G36" s="129"/>
      <c r="H36" s="129"/>
      <c r="I36" s="129"/>
    </row>
    <row r="37" spans="1:15" ht="15.75" thickBot="1">
      <c r="A37" s="3577"/>
      <c r="B37" s="1673" t="s">
        <v>1313</v>
      </c>
      <c r="C37" s="147"/>
      <c r="D37" s="1139"/>
      <c r="E37" s="1139"/>
      <c r="F37" s="1789"/>
      <c r="G37" s="129"/>
      <c r="H37" s="129"/>
      <c r="I37" s="129"/>
    </row>
    <row r="38" spans="1:15" ht="15.75" thickBot="1">
      <c r="A38" s="3578"/>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53" t="s">
        <v>1325</v>
      </c>
      <c r="B45" s="3554"/>
      <c r="C45" s="3555"/>
      <c r="D45" s="155">
        <f ca="1">ROUND(H101*F45,0)</f>
        <v>67475</v>
      </c>
      <c r="E45" s="156" t="s">
        <v>1326</v>
      </c>
      <c r="F45" s="157">
        <v>1</v>
      </c>
      <c r="G45" s="158" t="s">
        <v>1327</v>
      </c>
      <c r="H45" s="129"/>
      <c r="I45" s="129"/>
      <c r="J45" s="3631" t="s">
        <v>1328</v>
      </c>
      <c r="K45" s="3631"/>
      <c r="L45" s="3631"/>
      <c r="M45" s="3631"/>
      <c r="N45" s="3631"/>
      <c r="O45" s="3631"/>
    </row>
    <row r="46" spans="1:15" ht="14.25" customHeight="1">
      <c r="A46" s="3550" t="s">
        <v>1329</v>
      </c>
      <c r="B46" s="3551"/>
      <c r="C46" s="3551"/>
      <c r="D46" s="3551"/>
      <c r="E46" s="3551"/>
      <c r="F46" s="3551"/>
      <c r="G46" s="3552"/>
      <c r="H46" s="1805"/>
      <c r="I46" s="159"/>
      <c r="J46" s="2522">
        <v>1</v>
      </c>
      <c r="K46" s="3612" t="s">
        <v>1330</v>
      </c>
      <c r="L46" s="3612"/>
      <c r="M46" s="3632"/>
      <c r="N46" s="3632"/>
      <c r="O46" s="3632"/>
    </row>
    <row r="47" spans="1:15" ht="12" customHeight="1">
      <c r="A47" s="160" t="s">
        <v>1331</v>
      </c>
      <c r="B47" s="161"/>
      <c r="C47" s="162"/>
      <c r="D47" s="1087" t="s">
        <v>1332</v>
      </c>
      <c r="E47" s="302" t="s">
        <v>1333</v>
      </c>
      <c r="F47" s="163" t="s">
        <v>1334</v>
      </c>
      <c r="G47" s="2545" t="s">
        <v>1335</v>
      </c>
      <c r="H47" s="2546"/>
      <c r="I47" s="159"/>
      <c r="J47" s="2522">
        <v>2</v>
      </c>
      <c r="K47" s="3612" t="s">
        <v>1336</v>
      </c>
      <c r="L47" s="3612"/>
      <c r="M47" s="3633">
        <f>'数据-取费表'!B2</f>
        <v>45316</v>
      </c>
      <c r="N47" s="3633"/>
      <c r="O47" s="3633"/>
    </row>
    <row r="48" spans="1:15" ht="25.5">
      <c r="A48" s="3581" t="s">
        <v>1337</v>
      </c>
      <c r="B48" s="3564"/>
      <c r="C48" s="356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612" t="s">
        <v>1339</v>
      </c>
      <c r="L48" s="3612"/>
      <c r="M48" s="3634">
        <f ca="1">H101</f>
        <v>67475</v>
      </c>
      <c r="N48" s="3634"/>
      <c r="O48" s="3634"/>
    </row>
    <row r="49" spans="1:35" ht="25.5" customHeight="1">
      <c r="A49" s="2332" t="s">
        <v>1340</v>
      </c>
      <c r="B49" s="3548" t="s">
        <v>1341</v>
      </c>
      <c r="C49" s="3548"/>
      <c r="D49" s="1589">
        <v>0</v>
      </c>
      <c r="E49" s="324" t="s">
        <v>1342</v>
      </c>
      <c r="F49" s="2423" t="s">
        <v>28</v>
      </c>
      <c r="G49" s="3618"/>
      <c r="H49" s="2309" t="s">
        <v>2132</v>
      </c>
      <c r="I49" s="2310"/>
      <c r="J49" s="2522">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50"/>
      <c r="B50" s="3548" t="s">
        <v>1343</v>
      </c>
      <c r="C50" s="3548"/>
      <c r="D50" s="2551"/>
      <c r="E50" s="332"/>
      <c r="F50" s="2423"/>
      <c r="G50" s="3619"/>
      <c r="H50" s="2311" t="s">
        <v>2133</v>
      </c>
      <c r="I50" s="2310"/>
      <c r="J50" s="3631" t="s">
        <v>1344</v>
      </c>
      <c r="K50" s="3631"/>
      <c r="L50" s="3631"/>
      <c r="M50" s="3631"/>
      <c r="N50" s="3631"/>
      <c r="O50" s="3631"/>
    </row>
    <row r="51" spans="1:35" ht="20.45" customHeight="1">
      <c r="A51" s="2552"/>
      <c r="B51" s="3548" t="s">
        <v>1345</v>
      </c>
      <c r="C51" s="3548"/>
      <c r="D51" s="1087"/>
      <c r="E51" s="327"/>
      <c r="F51" s="2423"/>
      <c r="G51" s="3620"/>
      <c r="H51" s="2311" t="s">
        <v>2134</v>
      </c>
      <c r="I51" s="2310"/>
      <c r="J51" s="2523" t="s">
        <v>1346</v>
      </c>
      <c r="K51" s="3612" t="s">
        <v>1347</v>
      </c>
      <c r="L51" s="3612"/>
      <c r="M51" s="2523" t="s">
        <v>1348</v>
      </c>
      <c r="N51" s="2523" t="s">
        <v>1349</v>
      </c>
      <c r="O51" s="2523" t="s">
        <v>1350</v>
      </c>
    </row>
    <row r="52" spans="1:35" ht="24" customHeight="1">
      <c r="A52" s="2334" t="s">
        <v>1351</v>
      </c>
      <c r="B52" s="3548" t="s">
        <v>1352</v>
      </c>
      <c r="C52" s="3548"/>
      <c r="D52" s="1087">
        <f ca="1">ROUND(D45*'数据-取费表'!B41/(1+'数据-取费表'!C42),0)</f>
        <v>3534</v>
      </c>
      <c r="E52" s="2333" t="s">
        <v>1353</v>
      </c>
      <c r="F52" s="2553">
        <f>'数据-取费表'!B41</f>
        <v>5.5000000000000007E-2</v>
      </c>
      <c r="G52" s="2554"/>
      <c r="H52" s="2543"/>
      <c r="I52" s="1806"/>
      <c r="J52" s="2522">
        <v>1</v>
      </c>
      <c r="K52" s="3613" t="s">
        <v>1354</v>
      </c>
      <c r="L52" s="3613"/>
      <c r="M52" s="2524" t="b">
        <f>D48</f>
        <v>0</v>
      </c>
      <c r="N52" s="2522" t="str">
        <f>E48</f>
        <v>销售额×税（费）率</v>
      </c>
      <c r="O52" s="2525">
        <f>F48</f>
        <v>5.5000000000000007E-2</v>
      </c>
    </row>
    <row r="53" spans="1:35" ht="12" customHeight="1">
      <c r="A53" s="2334" t="s">
        <v>1355</v>
      </c>
      <c r="B53" s="3574" t="s">
        <v>2289</v>
      </c>
      <c r="C53" s="3575"/>
      <c r="D53" s="1087">
        <f ca="1">ROUND(D45*'数据-取费表'!B41/(1+'数据-取费表'!C42),0)</f>
        <v>3534</v>
      </c>
      <c r="E53" s="2333" t="s">
        <v>1353</v>
      </c>
      <c r="F53" s="2553">
        <f>'数据-取费表'!B41</f>
        <v>5.5000000000000007E-2</v>
      </c>
      <c r="G53" s="2554"/>
      <c r="H53" s="2543"/>
      <c r="I53" s="1806"/>
      <c r="J53" s="2522">
        <v>2</v>
      </c>
      <c r="K53" s="3613" t="s">
        <v>1356</v>
      </c>
      <c r="L53" s="3613"/>
      <c r="M53" s="2524">
        <f t="shared" ref="M53:O54" ca="1" si="0">D55</f>
        <v>34</v>
      </c>
      <c r="N53" s="2522" t="str">
        <f t="shared" si="0"/>
        <v>销售额×税（费）率</v>
      </c>
      <c r="O53" s="2525" t="str">
        <f t="shared" si="0"/>
        <v>免征</v>
      </c>
    </row>
    <row r="54" spans="1:35" ht="12" customHeight="1">
      <c r="A54" s="2334" t="s">
        <v>1357</v>
      </c>
      <c r="B54" s="3574" t="s">
        <v>2290</v>
      </c>
      <c r="C54" s="3575"/>
      <c r="D54" s="1087">
        <f ca="1">C68</f>
        <v>3534</v>
      </c>
      <c r="E54" s="327" t="s">
        <v>1358</v>
      </c>
      <c r="F54" s="2553">
        <f>'数据-取费表'!B41</f>
        <v>5.5000000000000007E-2</v>
      </c>
      <c r="G54" s="2554"/>
      <c r="H54" s="2555"/>
      <c r="I54" s="1806"/>
      <c r="J54" s="2522">
        <v>3</v>
      </c>
      <c r="K54" s="3613" t="s">
        <v>1359</v>
      </c>
      <c r="L54" s="3613"/>
      <c r="M54" s="2524">
        <f t="shared" ca="1" si="0"/>
        <v>38252</v>
      </c>
      <c r="N54" s="2522" t="str">
        <f t="shared" si="0"/>
        <v>增值额×税（费）率</v>
      </c>
      <c r="O54" s="2526" t="str">
        <f t="shared" si="0"/>
        <v>免征</v>
      </c>
    </row>
    <row r="55" spans="1:35" ht="24" customHeight="1">
      <c r="A55" s="3563" t="s">
        <v>1360</v>
      </c>
      <c r="B55" s="3564"/>
      <c r="C55" s="3564"/>
      <c r="D55" s="2323">
        <f ca="1">IF(H55="个人住宅",0,ROUND(D45*I55,0))</f>
        <v>34</v>
      </c>
      <c r="E55" s="2333" t="s">
        <v>1361</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f ca="1">D59</f>
        <v>643</v>
      </c>
      <c r="N55" s="2039" t="str">
        <f>E59</f>
        <v>差额计税</v>
      </c>
      <c r="O55" s="2528">
        <f>F59</f>
        <v>0.01</v>
      </c>
    </row>
    <row r="56" spans="1:35" ht="24.75">
      <c r="A56" s="3563" t="s">
        <v>1362</v>
      </c>
      <c r="B56" s="3564"/>
      <c r="C56" s="3564"/>
      <c r="D56" s="2323">
        <f ca="1">IF(H56="个人住宅",D57,D58)</f>
        <v>38252</v>
      </c>
      <c r="E56" s="2333" t="s">
        <v>1363</v>
      </c>
      <c r="F56" s="2553" t="str">
        <f>IF(H56="正常",F58,"免征")</f>
        <v>免征</v>
      </c>
      <c r="G56" s="2556" t="s">
        <v>1364</v>
      </c>
      <c r="H56" s="2557"/>
      <c r="I56" s="1807"/>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4" t="s">
        <v>1340</v>
      </c>
      <c r="B57" s="3574" t="s">
        <v>1365</v>
      </c>
      <c r="C57" s="3575"/>
      <c r="D57" s="1589">
        <v>0</v>
      </c>
      <c r="E57" s="324" t="s">
        <v>1342</v>
      </c>
      <c r="F57" s="302"/>
      <c r="G57" s="2554"/>
      <c r="H57" s="2558"/>
      <c r="I57" s="1807"/>
      <c r="J57" s="3613">
        <f>IF(AND(J55="",J56=""),4,IF(项目基本情况!K6="上海银行",结果表!J56+1,结果表!J55+1))</f>
        <v>5</v>
      </c>
      <c r="K57" s="3613" t="s">
        <v>1366</v>
      </c>
      <c r="L57" s="2529" t="s">
        <v>1367</v>
      </c>
      <c r="M57" s="2530"/>
      <c r="N57" s="2531">
        <f ca="1">SUMIF(M52:M56,"&lt;9e307")</f>
        <v>38929</v>
      </c>
      <c r="O57" s="2532"/>
      <c r="P57" s="2689" t="e">
        <f ca="1">N57/M49</f>
        <v>#VALUE!</v>
      </c>
    </row>
    <row r="58" spans="1:35" ht="24.75">
      <c r="A58" s="2334" t="s">
        <v>1351</v>
      </c>
      <c r="B58" s="3574" t="s">
        <v>1368</v>
      </c>
      <c r="C58" s="3548"/>
      <c r="D58" s="2323">
        <f ca="1">IF(H58="转让取得",C81,C97)</f>
        <v>38252</v>
      </c>
      <c r="E58" s="2333" t="s">
        <v>1363</v>
      </c>
      <c r="F58" s="302" t="s">
        <v>28</v>
      </c>
      <c r="G58" s="2554"/>
      <c r="H58" s="2557"/>
      <c r="I58" s="1807"/>
      <c r="J58" s="3613"/>
      <c r="K58" s="3613"/>
      <c r="L58" s="2529" t="s">
        <v>1369</v>
      </c>
      <c r="M58" s="2533"/>
      <c r="N58" s="2534" t="str">
        <f ca="1">NUMBERSTRING(INT(N57*10000),2)&amp;"元整"</f>
        <v>叁亿捌仟玖佰贰拾玖万元整</v>
      </c>
      <c r="O58" s="2535"/>
    </row>
    <row r="59" spans="1:35" ht="24.75" thickBot="1">
      <c r="A59" s="3616" t="s">
        <v>1370</v>
      </c>
      <c r="B59" s="3617"/>
      <c r="C59" s="3617"/>
      <c r="D59" s="2559">
        <f ca="1">IF(H59="非个人房产","——",IF(H59="个人住宅（满五唯一有凭证）",0,IF(H59="个人其他（无凭证）",ROUND(D45*F59,0),ROUND(C67*F59,0))))</f>
        <v>643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2135</v>
      </c>
      <c r="J59" s="3614">
        <f>J57+1</f>
        <v>6</v>
      </c>
      <c r="K59" s="3613" t="s">
        <v>1371</v>
      </c>
      <c r="L59" s="2522" t="s">
        <v>1367</v>
      </c>
      <c r="M59" s="2536"/>
      <c r="N59" s="2537" t="e">
        <f ca="1">M49-N57</f>
        <v>#VALUE!</v>
      </c>
      <c r="O59" s="2538"/>
    </row>
    <row r="60" spans="1:35" ht="12" customHeight="1">
      <c r="A60" s="1808"/>
      <c r="B60" s="1746"/>
      <c r="C60" s="1746"/>
      <c r="D60" s="1746"/>
      <c r="E60" s="1577"/>
      <c r="F60" s="1807"/>
      <c r="G60" s="1807"/>
      <c r="H60" s="1809"/>
      <c r="I60" s="129"/>
      <c r="J60" s="3615"/>
      <c r="K60" s="3613"/>
      <c r="L60" s="2529" t="s">
        <v>1369</v>
      </c>
      <c r="M60" s="2533"/>
      <c r="N60" s="2534" t="e">
        <f ca="1">NUMBERSTRING(INT(N59*10000),2)&amp;"元整"</f>
        <v>#VALUE!</v>
      </c>
      <c r="O60" s="2535"/>
    </row>
    <row r="61" spans="1:35" ht="13.5" thickBot="1">
      <c r="A61" s="3561" t="s">
        <v>1372</v>
      </c>
      <c r="B61" s="3561"/>
      <c r="C61" s="3561"/>
      <c r="D61" s="3561"/>
      <c r="E61" s="3561"/>
      <c r="F61" s="1807"/>
      <c r="G61" s="1807"/>
      <c r="H61" s="1809"/>
      <c r="I61" s="129"/>
      <c r="J61" s="2522">
        <f>J59+1</f>
        <v>7</v>
      </c>
      <c r="K61" s="3613" t="s">
        <v>1373</v>
      </c>
      <c r="L61" s="3613"/>
      <c r="M61" s="2539"/>
      <c r="N61" s="2540" t="e">
        <f ca="1">ROUND(N59*10000/'数据-汇总表'!E3,0)</f>
        <v>#VALUE!</v>
      </c>
      <c r="O61" s="2541"/>
    </row>
    <row r="62" spans="1:35" ht="12.75">
      <c r="A62" s="3579" t="s">
        <v>1374</v>
      </c>
      <c r="B62" s="3580"/>
      <c r="C62" s="2020"/>
      <c r="D62" s="2020" t="s">
        <v>1375</v>
      </c>
      <c r="E62" s="166" t="s">
        <v>1376</v>
      </c>
      <c r="F62" s="1807"/>
      <c r="G62" s="1807"/>
      <c r="H62" s="1809"/>
      <c r="I62" s="129"/>
    </row>
    <row r="63" spans="1:35" ht="12.75">
      <c r="A63" s="173" t="s">
        <v>330</v>
      </c>
      <c r="B63" s="167" t="s">
        <v>1377</v>
      </c>
      <c r="C63" s="2563">
        <f ca="1">ROUND((C64+C65)/(1+'数据-取费表'!C42),0)</f>
        <v>64262</v>
      </c>
      <c r="D63" s="167"/>
      <c r="E63" s="168"/>
      <c r="F63" s="1807"/>
      <c r="G63" s="1807"/>
      <c r="H63" s="1809"/>
      <c r="I63" s="129"/>
      <c r="J63" s="3638" t="s">
        <v>1378</v>
      </c>
      <c r="K63" s="1331" t="s">
        <v>1379</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1380</v>
      </c>
      <c r="C64" s="2564">
        <f ca="1">D45</f>
        <v>67475</v>
      </c>
      <c r="D64" s="170" t="s">
        <v>26</v>
      </c>
      <c r="E64" s="172"/>
      <c r="F64" s="1807"/>
      <c r="G64" s="1807"/>
      <c r="H64" s="1809"/>
      <c r="I64" s="129"/>
      <c r="J64" s="3638"/>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1"/>
      <c r="AI64" s="1752"/>
    </row>
    <row r="65" spans="1:35" ht="14.25" customHeight="1">
      <c r="A65" s="169" t="s">
        <v>326</v>
      </c>
      <c r="B65" s="170" t="s">
        <v>1383</v>
      </c>
      <c r="C65" s="2565"/>
      <c r="D65" s="170"/>
      <c r="E65" s="172"/>
      <c r="F65" s="1807"/>
      <c r="G65" s="1807"/>
      <c r="H65" s="1809"/>
      <c r="I65" s="129"/>
      <c r="J65" s="3638"/>
      <c r="K65" s="1331" t="s">
        <v>1384</v>
      </c>
      <c r="L65" s="1331" t="e">
        <f>IF(M49&gt;1000,M49*0.1%,IF(AND(M49&gt;500,M49&lt;=1000),M49*0.5%,IF(AND(M49&gt;50,M49&lt;=500),M49*1%,IF(AND(M49&gt;1,M49&lt;=50),M49*1.5%))))</f>
        <v>#VALUE!</v>
      </c>
      <c r="M65" s="302" t="e">
        <f t="shared" si="1"/>
        <v>#VALUE!</v>
      </c>
      <c r="N65" s="2543" t="s">
        <v>1382</v>
      </c>
      <c r="Z65" s="1751"/>
      <c r="AI65" s="1752"/>
    </row>
    <row r="66" spans="1:35" ht="14.25" customHeight="1">
      <c r="A66" s="173" t="s">
        <v>327</v>
      </c>
      <c r="B66" s="174" t="s">
        <v>1385</v>
      </c>
      <c r="C66" s="2566"/>
      <c r="D66" s="174" t="s">
        <v>26</v>
      </c>
      <c r="E66" s="1337" t="s">
        <v>671</v>
      </c>
      <c r="F66" s="1807"/>
      <c r="G66" s="1807"/>
      <c r="H66" s="1809"/>
      <c r="I66" s="129"/>
      <c r="J66" s="3638"/>
      <c r="K66" s="1331" t="s">
        <v>1386</v>
      </c>
      <c r="L66" s="1331" t="e">
        <f>M49*0.5%</f>
        <v>#VALUE!</v>
      </c>
      <c r="M66" s="302" t="e">
        <f>IF(L66&gt;0.5,0.5,ROUND(L66,0))</f>
        <v>#VALUE!</v>
      </c>
      <c r="N66" s="2543" t="s">
        <v>1387</v>
      </c>
      <c r="Z66" s="1751"/>
      <c r="AI66" s="1752"/>
    </row>
    <row r="67" spans="1:35" ht="14.25" customHeight="1">
      <c r="A67" s="173" t="s">
        <v>328</v>
      </c>
      <c r="B67" s="174" t="s">
        <v>1388</v>
      </c>
      <c r="C67" s="2567">
        <f ca="1">C63-C66</f>
        <v>64262</v>
      </c>
      <c r="D67" s="170" t="s">
        <v>26</v>
      </c>
      <c r="E67" s="172"/>
      <c r="F67" s="1807"/>
      <c r="G67" s="1807"/>
      <c r="H67" s="1809"/>
      <c r="I67" s="129"/>
      <c r="J67" s="3638"/>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1390</v>
      </c>
      <c r="C68" s="2568">
        <f ca="1">IF(C67&lt;=0,0,ROUND(C67*D68,0))</f>
        <v>3534</v>
      </c>
      <c r="D68" s="2569">
        <f>'数据-取费表'!B41</f>
        <v>5.5000000000000007E-2</v>
      </c>
      <c r="E68" s="178"/>
      <c r="F68" s="1807"/>
      <c r="G68" s="1807"/>
      <c r="H68" s="1809"/>
      <c r="I68" s="129"/>
      <c r="J68" s="3638"/>
      <c r="K68" s="1331" t="s">
        <v>1391</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8"/>
      <c r="K69" s="1331" t="s">
        <v>1392</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0" t="s">
        <v>1393</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9" t="s">
        <v>1374</v>
      </c>
      <c r="B71" s="3580"/>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64262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321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574" t="s">
        <v>1401</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321</v>
      </c>
      <c r="D78" s="2576">
        <f>'数据-取费表'!B43</f>
        <v>5.000000000000001E-3</v>
      </c>
      <c r="E78" s="3558" t="s">
        <v>1405</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63941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199.19314641744549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38252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1409</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9" t="s">
        <v>1374</v>
      </c>
      <c r="B84" s="3580"/>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64262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321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c r="D88" s="2576"/>
      <c r="E88" s="193" t="s">
        <v>1412</v>
      </c>
      <c r="F88" s="2326"/>
      <c r="G88" s="194" t="s">
        <v>1413</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0</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640" t="s">
        <v>2127</v>
      </c>
      <c r="H90" s="3641"/>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IF(H91="——",成本法!C33,I91)</f>
        <v>0</v>
      </c>
      <c r="D91" s="2576"/>
      <c r="E91" s="3558" t="s">
        <v>1418</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ROUND((C87+C90+C91)*D92,0)</f>
        <v>0</v>
      </c>
      <c r="D92" s="2582"/>
      <c r="E92" s="3558" t="s">
        <v>1421</v>
      </c>
      <c r="F92" s="3559"/>
      <c r="G92" s="3559"/>
      <c r="H92" s="3568"/>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321</v>
      </c>
      <c r="D93" s="2576">
        <f>'数据-取费表'!B43</f>
        <v>5.000000000000001E-3</v>
      </c>
      <c r="E93" s="3558" t="s">
        <v>1405</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ROUND((C87+C90+C91)*D94,0)</f>
        <v>0</v>
      </c>
      <c r="D94" s="2576">
        <v>0.2</v>
      </c>
      <c r="E94" s="3569" t="s">
        <v>1425</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63941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199.19314641744549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38252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42" t="s">
        <v>1427</v>
      </c>
      <c r="B100" s="3543"/>
      <c r="C100" s="3543"/>
      <c r="D100" s="3560"/>
      <c r="E100" s="3543" t="s">
        <v>1428</v>
      </c>
      <c r="F100" s="3543"/>
      <c r="G100" s="3543"/>
      <c r="H100" s="3560"/>
      <c r="I100" s="129"/>
    </row>
    <row r="101" spans="1:35" ht="18.75" customHeight="1">
      <c r="A101" s="3621" t="s">
        <v>1429</v>
      </c>
      <c r="B101" s="3622"/>
      <c r="C101" s="2584" t="str">
        <f>C4</f>
        <v>成本法</v>
      </c>
      <c r="D101" s="2585" t="str">
        <f>D4</f>
        <v>收益法（汇总）</v>
      </c>
      <c r="E101" s="3635" t="s">
        <v>1430</v>
      </c>
      <c r="F101" s="3592"/>
      <c r="G101" s="1826" t="s">
        <v>1431</v>
      </c>
      <c r="H101" s="2594">
        <f ca="1">H118</f>
        <v>67475</v>
      </c>
      <c r="I101" s="129"/>
    </row>
    <row r="102" spans="1:35" ht="18.75" customHeight="1">
      <c r="A102" s="3594" t="s">
        <v>1432</v>
      </c>
      <c r="B102" s="2583" t="s">
        <v>1431</v>
      </c>
      <c r="C102" s="2584">
        <f ca="1">IF(D32="楼面单价",ROUND(C19,0),C19)</f>
        <v>71749</v>
      </c>
      <c r="D102" s="2585">
        <f ca="1">IF(D32="楼面单价",ROUND(D19,0),D19)</f>
        <v>63201</v>
      </c>
      <c r="E102" s="3635"/>
      <c r="F102" s="3592"/>
      <c r="G102" s="1826" t="s">
        <v>1433</v>
      </c>
      <c r="H102" s="2554">
        <f ca="1">I118</f>
        <v>16993</v>
      </c>
      <c r="I102" s="129"/>
    </row>
    <row r="103" spans="1:35" ht="42.75" customHeight="1">
      <c r="A103" s="3594"/>
      <c r="B103" s="2583" t="s">
        <v>1433</v>
      </c>
      <c r="C103" s="2586">
        <f ca="1">C20</f>
        <v>18069</v>
      </c>
      <c r="D103" s="2587">
        <f ca="1">D20</f>
        <v>15916</v>
      </c>
      <c r="E103" s="3629" t="s">
        <v>1434</v>
      </c>
      <c r="F103" s="3630"/>
      <c r="G103" s="1827" t="s">
        <v>1435</v>
      </c>
      <c r="H103" s="2594">
        <f>IF(D36="正常操作",H104+H105+H106,H105+H106)</f>
        <v>0</v>
      </c>
      <c r="I103" s="129"/>
    </row>
    <row r="104" spans="1:35" ht="18.75" customHeight="1">
      <c r="A104" s="3594" t="s">
        <v>1436</v>
      </c>
      <c r="B104" s="2588" t="s">
        <v>1431</v>
      </c>
      <c r="C104" s="2589">
        <f ca="1">H118</f>
        <v>67475</v>
      </c>
      <c r="D104" s="2590"/>
      <c r="E104" s="1673" t="s">
        <v>1437</v>
      </c>
      <c r="F104" s="1665"/>
      <c r="G104" s="1827" t="s">
        <v>1435</v>
      </c>
      <c r="H104" s="2595">
        <f>IF(D36="同一抵押权人同一抵押物续贷",C36&amp;"（续贷，未扣减，详见特别提示）",C36)</f>
        <v>0</v>
      </c>
      <c r="I104" s="129"/>
    </row>
    <row r="105" spans="1:35" ht="18.75" customHeight="1" thickBot="1">
      <c r="A105" s="3595"/>
      <c r="B105" s="2591" t="s">
        <v>1433</v>
      </c>
      <c r="C105" s="2592">
        <f ca="1">I118</f>
        <v>16993</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591" t="str">
        <f>IF(项目基本情况!E8="已注销","——","3.房地产抵押价值")</f>
        <v>3.房地产抵押价值</v>
      </c>
      <c r="F107" s="3592"/>
      <c r="G107" s="1826" t="s">
        <v>1431</v>
      </c>
      <c r="H107" s="2594">
        <f ca="1">IF(E107="——","——",H101-H103)</f>
        <v>67475</v>
      </c>
      <c r="I107" s="129"/>
    </row>
    <row r="108" spans="1:35" ht="18.75" customHeight="1">
      <c r="A108" s="129"/>
      <c r="B108" s="129"/>
      <c r="C108" s="129"/>
      <c r="D108" s="129"/>
      <c r="E108" s="3591"/>
      <c r="F108" s="3592"/>
      <c r="G108" s="1826" t="s">
        <v>1433</v>
      </c>
      <c r="H108" s="2554">
        <f ca="1">IF(H107=H101,H102,ROUND(H107*10000/'数据-汇总表'!E3,0))</f>
        <v>16993</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1431</v>
      </c>
      <c r="H109" s="2597" t="str">
        <f>IF(E109="——","——",H101-H105-H106)</f>
        <v>——</v>
      </c>
      <c r="I109" s="129"/>
    </row>
    <row r="110" spans="1:35" ht="18.75" customHeight="1">
      <c r="A110" s="129"/>
      <c r="B110" s="129"/>
      <c r="C110" s="129"/>
      <c r="D110" s="129"/>
      <c r="E110" s="3591"/>
      <c r="F110" s="3592"/>
      <c r="G110" s="1826" t="s">
        <v>1433</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1431</v>
      </c>
      <c r="H111" s="2594" t="str">
        <f>IF(E111="——","——",N59)</f>
        <v>——</v>
      </c>
      <c r="I111" s="129"/>
    </row>
    <row r="112" spans="1:35" ht="18.75" customHeight="1" thickBot="1">
      <c r="A112" s="129"/>
      <c r="B112" s="129"/>
      <c r="C112" s="129"/>
      <c r="D112" s="129"/>
      <c r="E112" s="3624"/>
      <c r="F112" s="3625"/>
      <c r="G112" s="1829" t="s">
        <v>1433</v>
      </c>
      <c r="H112" s="2598" t="str">
        <f>IF(E111="——","——",N61)</f>
        <v>——</v>
      </c>
      <c r="I112" s="129"/>
    </row>
    <row r="113" spans="1:27" ht="18.75" customHeight="1">
      <c r="A113" s="129"/>
      <c r="B113" s="129"/>
      <c r="C113" s="129"/>
      <c r="D113" s="129"/>
      <c r="E113" s="3596" t="s">
        <v>1439</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1441</v>
      </c>
      <c r="B115" s="3607"/>
      <c r="C115" s="3607"/>
      <c r="D115" s="3607"/>
      <c r="E115" s="3607"/>
      <c r="F115" s="3607"/>
      <c r="G115" s="3607"/>
      <c r="H115" s="3607"/>
      <c r="I115" s="3608"/>
    </row>
    <row r="116" spans="1:27" ht="27" customHeight="1">
      <c r="A116" s="3562" t="s">
        <v>1442</v>
      </c>
      <c r="B116" s="3597" t="s">
        <v>1443</v>
      </c>
      <c r="C116" s="3597" t="s">
        <v>1444</v>
      </c>
      <c r="D116" s="3610" t="s">
        <v>1445</v>
      </c>
      <c r="E116" s="3611"/>
      <c r="F116" s="3605" t="s">
        <v>1446</v>
      </c>
      <c r="G116" s="3605"/>
      <c r="H116" s="3562" t="s">
        <v>1447</v>
      </c>
      <c r="I116" s="3562"/>
    </row>
    <row r="117" spans="1:27" ht="18.75" customHeight="1">
      <c r="A117" s="3562"/>
      <c r="B117" s="3598"/>
      <c r="C117" s="3598"/>
      <c r="D117" s="2328" t="s">
        <v>1448</v>
      </c>
      <c r="E117" s="2328" t="s">
        <v>1449</v>
      </c>
      <c r="F117" s="2328" t="s">
        <v>1448</v>
      </c>
      <c r="G117" s="2328" t="s">
        <v>1450</v>
      </c>
      <c r="H117" s="2328" t="s">
        <v>1448</v>
      </c>
      <c r="I117" s="2328" t="s">
        <v>1450</v>
      </c>
    </row>
    <row r="118" spans="1:27" ht="24.75" customHeight="1">
      <c r="A118" s="2599" t="str">
        <f>项目基本情况!S2</f>
        <v>房地产</v>
      </c>
      <c r="B118" s="2328">
        <f>M18</f>
        <v>39707.960000000006</v>
      </c>
      <c r="C118" s="2328">
        <f>M19</f>
        <v>6294.36</v>
      </c>
      <c r="D118" s="2328">
        <f ca="1">ROUND(IF(D32="总价",C34,E118*B118/10000),0)</f>
        <v>39608</v>
      </c>
      <c r="E118" s="2328">
        <f ca="1">ROUND(IF(C33="自定义",IF(D32="楼面单价",C34,D118*10000/B118),I118-G118),0)</f>
        <v>9975</v>
      </c>
      <c r="F118" s="2328">
        <f ca="1">ROUND(IF(D32="总价",C35,G118*B118/10000),0)</f>
        <v>27867</v>
      </c>
      <c r="G118" s="2328">
        <f ca="1">ROUND(IF(D32="楼面单价",C35,F118*10000/B118),0)</f>
        <v>7018</v>
      </c>
      <c r="H118" s="2328">
        <f ca="1">ROUND(IF(D32="总价",C32,I118*B118/10000),0)</f>
        <v>67475</v>
      </c>
      <c r="I118" s="2328">
        <f ca="1">ROUND(IF(D32="楼面单价",C32,H118*10000/B118),0)</f>
        <v>16993</v>
      </c>
    </row>
    <row r="119" spans="1:27" ht="18.75" customHeight="1">
      <c r="A119" s="3562" t="s">
        <v>1451</v>
      </c>
      <c r="B119" s="3562"/>
      <c r="C119" s="3562"/>
      <c r="D119" s="3602" t="str">
        <f ca="1">NUMBERSTRING(INT(D118*10000),2)&amp;"元整"</f>
        <v>叁亿玖仟陆佰零捌万元整</v>
      </c>
      <c r="E119" s="3604"/>
      <c r="F119" s="3602" t="str">
        <f ca="1">NUMBERSTRING(INT(F118*10000),2)&amp;"元整"</f>
        <v>贰亿柒仟捌佰陆拾柒万元整</v>
      </c>
      <c r="G119" s="3604"/>
      <c r="H119" s="3602" t="str">
        <f ca="1">NUMBERSTRING(INT(H118*10000),2)&amp;"元整"</f>
        <v>陆亿柒仟肆佰柒拾伍万元整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1451</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67475</v>
      </c>
      <c r="E122" s="3627"/>
      <c r="F122" s="3627"/>
      <c r="G122" s="3627"/>
      <c r="H122" s="3627"/>
      <c r="I122" s="3628"/>
      <c r="AA122" s="725"/>
    </row>
    <row r="123" spans="1:27" ht="18.75" customHeight="1">
      <c r="A123" s="3562" t="s">
        <v>1451</v>
      </c>
      <c r="B123" s="3562"/>
      <c r="C123" s="3562"/>
      <c r="D123" s="3602" t="str">
        <f ca="1">NUMBERSTRING(INT(D122*10000),2)&amp;"元整"</f>
        <v>陆亿柒仟肆佰柒拾伍万元整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1451</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1451</v>
      </c>
      <c r="B127" s="3562"/>
      <c r="C127" s="3562"/>
      <c r="D127" s="3602" t="e">
        <f>NUMBERSTRING(INT(D126*10000),2)&amp;"元整"</f>
        <v>#VALUE!</v>
      </c>
      <c r="E127" s="3603"/>
      <c r="F127" s="3603"/>
      <c r="G127" s="3603"/>
      <c r="H127" s="3603"/>
      <c r="I127" s="3604"/>
      <c r="AA127" s="725"/>
    </row>
    <row r="128" spans="1:27" ht="21.75" customHeight="1">
      <c r="A128" s="3609" t="s">
        <v>1452</v>
      </c>
      <c r="B128" s="3609"/>
      <c r="C128" s="3609"/>
      <c r="D128" s="3609"/>
      <c r="E128" s="3609"/>
      <c r="F128" s="3609"/>
      <c r="G128" s="3609"/>
      <c r="H128" s="3609"/>
      <c r="I128" s="3609"/>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34"/>
  <sheetViews>
    <sheetView workbookViewId="0">
      <selection activeCell="F34" sqref="F34"/>
    </sheetView>
  </sheetViews>
  <sheetFormatPr defaultRowHeight="13.5"/>
  <sheetData>
    <row r="1" spans="1:10" ht="27.75" customHeight="1">
      <c r="B1" t="s">
        <v>3384</v>
      </c>
      <c r="C1" t="s">
        <v>3385</v>
      </c>
    </row>
    <row r="2" spans="1:10">
      <c r="A2" t="s">
        <v>3386</v>
      </c>
      <c r="B2">
        <v>3996.73</v>
      </c>
      <c r="C2">
        <v>3515.45</v>
      </c>
      <c r="F2" s="3798" t="s">
        <v>3423</v>
      </c>
      <c r="I2" t="s">
        <v>3420</v>
      </c>
      <c r="J2" t="s">
        <v>3421</v>
      </c>
    </row>
    <row r="3" spans="1:10">
      <c r="A3" t="s">
        <v>3387</v>
      </c>
      <c r="B3">
        <v>3996.71</v>
      </c>
      <c r="C3">
        <v>63.75</v>
      </c>
      <c r="H3" t="s">
        <v>3383</v>
      </c>
      <c r="I3">
        <v>24</v>
      </c>
      <c r="J3">
        <v>5</v>
      </c>
    </row>
    <row r="4" spans="1:10">
      <c r="A4" t="s">
        <v>3388</v>
      </c>
      <c r="B4">
        <v>152.22</v>
      </c>
      <c r="H4" t="s">
        <v>3396</v>
      </c>
      <c r="I4">
        <v>3</v>
      </c>
      <c r="J4">
        <v>0</v>
      </c>
    </row>
    <row r="5" spans="1:10">
      <c r="A5" t="s">
        <v>3389</v>
      </c>
      <c r="B5">
        <v>2695.74</v>
      </c>
      <c r="C5">
        <v>43.17</v>
      </c>
      <c r="F5" t="s">
        <v>3384</v>
      </c>
      <c r="H5" t="s">
        <v>3409</v>
      </c>
      <c r="I5">
        <v>57000</v>
      </c>
      <c r="J5">
        <v>22000</v>
      </c>
    </row>
    <row r="6" spans="1:10">
      <c r="A6">
        <v>1</v>
      </c>
      <c r="B6">
        <v>2314.3200000000002</v>
      </c>
      <c r="C6">
        <v>42.93</v>
      </c>
      <c r="H6" t="s">
        <v>3383</v>
      </c>
      <c r="I6">
        <v>45000</v>
      </c>
      <c r="J6">
        <v>22000</v>
      </c>
    </row>
    <row r="7" spans="1:10">
      <c r="A7">
        <v>2</v>
      </c>
      <c r="B7">
        <v>2091.71</v>
      </c>
      <c r="H7" t="s">
        <v>3396</v>
      </c>
      <c r="I7">
        <v>12000</v>
      </c>
      <c r="J7" t="s">
        <v>3422</v>
      </c>
    </row>
    <row r="8" spans="1:10">
      <c r="A8">
        <v>3</v>
      </c>
      <c r="B8">
        <v>2095.34</v>
      </c>
      <c r="F8" t="s">
        <v>3410</v>
      </c>
      <c r="G8" t="s">
        <v>3411</v>
      </c>
      <c r="I8">
        <v>5893</v>
      </c>
      <c r="J8">
        <v>5920</v>
      </c>
    </row>
    <row r="9" spans="1:10" ht="13.5" customHeight="1">
      <c r="A9">
        <v>4</v>
      </c>
      <c r="B9">
        <v>2095.34</v>
      </c>
      <c r="G9" s="3799" t="s">
        <v>3412</v>
      </c>
      <c r="H9" t="s">
        <v>3409</v>
      </c>
      <c r="I9">
        <v>3061</v>
      </c>
      <c r="J9">
        <v>1795</v>
      </c>
    </row>
    <row r="10" spans="1:10">
      <c r="A10">
        <v>5</v>
      </c>
      <c r="B10">
        <v>2095.34</v>
      </c>
      <c r="D10">
        <v>6851.3449999999993</v>
      </c>
      <c r="G10" s="3799"/>
      <c r="H10" t="s">
        <v>3383</v>
      </c>
      <c r="I10">
        <v>2440</v>
      </c>
      <c r="J10">
        <v>1795</v>
      </c>
    </row>
    <row r="11" spans="1:10">
      <c r="A11">
        <v>6</v>
      </c>
      <c r="B11">
        <v>2095.34</v>
      </c>
      <c r="G11" s="3799"/>
      <c r="H11" t="s">
        <v>3396</v>
      </c>
      <c r="I11">
        <v>5390</v>
      </c>
      <c r="J11" t="s">
        <v>3422</v>
      </c>
    </row>
    <row r="12" spans="1:10">
      <c r="A12">
        <v>7</v>
      </c>
      <c r="B12">
        <v>2095.34</v>
      </c>
      <c r="G12" t="s">
        <v>3413</v>
      </c>
      <c r="I12">
        <v>474</v>
      </c>
      <c r="J12">
        <v>700</v>
      </c>
    </row>
    <row r="13" spans="1:10">
      <c r="A13">
        <v>8</v>
      </c>
      <c r="B13">
        <v>2095.34</v>
      </c>
      <c r="G13" t="s">
        <v>3414</v>
      </c>
      <c r="I13">
        <v>2358</v>
      </c>
      <c r="J13">
        <v>3425</v>
      </c>
    </row>
    <row r="14" spans="1:10">
      <c r="A14">
        <v>9</v>
      </c>
      <c r="B14">
        <v>1614.81</v>
      </c>
    </row>
    <row r="15" spans="1:10">
      <c r="A15">
        <v>10</v>
      </c>
      <c r="B15">
        <v>1614.81</v>
      </c>
      <c r="G15" t="s">
        <v>3415</v>
      </c>
    </row>
    <row r="16" spans="1:10">
      <c r="A16">
        <v>11</v>
      </c>
      <c r="B16">
        <v>1614.81</v>
      </c>
    </row>
    <row r="17" spans="1:10">
      <c r="A17">
        <v>12</v>
      </c>
      <c r="B17">
        <v>1614.81</v>
      </c>
      <c r="G17" t="s">
        <v>3416</v>
      </c>
    </row>
    <row r="18" spans="1:10">
      <c r="A18">
        <v>13</v>
      </c>
      <c r="B18">
        <v>1614.81</v>
      </c>
      <c r="G18" t="s">
        <v>3417</v>
      </c>
      <c r="I18">
        <v>0.51942983200407267</v>
      </c>
      <c r="J18">
        <v>0.30320945945945948</v>
      </c>
    </row>
    <row r="19" spans="1:10">
      <c r="A19">
        <v>14</v>
      </c>
      <c r="B19">
        <v>1321.25</v>
      </c>
      <c r="G19" t="s">
        <v>3413</v>
      </c>
      <c r="I19">
        <v>8.0434413711182762E-2</v>
      </c>
      <c r="J19">
        <v>0.11824324324324324</v>
      </c>
    </row>
    <row r="20" spans="1:10">
      <c r="A20">
        <v>15</v>
      </c>
      <c r="B20">
        <v>1321.25</v>
      </c>
      <c r="G20" t="s">
        <v>3418</v>
      </c>
      <c r="I20">
        <v>0.40013575428474463</v>
      </c>
      <c r="J20">
        <v>0.57854729729729726</v>
      </c>
    </row>
    <row r="21" spans="1:10">
      <c r="A21">
        <v>16</v>
      </c>
      <c r="B21">
        <v>1321.25</v>
      </c>
      <c r="G21" t="s">
        <v>3419</v>
      </c>
    </row>
    <row r="22" spans="1:10">
      <c r="A22">
        <v>17</v>
      </c>
      <c r="B22">
        <v>1614.81</v>
      </c>
    </row>
    <row r="23" spans="1:10">
      <c r="A23">
        <v>18</v>
      </c>
      <c r="B23">
        <v>1619.21</v>
      </c>
    </row>
    <row r="24" spans="1:10">
      <c r="A24" t="s">
        <v>3390</v>
      </c>
      <c r="B24">
        <v>23.51</v>
      </c>
    </row>
    <row r="25" spans="1:10">
      <c r="A25" t="s">
        <v>3391</v>
      </c>
      <c r="B25">
        <v>258.45999999999998</v>
      </c>
    </row>
    <row r="26" spans="1:10">
      <c r="B26">
        <v>43373.26</v>
      </c>
      <c r="C26">
        <v>3665.2999999999997</v>
      </c>
      <c r="D26">
        <v>39707.96</v>
      </c>
    </row>
    <row r="29" spans="1:10">
      <c r="B29" t="s">
        <v>3392</v>
      </c>
      <c r="C29">
        <v>32206.960000000006</v>
      </c>
      <c r="E29">
        <f>I10</f>
        <v>2440</v>
      </c>
    </row>
    <row r="30" spans="1:10">
      <c r="B30" t="s">
        <v>3393</v>
      </c>
      <c r="C30">
        <v>281.96999999999997</v>
      </c>
    </row>
    <row r="31" spans="1:10">
      <c r="B31" t="s">
        <v>3394</v>
      </c>
      <c r="C31">
        <v>7219.03</v>
      </c>
      <c r="D31">
        <v>126</v>
      </c>
      <c r="E31">
        <f>I11</f>
        <v>5390</v>
      </c>
    </row>
    <row r="32" spans="1:10">
      <c r="B32" t="s">
        <v>3395</v>
      </c>
      <c r="C32">
        <v>0</v>
      </c>
    </row>
    <row r="33" spans="3:7">
      <c r="C33">
        <v>39707.960000000006</v>
      </c>
      <c r="E33">
        <f>ROUND((E29*C29+E31*C31)/C33,0)</f>
        <v>2959</v>
      </c>
      <c r="F33">
        <f>I12</f>
        <v>474</v>
      </c>
      <c r="G33">
        <f>I13</f>
        <v>2358</v>
      </c>
    </row>
    <row r="34" spans="3:7">
      <c r="E34">
        <f>E33+F33+G33</f>
        <v>5791</v>
      </c>
    </row>
  </sheetData>
  <mergeCells count="1">
    <mergeCell ref="G9:G1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预评估</v>
      </c>
      <c r="C37" s="3459"/>
      <c r="D37" s="3459"/>
      <c r="E37" s="3459"/>
      <c r="F37" s="3459"/>
      <c r="G37" s="3459"/>
      <c r="H37" s="3459"/>
      <c r="I37" s="345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sqref="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71749</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18069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31534</v>
      </c>
      <c r="D5" s="211" t="s">
        <v>1468</v>
      </c>
      <c r="E5" s="212" t="s">
        <v>1469</v>
      </c>
      <c r="F5" s="212" t="s">
        <v>1470</v>
      </c>
      <c r="G5" s="213"/>
    </row>
    <row r="6" spans="1:9" s="214" customFormat="1" ht="13.5" customHeight="1">
      <c r="A6" s="778" t="s">
        <v>1471</v>
      </c>
      <c r="B6" s="215" t="s">
        <v>1472</v>
      </c>
      <c r="C6" s="216">
        <f>'土地比较法-住宅、综合'!B2</f>
        <v>29830</v>
      </c>
      <c r="D6" s="217"/>
      <c r="E6" s="218"/>
      <c r="F6" s="218"/>
      <c r="G6" s="219"/>
    </row>
    <row r="7" spans="1:9" s="214" customFormat="1" ht="13.5" customHeight="1">
      <c r="A7" s="778" t="s">
        <v>1473</v>
      </c>
      <c r="B7" s="215" t="s">
        <v>1474</v>
      </c>
      <c r="C7" s="220">
        <f>ROUND(C6*F7,0)</f>
        <v>910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794</v>
      </c>
      <c r="D8" s="222"/>
      <c r="E8" s="220"/>
      <c r="F8" s="221"/>
      <c r="G8" s="1855" t="s">
        <v>3601</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3602</v>
      </c>
      <c r="H9" s="1137"/>
      <c r="I9" s="1857" t="s">
        <v>1478</v>
      </c>
    </row>
    <row r="10" spans="1:9" s="214" customFormat="1" ht="13.5" customHeight="1">
      <c r="A10" s="779" t="s">
        <v>356</v>
      </c>
      <c r="B10" s="224" t="s">
        <v>1479</v>
      </c>
      <c r="C10" s="225">
        <f ca="1">ROUND(D10*E10/10000,0)</f>
        <v>794</v>
      </c>
      <c r="D10" s="845">
        <f ca="1">IF(B1="",'数据-汇总表'!E6,IF(INDIRECT("'数据-取费表'!c"&amp;$G$1)="住宅",INDIRECT("'数据-取费表'!s"&amp;$G$1),INDIRECT("'数据-取费表'!k"&amp;$G$1)+INDIRECT("'数据-取费表'!s"&amp;$G$1)))</f>
        <v>39707.960000000006</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39707.960000000006</v>
      </c>
      <c r="E19" s="211">
        <f>'数据-取费表'!B31</f>
        <v>200</v>
      </c>
      <c r="F19" s="231"/>
      <c r="G19" s="1855" t="s">
        <v>3603</v>
      </c>
    </row>
    <row r="20" spans="1:7" s="214" customFormat="1" ht="13.5" customHeight="1">
      <c r="A20" s="255" t="s">
        <v>1492</v>
      </c>
      <c r="B20" s="210" t="s">
        <v>1493</v>
      </c>
      <c r="C20" s="232">
        <f>ROUND((C5+C19)*F20,0)</f>
        <v>631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2235</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2213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22</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4503</v>
      </c>
      <c r="D27" s="235">
        <f ca="1">C29</f>
        <v>2.8E-3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ROUND((C5+C19+C20)*F27*'数据-取费表'!B21/'数据-取费表'!B20,0)</f>
        <v>4503</v>
      </c>
      <c r="D28" s="235"/>
      <c r="E28" s="236"/>
      <c r="F28" s="246"/>
      <c r="G28" s="247"/>
    </row>
    <row r="29" spans="1:7" s="214" customFormat="1" ht="13.5" customHeight="1">
      <c r="A29" s="780" t="s">
        <v>347</v>
      </c>
      <c r="B29" s="248" t="s">
        <v>1516</v>
      </c>
      <c r="C29" s="238">
        <f ca="1">ROUND(C21*F27*'数据-取费表'!B21/'数据-取费表'!B20,4)</f>
        <v>2.8E-3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42098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24861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23031</v>
      </c>
      <c r="D34" s="217"/>
      <c r="E34" s="220"/>
      <c r="F34" s="257">
        <f ca="1">IF('数据-取费表'!B24=0,1,IF(B1="",'数据-取费表'!N16,INDIRECT("'数据-取费表'!n"&amp;$G$1)))</f>
        <v>1</v>
      </c>
      <c r="G34" s="219" t="s">
        <v>1525</v>
      </c>
    </row>
    <row r="35" spans="1:7" ht="13.5" customHeight="1">
      <c r="A35" s="780" t="s">
        <v>351</v>
      </c>
      <c r="B35" s="215" t="s">
        <v>1526</v>
      </c>
      <c r="C35" s="220">
        <f ca="1">ROUND(C34*F35,0)</f>
        <v>691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794</v>
      </c>
      <c r="D37" s="217">
        <f ca="1">D19</f>
        <v>39707.960000000006</v>
      </c>
      <c r="E37" s="249">
        <f>'数据-取费表'!B35</f>
        <v>200</v>
      </c>
      <c r="F37" s="259"/>
      <c r="G37" s="261" t="s">
        <v>1531</v>
      </c>
    </row>
    <row r="38" spans="1:7" ht="13.5" customHeight="1">
      <c r="A38" s="780" t="s">
        <v>354</v>
      </c>
      <c r="B38" s="215" t="s">
        <v>1532</v>
      </c>
      <c r="C38" s="220">
        <f ca="1">ROUND(C34*F38,0)</f>
        <v>345</v>
      </c>
      <c r="D38" s="220"/>
      <c r="E38" s="220"/>
      <c r="F38" s="259">
        <f>'数据-取费表'!B36</f>
        <v>1.4999999999999999E-2</v>
      </c>
      <c r="G38" s="219" t="s">
        <v>1527</v>
      </c>
    </row>
    <row r="39" spans="1:7" s="214" customFormat="1" ht="13.5" customHeight="1">
      <c r="A39" s="255" t="s">
        <v>1533</v>
      </c>
      <c r="B39" s="210" t="s">
        <v>1534</v>
      </c>
      <c r="C39" s="232">
        <f ca="1">ROUND(C33*F20,0)</f>
        <v>497</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875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858</v>
      </c>
      <c r="D42" s="238"/>
      <c r="E42" s="238"/>
      <c r="F42" s="239"/>
      <c r="G42" s="3642" t="s">
        <v>1543</v>
      </c>
    </row>
    <row r="43" spans="1:7" ht="13.5" customHeight="1">
      <c r="A43" s="780" t="s">
        <v>347</v>
      </c>
      <c r="B43" s="215" t="s">
        <v>1544</v>
      </c>
      <c r="C43" s="238">
        <f ca="1">ROUND(IF('数据-取费表'!B22&lt;=1,C39*F22*'数据-取费表'!B21/2,C39*(POWER((1+F22),'数据-取费表'!B21/2)-1)),0)</f>
        <v>17</v>
      </c>
      <c r="D43" s="238"/>
      <c r="E43" s="238"/>
      <c r="F43" s="239"/>
      <c r="G43" s="3643"/>
    </row>
    <row r="44" spans="1:7" ht="13.5" customHeight="1">
      <c r="A44" s="780" t="s">
        <v>348</v>
      </c>
      <c r="B44" s="215" t="s">
        <v>1545</v>
      </c>
      <c r="C44" s="238">
        <f ca="1">ROUND(IF('数据-取费表'!B22&lt;=1,C40*F22*'数据-取费表'!B21/2,C40*(POWER((1+F22),'数据-取费表'!B21/2)-1)),4)</f>
        <v>6.9999999999999999E-4</v>
      </c>
      <c r="D44" s="238"/>
      <c r="E44" s="238"/>
      <c r="F44" s="239"/>
      <c r="G44" s="3644"/>
    </row>
    <row r="45" spans="1:7" s="214" customFormat="1" ht="13.5" customHeight="1">
      <c r="A45" s="255" t="s">
        <v>1546</v>
      </c>
      <c r="B45" s="244" t="s">
        <v>1512</v>
      </c>
      <c r="C45" s="245">
        <f ca="1">C46</f>
        <v>3550</v>
      </c>
      <c r="D45" s="235">
        <f ca="1">C47</f>
        <v>2.8E-3</v>
      </c>
      <c r="E45" s="236" t="s">
        <v>1538</v>
      </c>
      <c r="F45" s="246">
        <f ca="1">F27</f>
        <v>0.14000000000000001</v>
      </c>
      <c r="G45" s="247" t="s">
        <v>1547</v>
      </c>
    </row>
    <row r="46" spans="1:7" s="214" customFormat="1" ht="13.5" customHeight="1">
      <c r="A46" s="780" t="s">
        <v>346</v>
      </c>
      <c r="B46" s="248" t="s">
        <v>1548</v>
      </c>
      <c r="C46" s="249">
        <f ca="1">ROUND((C33+C39)*F27,0)</f>
        <v>3550</v>
      </c>
      <c r="D46" s="263"/>
      <c r="E46" s="236"/>
      <c r="F46" s="246"/>
      <c r="G46" s="247"/>
    </row>
    <row r="47" spans="1:7" s="214" customFormat="1" ht="13.5" customHeight="1">
      <c r="A47" s="780" t="s">
        <v>347</v>
      </c>
      <c r="B47" s="248" t="s">
        <v>1549</v>
      </c>
      <c r="C47" s="238">
        <f ca="1">ROUND(C40*F27,4)</f>
        <v>2.8E-3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32229</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29651</v>
      </c>
      <c r="D51" s="232"/>
      <c r="E51" s="232"/>
      <c r="F51" s="264"/>
      <c r="G51" s="234" t="s">
        <v>1559</v>
      </c>
    </row>
    <row r="52" spans="1:7" s="208" customFormat="1" ht="16.5" thickBot="1">
      <c r="A52" s="265" t="s">
        <v>1560</v>
      </c>
      <c r="B52" s="266"/>
      <c r="C52" s="267">
        <f ca="1">C31+C51</f>
        <v>71749</v>
      </c>
      <c r="D52" s="266"/>
      <c r="E52" s="266"/>
      <c r="F52" s="266"/>
      <c r="G52" s="268"/>
    </row>
    <row r="55" spans="1:7" ht="15">
      <c r="B55" s="270" t="s">
        <v>1561</v>
      </c>
      <c r="C55" s="271"/>
    </row>
    <row r="56" spans="1:7">
      <c r="B56" s="273" t="s">
        <v>802</v>
      </c>
      <c r="C56" s="275">
        <f ca="1">1-C57</f>
        <v>0.58699999999999997</v>
      </c>
    </row>
    <row r="57" spans="1:7">
      <c r="B57" s="273" t="s">
        <v>803</v>
      </c>
      <c r="C57" s="274">
        <f ca="1">ROUND(C51/C52,3)</f>
        <v>0.41299999999999998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23">
        <f ca="1">ROUND(IF(D2="——",C52/10000,C52/10000-E2),4)</f>
        <v>31771.6888</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8001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7941592</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7941592</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7941592</v>
      </c>
      <c r="D10" s="845">
        <f ca="1">IF(B1="",'数据-汇总表'!E6,IF(INDIRECT("'数据-取费表'!c"&amp;$G$1)="住宅",INDIRECT("'数据-取费表'!s"&amp;$G$1),INDIRECT("'数据-取费表'!k"&amp;$G$1)+INDIRECT("'数据-取费表'!s"&amp;$G$1)))</f>
        <v>39707.960000000006</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7941592</v>
      </c>
      <c r="D19" s="849">
        <f ca="1">D9+D10</f>
        <v>39707.960000000006</v>
      </c>
      <c r="E19" s="211">
        <f>'数据-取费表'!B31</f>
        <v>200</v>
      </c>
      <c r="F19" s="231"/>
      <c r="G19" s="1855"/>
    </row>
    <row r="20" spans="1:7" s="214" customFormat="1" ht="13.5" customHeight="1">
      <c r="A20" s="255" t="s">
        <v>1573</v>
      </c>
      <c r="B20" s="210" t="s">
        <v>1574</v>
      </c>
      <c r="C20" s="232">
        <f ca="1">ROUND((C5+C19)*F20,0)</f>
        <v>317664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1125803</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557422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557422</v>
      </c>
      <c r="D24" s="238"/>
      <c r="E24" s="238"/>
      <c r="F24" s="239"/>
      <c r="G24" s="240" t="s">
        <v>1585</v>
      </c>
    </row>
    <row r="25" spans="1:7" s="214" customFormat="1" ht="24">
      <c r="A25" s="780" t="s">
        <v>1475</v>
      </c>
      <c r="B25" s="215" t="s">
        <v>1586</v>
      </c>
      <c r="C25" s="1128">
        <f ca="1">ROUND(IF('数据-取费表'!B22&lt;=1,C20*F22*'数据-取费表'!B22/2,C20*(POWER((1+F22),'数据-取费表'!B22/2)-1)),0)</f>
        <v>10959</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2268119</v>
      </c>
      <c r="D27" s="235">
        <f ca="1">C29</f>
        <v>2.8E-3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ROUND((C5+C19+C20)*F27,0)</f>
        <v>2268119</v>
      </c>
      <c r="D28" s="235"/>
      <c r="E28" s="236"/>
      <c r="F28" s="246"/>
      <c r="G28" s="247"/>
    </row>
    <row r="29" spans="1:7" s="214" customFormat="1" ht="13.5" customHeight="1">
      <c r="A29" s="780" t="s">
        <v>347</v>
      </c>
      <c r="B29" s="248" t="s">
        <v>1516</v>
      </c>
      <c r="C29" s="238">
        <f ca="1">ROUND(C21*F27,4)</f>
        <v>2.8E-3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21204166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248611538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230306168</v>
      </c>
      <c r="D34" s="217"/>
      <c r="E34" s="220"/>
      <c r="F34" s="257"/>
      <c r="G34" s="219"/>
    </row>
    <row r="35" spans="1:7" ht="13.5" customHeight="1">
      <c r="A35" s="780" t="s">
        <v>351</v>
      </c>
      <c r="B35" s="215" t="s">
        <v>1526</v>
      </c>
      <c r="C35" s="220">
        <f ca="1">ROUND(C34*F35,0)</f>
        <v>6909185</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7941592</v>
      </c>
      <c r="D37" s="217">
        <f ca="1">D19</f>
        <v>39707.960000000006</v>
      </c>
      <c r="E37" s="249">
        <f>'数据-取费表'!B35</f>
        <v>200</v>
      </c>
      <c r="F37" s="259"/>
      <c r="G37" s="261"/>
    </row>
    <row r="38" spans="1:7" ht="13.5" customHeight="1">
      <c r="A38" s="780" t="s">
        <v>354</v>
      </c>
      <c r="B38" s="215" t="s">
        <v>1532</v>
      </c>
      <c r="C38" s="220">
        <f ca="1">ROUND(C34*F38,0)</f>
        <v>3454593</v>
      </c>
      <c r="D38" s="220"/>
      <c r="E38" s="220"/>
      <c r="F38" s="259">
        <f>'数据-取费表'!B36</f>
        <v>1.4999999999999999E-2</v>
      </c>
      <c r="G38" s="219" t="s">
        <v>1527</v>
      </c>
    </row>
    <row r="39" spans="1:7" s="214" customFormat="1" ht="13.5" customHeight="1">
      <c r="A39" s="255" t="s">
        <v>1533</v>
      </c>
      <c r="B39" s="210" t="s">
        <v>1534</v>
      </c>
      <c r="C39" s="232">
        <f ca="1">ROUND(C33*F20,0)</f>
        <v>4972231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8748640</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8577098</v>
      </c>
      <c r="D42" s="238"/>
      <c r="E42" s="238"/>
      <c r="F42" s="239"/>
      <c r="G42" s="3642" t="s">
        <v>1590</v>
      </c>
    </row>
    <row r="43" spans="1:7" ht="13.5" customHeight="1">
      <c r="A43" s="780" t="s">
        <v>347</v>
      </c>
      <c r="B43" s="215" t="s">
        <v>1544</v>
      </c>
      <c r="C43" s="238">
        <f ca="1">ROUND(IF('数据-取费表'!B22&lt;=1,C39*F22*'数据-取费表'!B20/2,C39*(POWER((1+F22),'数据-取费表'!B20/2)-1)),0)</f>
        <v>171542</v>
      </c>
      <c r="D43" s="238"/>
      <c r="E43" s="238"/>
      <c r="F43" s="239"/>
      <c r="G43" s="3643"/>
    </row>
    <row r="44" spans="1:7" ht="13.5" customHeight="1">
      <c r="A44" s="780" t="s">
        <v>348</v>
      </c>
      <c r="B44" s="215" t="s">
        <v>1545</v>
      </c>
      <c r="C44" s="238">
        <f ca="1">ROUND(IF('数据-取费表'!B22&lt;=1,C40*F22*'数据-取费表'!B20/2,C40*(POWER((1+F22),'数据-取费表'!B20/2)-1)),4)</f>
        <v>6.9999999999999999E-4</v>
      </c>
      <c r="D44" s="238"/>
      <c r="E44" s="238"/>
      <c r="F44" s="239"/>
      <c r="G44" s="3644"/>
    </row>
    <row r="45" spans="1:7" s="214" customFormat="1" ht="13.5" customHeight="1">
      <c r="A45" s="255" t="s">
        <v>1546</v>
      </c>
      <c r="B45" s="244" t="s">
        <v>1512</v>
      </c>
      <c r="C45" s="245">
        <f ca="1">C46</f>
        <v>35501728</v>
      </c>
      <c r="D45" s="235">
        <f ca="1">C47</f>
        <v>2.8E-3</v>
      </c>
      <c r="E45" s="236" t="s">
        <v>1538</v>
      </c>
      <c r="F45" s="246">
        <f ca="1">F27</f>
        <v>0.14000000000000001</v>
      </c>
      <c r="G45" s="247" t="s">
        <v>1547</v>
      </c>
    </row>
    <row r="46" spans="1:7" s="214" customFormat="1" ht="13.5" customHeight="1">
      <c r="A46" s="780" t="s">
        <v>346</v>
      </c>
      <c r="B46" s="248" t="s">
        <v>1548</v>
      </c>
      <c r="C46" s="249">
        <f ca="1">ROUND((C33+C39)*F27,0)</f>
        <v>35501728</v>
      </c>
      <c r="D46" s="263"/>
      <c r="E46" s="236"/>
      <c r="F46" s="246"/>
      <c r="G46" s="247"/>
    </row>
    <row r="47" spans="1:7" s="214" customFormat="1" ht="13.5" customHeight="1">
      <c r="A47" s="780" t="s">
        <v>347</v>
      </c>
      <c r="B47" s="248" t="s">
        <v>1549</v>
      </c>
      <c r="C47" s="238">
        <f ca="1">ROUND(C40*F27,4)</f>
        <v>2.8E-3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322296437</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296512722</v>
      </c>
      <c r="D51" s="232"/>
      <c r="E51" s="232"/>
      <c r="F51" s="264"/>
      <c r="G51" s="234" t="s">
        <v>1559</v>
      </c>
    </row>
    <row r="52" spans="1:7" s="208" customFormat="1" ht="16.5" thickBot="1">
      <c r="A52" s="265" t="s">
        <v>1560</v>
      </c>
      <c r="B52" s="266"/>
      <c r="C52" s="267">
        <f ca="1">C31+C51</f>
        <v>317716888</v>
      </c>
      <c r="D52" s="266"/>
      <c r="E52" s="266"/>
      <c r="F52" s="266"/>
      <c r="G52" s="268"/>
    </row>
    <row r="55" spans="1:7" ht="15">
      <c r="B55" s="270" t="s">
        <v>1561</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39707.960000000006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39707.960000000006</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794</v>
      </c>
      <c r="D20" s="846">
        <f ca="1">IF(C1="",'数据-汇总表'!E6,IF(INDIRECT("'数据-取费表'!c"&amp;$K$1)="住宅",INDIRECT("'数据-取费表'!s"&amp;$K$1),INDIRECT("'数据-取费表'!k"&amp;$K$1)+INDIRECT("'数据-取费表'!s"&amp;$K$1)))</f>
        <v>39707.960000000006</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32.049999999999997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62563</v>
      </c>
      <c r="C2" s="1386" t="s">
        <v>805</v>
      </c>
      <c r="D2" s="1386"/>
      <c r="E2" s="1387"/>
      <c r="F2" s="1388"/>
      <c r="G2" s="2705"/>
      <c r="H2" s="2694"/>
      <c r="I2" s="2694"/>
      <c r="J2" s="2694"/>
      <c r="K2" s="2695"/>
      <c r="L2" s="2694"/>
      <c r="M2" s="2694"/>
    </row>
    <row r="3" spans="1:37" ht="18" customHeight="1" thickBot="1">
      <c r="A3" s="1389" t="s">
        <v>806</v>
      </c>
      <c r="B3" s="1390">
        <f ca="1">IF(ISERROR(B2*10000/F43),0,ROUND(B2*10000/F43,0))</f>
        <v>19425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3898</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3893</v>
      </c>
      <c r="D6" s="155" t="s">
        <v>2107</v>
      </c>
      <c r="E6" s="302" t="s">
        <v>696</v>
      </c>
      <c r="F6" s="303">
        <f ca="1">INDIRECT("'数据-取费表'!u"&amp;$G$1)</f>
        <v>3.6</v>
      </c>
      <c r="G6" s="1383"/>
      <c r="H6" s="1069" t="s">
        <v>398</v>
      </c>
      <c r="I6" s="3647" t="s">
        <v>694</v>
      </c>
      <c r="J6" s="301">
        <f ca="1">ROUND(M6*M8*M7*(1-M9)/10000,0)</f>
        <v>0</v>
      </c>
      <c r="K6" s="155"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32206.960000000006</v>
      </c>
      <c r="G7" s="1383"/>
      <c r="H7" s="304"/>
      <c r="I7" s="3648"/>
      <c r="J7" s="306"/>
      <c r="K7" s="307"/>
      <c r="L7" s="302" t="s">
        <v>697</v>
      </c>
      <c r="M7" s="303">
        <f ca="1">F7</f>
        <v>32206.960000000006</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0.08</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2115</v>
      </c>
      <c r="E10" s="313" t="s">
        <v>701</v>
      </c>
      <c r="F10" s="1116" t="s">
        <v>3610</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24433</v>
      </c>
      <c r="D13" s="1081" t="s">
        <v>705</v>
      </c>
      <c r="E13" s="1081" t="s">
        <v>706</v>
      </c>
      <c r="F13" s="1082">
        <f ca="1">INDIRECT("'数据-取费表'!y"&amp;$G$1)</f>
        <v>0.92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18814</v>
      </c>
      <c r="D14" s="1344" t="s">
        <v>708</v>
      </c>
      <c r="E14" s="1341"/>
      <c r="F14" s="319"/>
      <c r="G14" s="1383"/>
      <c r="H14" s="982" t="s">
        <v>398</v>
      </c>
      <c r="I14" s="302" t="s">
        <v>709</v>
      </c>
      <c r="J14" s="21">
        <f ca="1">C29</f>
        <v>26558</v>
      </c>
      <c r="K14" s="12"/>
      <c r="L14" s="807"/>
      <c r="M14" s="808"/>
    </row>
    <row r="15" spans="1:37" s="1396" customFormat="1" ht="18" customHeight="1" thickBot="1">
      <c r="A15" s="982" t="s">
        <v>399</v>
      </c>
      <c r="B15" s="302" t="s">
        <v>710</v>
      </c>
      <c r="C15" s="21">
        <f ca="1">ROUND(C14*F15,0)</f>
        <v>564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134</v>
      </c>
      <c r="K16" s="1087" t="s">
        <v>715</v>
      </c>
      <c r="L16" s="1088"/>
      <c r="M16" s="1072"/>
    </row>
    <row r="17" spans="1:37" s="1396" customFormat="1" ht="18" customHeight="1">
      <c r="A17" s="982" t="s">
        <v>681</v>
      </c>
      <c r="B17" s="302" t="s">
        <v>716</v>
      </c>
      <c r="C17" s="21">
        <f ca="1">ROUND(F17*(F43+INDIRECT("'数据-取费表'!S"&amp;$G$1))/10000,0)</f>
        <v>649</v>
      </c>
      <c r="D17" s="302" t="s">
        <v>717</v>
      </c>
      <c r="E17" s="302" t="s">
        <v>718</v>
      </c>
      <c r="F17" s="23">
        <f>'数据-取费表'!B35</f>
        <v>200</v>
      </c>
      <c r="G17" s="1395"/>
      <c r="H17" s="982" t="s">
        <v>398</v>
      </c>
      <c r="I17" s="302" t="s">
        <v>719</v>
      </c>
      <c r="J17" s="2315">
        <f ca="1">ROUND(IF(AND(项目基本情况!B11="自然人",项目基本情况!B10="北京市"),J6*M17/(1+'数据-取费表'!C42),J18+J19+J20),2)</f>
        <v>0.77</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282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20309</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406</v>
      </c>
      <c r="D20" s="323" t="s">
        <v>729</v>
      </c>
      <c r="E20" s="302" t="s">
        <v>712</v>
      </c>
      <c r="F20" s="322">
        <f>'数据-取费表'!B37</f>
        <v>0.02</v>
      </c>
      <c r="G20" s="1395"/>
      <c r="H20" s="982" t="s">
        <v>680</v>
      </c>
      <c r="I20" s="155" t="s">
        <v>730</v>
      </c>
      <c r="J20" s="22">
        <f ca="1">ROUND(M20*M21/10000,2)</f>
        <v>0.77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5141.84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132.79</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715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-134</v>
      </c>
      <c r="K25" s="1095" t="s">
        <v>753</v>
      </c>
      <c r="L25" s="1096"/>
      <c r="M25" s="1097"/>
    </row>
    <row r="26" spans="1:37">
      <c r="A26" s="982" t="s">
        <v>397</v>
      </c>
      <c r="B26" s="302" t="s">
        <v>754</v>
      </c>
      <c r="C26" s="21">
        <f ca="1">ROUND((C19+C20)*F26,0)</f>
        <v>3107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26558</v>
      </c>
      <c r="D29" s="1092"/>
      <c r="E29" s="1090"/>
      <c r="F29" s="1093"/>
      <c r="G29" s="1395"/>
      <c r="H29" s="334" t="s">
        <v>396</v>
      </c>
      <c r="I29" s="335" t="s">
        <v>768</v>
      </c>
      <c r="J29" s="336">
        <f ca="1">ROUND(J26/(1+F40)^F41,0)</f>
        <v>0</v>
      </c>
      <c r="K29" s="337" t="s">
        <v>769</v>
      </c>
      <c r="L29" s="338"/>
      <c r="M29" s="339">
        <f ca="1">INDIRECT("'数据-取费表'!k"&amp;$G$1)</f>
        <v>32206.960000000006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839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649.6</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2" t="s">
        <v>397</v>
      </c>
      <c r="B32" s="302" t="s">
        <v>723</v>
      </c>
      <c r="C32" s="21">
        <f ca="1">IF(项目基本情况!B11="自然人","——",ROUND(C6*F32/(1+'数据-取费表'!C42),2))</f>
        <v>203.92</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444.91</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0.77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5141.84</v>
      </c>
      <c r="G35" s="1383"/>
      <c r="H35" s="2696"/>
      <c r="I35" s="1397"/>
      <c r="J35" s="1398"/>
      <c r="K35" s="2700"/>
      <c r="L35" s="2699"/>
      <c r="M35" s="2699"/>
    </row>
    <row r="36" spans="1:18" ht="18" customHeight="1">
      <c r="A36" s="1102" t="s">
        <v>402</v>
      </c>
      <c r="B36" s="302" t="s">
        <v>738</v>
      </c>
      <c r="C36" s="21">
        <f ca="1">ROUND(C29*F36,2)</f>
        <v>132.79</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36.65</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19.489999999999998</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3059</v>
      </c>
      <c r="D39" s="1095" t="s">
        <v>773</v>
      </c>
      <c r="E39" s="1096"/>
      <c r="F39" s="1097"/>
      <c r="G39" s="1383"/>
      <c r="H39" s="2699"/>
      <c r="I39" s="1397"/>
      <c r="J39" s="1398"/>
      <c r="K39" s="2703"/>
      <c r="L39" s="2699"/>
      <c r="M39" s="2699"/>
    </row>
    <row r="40" spans="1:18" ht="18" customHeight="1">
      <c r="A40" s="299" t="s">
        <v>395</v>
      </c>
      <c r="B40" s="300" t="s">
        <v>774</v>
      </c>
      <c r="C40" s="301">
        <f ca="1">ROUND(C39*(1-((1+F42)/(1+F40))^F41)/(F40-F42),0)</f>
        <v>61517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32.049999999999997</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19101</v>
      </c>
      <c r="D43" s="337" t="s">
        <v>777</v>
      </c>
      <c r="E43" s="338" t="s">
        <v>778</v>
      </c>
      <c r="F43" s="339">
        <f ca="1">INDIRECT("'数据-取费表'!k"&amp;$G$1)</f>
        <v>32206.960000000006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-64052</v>
      </c>
      <c r="D46" s="1405" t="str">
        <f>C2</f>
        <v>万元</v>
      </c>
      <c r="E46" s="1399"/>
      <c r="F46" s="1399"/>
      <c r="I46" s="1406" t="s">
        <v>810</v>
      </c>
      <c r="J46" s="1407"/>
      <c r="K46" s="1408"/>
      <c r="L46" s="1409">
        <f ca="1">IF(M47="住宅",0,IF(L48&gt;J51,L60,J60))</f>
        <v>1046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3433</v>
      </c>
      <c r="K47" s="1415" t="s">
        <v>816</v>
      </c>
      <c r="L47" s="1416">
        <f ca="1">INDIRECT("'数据-取费表'!d"&amp;$G$1)</f>
        <v>50</v>
      </c>
      <c r="M47" s="1379" t="str">
        <f>IF(ISNUMBER(FIND("住宅",C1)),"住宅","非住宅")</f>
        <v>非住宅</v>
      </c>
      <c r="O47" s="1417" t="s">
        <v>403</v>
      </c>
      <c r="P47" s="1418" t="s">
        <v>817</v>
      </c>
      <c r="Q47" s="1419">
        <f ca="1">C40+J29</f>
        <v>61517</v>
      </c>
      <c r="R47" s="1419" t="s">
        <v>818</v>
      </c>
    </row>
    <row r="48" spans="1:18" s="1383" customFormat="1" ht="28.5" thickBot="1">
      <c r="A48" s="1110" t="s">
        <v>438</v>
      </c>
      <c r="B48" s="300" t="s">
        <v>692</v>
      </c>
      <c r="C48" s="1358">
        <f ca="1">C49+C53+C55</f>
        <v>0</v>
      </c>
      <c r="D48" s="1112"/>
      <c r="E48" s="1113"/>
      <c r="F48" s="962"/>
      <c r="G48" s="722"/>
      <c r="H48" s="723"/>
      <c r="I48" s="1420" t="s">
        <v>819</v>
      </c>
      <c r="J48" s="1421" t="s">
        <v>3434</v>
      </c>
      <c r="K48" s="1422" t="s">
        <v>820</v>
      </c>
      <c r="L48" s="1423">
        <f ca="1">INDIRECT("'数据-取费表'!f"&amp;$G$1)</f>
        <v>32.049999999999997</v>
      </c>
      <c r="O48" s="1417" t="s">
        <v>404</v>
      </c>
      <c r="P48" s="1418" t="s">
        <v>821</v>
      </c>
      <c r="Q48" s="1419">
        <f ca="1">J60</f>
        <v>1046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2017</v>
      </c>
      <c r="K49" s="1422" t="s">
        <v>824</v>
      </c>
      <c r="L49" s="1426"/>
      <c r="O49" s="1427" t="s">
        <v>405</v>
      </c>
      <c r="P49" s="1418" t="s">
        <v>825</v>
      </c>
      <c r="Q49" s="1419">
        <f ca="1">C29</f>
        <v>26558</v>
      </c>
      <c r="R49" s="1419" t="s">
        <v>818</v>
      </c>
    </row>
    <row r="50" spans="1:18" s="1383" customFormat="1" ht="13.5" thickBot="1">
      <c r="A50" s="976"/>
      <c r="B50" s="979"/>
      <c r="C50" s="1118"/>
      <c r="D50" s="953"/>
      <c r="E50" s="1056" t="s">
        <v>697</v>
      </c>
      <c r="F50" s="1057">
        <f ca="1">F7</f>
        <v>32206.960000000006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24942</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32.049999999999997</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32.049999999999997</v>
      </c>
      <c r="K53" s="3645" t="s">
        <v>837</v>
      </c>
      <c r="L53" s="3646"/>
      <c r="O53" s="1417" t="s">
        <v>409</v>
      </c>
      <c r="P53" s="1418" t="s">
        <v>838</v>
      </c>
      <c r="Q53" s="1419">
        <f ca="1">Q47+Q48</f>
        <v>62563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0.34899999999999998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24433</v>
      </c>
      <c r="D56" s="1446"/>
      <c r="E56" s="1447"/>
      <c r="F56" s="1439"/>
      <c r="I56" s="1448" t="s">
        <v>842</v>
      </c>
      <c r="J56" s="1449" t="s">
        <v>3402</v>
      </c>
      <c r="K56" s="1420" t="s">
        <v>843</v>
      </c>
      <c r="L56" s="1423" t="str">
        <f ca="1">IF(L48&lt;J51,"——",L48-J53)</f>
        <v>——</v>
      </c>
      <c r="O56" s="1417" t="s">
        <v>403</v>
      </c>
      <c r="P56" s="1418" t="s">
        <v>817</v>
      </c>
      <c r="Q56" s="1419">
        <f ca="1">C40+J29</f>
        <v>61517</v>
      </c>
      <c r="R56" s="1419" t="s">
        <v>818</v>
      </c>
    </row>
    <row r="57" spans="1:18" s="1383" customFormat="1" ht="24.75" thickBot="1">
      <c r="A57" s="1450"/>
      <c r="B57" s="950" t="s">
        <v>767</v>
      </c>
      <c r="C57" s="238">
        <f ca="1">C29</f>
        <v>26558</v>
      </c>
      <c r="D57" s="1451"/>
      <c r="E57" s="1452"/>
      <c r="F57" s="1453"/>
      <c r="I57" s="1454" t="s">
        <v>844</v>
      </c>
      <c r="J57" s="1455">
        <f ca="1">IF(OR(M47="住宅",J51&lt;L48,J56="是"),"——",J51-L48)</f>
        <v>20.950000000000003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170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10623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1046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0.77</v>
      </c>
      <c r="D62" s="965" t="s">
        <v>786</v>
      </c>
      <c r="E62" s="950" t="s">
        <v>787</v>
      </c>
      <c r="F62" s="325">
        <f t="shared" si="0"/>
        <v>1.5</v>
      </c>
      <c r="I62" s="1461" t="s">
        <v>858</v>
      </c>
      <c r="J62" s="1462" t="s">
        <v>859</v>
      </c>
      <c r="K62" s="1462" t="s">
        <v>860</v>
      </c>
      <c r="L62" s="1462" t="s">
        <v>861</v>
      </c>
      <c r="M62" s="1463" t="s">
        <v>862</v>
      </c>
      <c r="O62" s="1417" t="s">
        <v>409</v>
      </c>
      <c r="P62" s="1418" t="s">
        <v>863</v>
      </c>
      <c r="Q62" s="1419">
        <f ca="1">Q56+Q57</f>
        <v>61517</v>
      </c>
      <c r="R62" s="1419" t="s">
        <v>410</v>
      </c>
    </row>
    <row r="63" spans="1:18" s="1383" customFormat="1" ht="13.5" thickBot="1">
      <c r="A63" s="326"/>
      <c r="B63" s="956"/>
      <c r="C63" s="26"/>
      <c r="D63" s="966"/>
      <c r="E63" s="950" t="s">
        <v>788</v>
      </c>
      <c r="F63" s="303">
        <f t="shared" ca="1" si="0"/>
        <v>5141.84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132.79</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36.65</v>
      </c>
      <c r="D65" s="964" t="s">
        <v>743</v>
      </c>
      <c r="E65" s="950" t="s">
        <v>744</v>
      </c>
      <c r="F65" s="330">
        <f t="shared" ca="1" si="0"/>
        <v>1.5E-3</v>
      </c>
      <c r="I65" s="1461" t="s">
        <v>867</v>
      </c>
      <c r="J65" s="1462">
        <v>40</v>
      </c>
      <c r="K65" s="1462">
        <v>30</v>
      </c>
      <c r="L65" s="1462">
        <v>50</v>
      </c>
      <c r="M65" s="1464">
        <v>0.02</v>
      </c>
      <c r="O65" s="1417" t="s">
        <v>403</v>
      </c>
      <c r="P65" s="1418" t="s">
        <v>868</v>
      </c>
      <c r="Q65" s="1419">
        <f ca="1">C40+J29</f>
        <v>61517</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-170</v>
      </c>
      <c r="D67" s="963" t="s">
        <v>753</v>
      </c>
      <c r="E67" s="968"/>
      <c r="F67" s="969"/>
      <c r="O67" s="1427" t="s">
        <v>405</v>
      </c>
      <c r="P67" s="1418" t="s">
        <v>850</v>
      </c>
      <c r="Q67" s="1465">
        <f ca="1">L51</f>
        <v>24942</v>
      </c>
      <c r="R67" s="1419" t="s">
        <v>870</v>
      </c>
    </row>
    <row r="68" spans="1:18" s="1383" customFormat="1" ht="16.5" thickBot="1">
      <c r="A68" s="947" t="s">
        <v>395</v>
      </c>
      <c r="B68" s="948" t="s">
        <v>774</v>
      </c>
      <c r="C68" s="301">
        <f ca="1">ROUND(C67*(1-((1+F70)/(1+F68))^F69)/(F68-F70),0)</f>
        <v>-2535</v>
      </c>
      <c r="D68" s="965" t="s">
        <v>758</v>
      </c>
      <c r="E68" s="950" t="s">
        <v>759</v>
      </c>
      <c r="F68" s="312">
        <f ca="1">F40</f>
        <v>5.5E-2</v>
      </c>
      <c r="O68" s="1427" t="s">
        <v>406</v>
      </c>
      <c r="P68" s="1466" t="s">
        <v>871</v>
      </c>
      <c r="Q68" s="1419">
        <f ca="1">ROUND(Q69-Q70*Q71,0)</f>
        <v>1349</v>
      </c>
      <c r="R68" s="1419" t="s">
        <v>414</v>
      </c>
    </row>
    <row r="69" spans="1:18" s="1383" customFormat="1" ht="13.5" thickBot="1">
      <c r="A69" s="951"/>
      <c r="B69" s="952"/>
      <c r="C69" s="306"/>
      <c r="D69" s="970" t="s">
        <v>762</v>
      </c>
      <c r="E69" s="950" t="s">
        <v>763</v>
      </c>
      <c r="F69" s="333">
        <f ca="1">F41</f>
        <v>32.049999999999997</v>
      </c>
      <c r="O69" s="1427" t="s">
        <v>411</v>
      </c>
      <c r="P69" s="1466" t="s">
        <v>872</v>
      </c>
      <c r="Q69" s="1419">
        <f ca="1">C39</f>
        <v>3059</v>
      </c>
      <c r="R69" s="1419" t="s">
        <v>818</v>
      </c>
    </row>
    <row r="70" spans="1:18" s="1383" customFormat="1" ht="13.5" thickBot="1">
      <c r="A70" s="954"/>
      <c r="B70" s="955"/>
      <c r="C70" s="310"/>
      <c r="D70" s="966"/>
      <c r="E70" s="950" t="s">
        <v>766</v>
      </c>
      <c r="F70" s="1054"/>
      <c r="O70" s="1427" t="s">
        <v>412</v>
      </c>
      <c r="P70" s="1466" t="s">
        <v>873</v>
      </c>
      <c r="Q70" s="1419">
        <f ca="1">C13</f>
        <v>24433</v>
      </c>
      <c r="R70" s="1419" t="s">
        <v>818</v>
      </c>
    </row>
    <row r="71" spans="1:18" s="1383" customFormat="1" ht="13.5" thickBot="1">
      <c r="A71" s="971" t="s">
        <v>396</v>
      </c>
      <c r="B71" s="972" t="s">
        <v>776</v>
      </c>
      <c r="C71" s="336">
        <f ca="1">ROUND(C68*10000/F71,0)</f>
        <v>-787</v>
      </c>
      <c r="D71" s="973" t="s">
        <v>777</v>
      </c>
      <c r="E71" s="974" t="s">
        <v>778</v>
      </c>
      <c r="F71" s="339">
        <f ca="1">F43</f>
        <v>32206.960000000006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1710</v>
      </c>
      <c r="D75" s="1383"/>
      <c r="E75" s="1383"/>
      <c r="F75" s="1383"/>
      <c r="K75" s="1401"/>
      <c r="L75" s="1383"/>
      <c r="O75" s="1417" t="s">
        <v>409</v>
      </c>
      <c r="P75" s="1418" t="s">
        <v>838</v>
      </c>
      <c r="Q75" s="1419">
        <f ca="1">Q65+Q66</f>
        <v>61517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0.44099999999999995</v>
      </c>
    </row>
    <row r="80" spans="1:18">
      <c r="B80" s="340" t="s">
        <v>800</v>
      </c>
      <c r="C80" s="274">
        <f ca="1">ROUND(C75/C39,3)</f>
        <v>0.55900000000000005</v>
      </c>
    </row>
    <row r="81" spans="2:3">
      <c r="B81" s="270" t="s">
        <v>801</v>
      </c>
      <c r="C81" s="238"/>
    </row>
    <row r="82" spans="2:3">
      <c r="B82" s="273" t="s">
        <v>802</v>
      </c>
      <c r="C82" s="275">
        <f ca="1">1-C83</f>
        <v>0.60299999999999998</v>
      </c>
    </row>
    <row r="83" spans="2:3">
      <c r="B83" s="273" t="s">
        <v>803</v>
      </c>
      <c r="C83" s="274">
        <f ca="1">ROUND(C13/C40,3)</f>
        <v>0.39700000000000002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3335</v>
      </c>
      <c r="D1" s="1361" t="s">
        <v>43</v>
      </c>
      <c r="E1" s="1362" t="s">
        <v>678</v>
      </c>
      <c r="F1" s="1062">
        <f ca="1">J53</f>
        <v>32.049999999999997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638</v>
      </c>
      <c r="C2" s="1386" t="s">
        <v>805</v>
      </c>
      <c r="D2" s="1386"/>
      <c r="E2" s="1387"/>
      <c r="F2" s="1388"/>
      <c r="G2" s="2705"/>
      <c r="H2" s="2694"/>
      <c r="I2" s="2694"/>
      <c r="J2" s="2694"/>
      <c r="K2" s="2695"/>
      <c r="L2" s="2694"/>
      <c r="M2" s="2694"/>
    </row>
    <row r="3" spans="1:37" ht="18" customHeight="1" thickBot="1">
      <c r="A3" s="1389" t="s">
        <v>806</v>
      </c>
      <c r="B3" s="1390">
        <f ca="1">IF(ISERROR(B2*10000/F43),0,ROUND(B2*10000/F43,0))</f>
        <v>884</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68</v>
      </c>
      <c r="D5" s="1363" t="s">
        <v>693</v>
      </c>
      <c r="E5" s="1071"/>
      <c r="F5" s="1072"/>
      <c r="G5" s="1383"/>
      <c r="H5" s="299">
        <v>1</v>
      </c>
      <c r="I5" s="300" t="s">
        <v>692</v>
      </c>
      <c r="J5" s="1070">
        <f ca="1">J6+J10+J12</f>
        <v>0</v>
      </c>
      <c r="K5" s="1363" t="s">
        <v>693</v>
      </c>
      <c r="L5" s="1071"/>
      <c r="M5" s="1072"/>
    </row>
    <row r="6" spans="1:37" ht="18" customHeight="1">
      <c r="A6" s="1069" t="s">
        <v>398</v>
      </c>
      <c r="B6" s="3647" t="s">
        <v>694</v>
      </c>
      <c r="C6" s="1074">
        <f ca="1">ROUND(F6*F8*F7*(1-F9)/10000,0)</f>
        <v>68</v>
      </c>
      <c r="D6" s="155" t="s">
        <v>2107</v>
      </c>
      <c r="E6" s="302" t="s">
        <v>696</v>
      </c>
      <c r="F6" s="303">
        <f ca="1">INDIRECT("'数据-取费表'!u"&amp;$G$1)</f>
        <v>500</v>
      </c>
      <c r="G6" s="1383"/>
      <c r="H6" s="1069" t="s">
        <v>398</v>
      </c>
      <c r="I6" s="3647" t="s">
        <v>694</v>
      </c>
      <c r="J6" s="301">
        <f ca="1">ROUND(M6*M8*M7*(1-M9)/10000,0)</f>
        <v>0</v>
      </c>
      <c r="K6" s="155" t="s">
        <v>2106</v>
      </c>
      <c r="L6" s="302" t="s">
        <v>696</v>
      </c>
      <c r="M6" s="303">
        <f ca="1">INDIRECT("'数据-取费表'!z"&amp;$G$1)</f>
        <v>0</v>
      </c>
    </row>
    <row r="7" spans="1:37" ht="18" customHeight="1">
      <c r="A7" s="1073"/>
      <c r="B7" s="3648"/>
      <c r="C7" s="1075"/>
      <c r="D7" s="307"/>
      <c r="E7" s="3451" t="s">
        <v>697</v>
      </c>
      <c r="F7" s="303">
        <f ca="1">IF(INDIRECT("'数据-取费表'!ah"&amp;$G$1)="",INDIRECT("'数据-取费表'!k"&amp;$G$1),INDIRECT("'数据-取费表'!ah"&amp;$G$1))</f>
        <v>126</v>
      </c>
      <c r="G7" s="1383"/>
      <c r="H7" s="304"/>
      <c r="I7" s="3648"/>
      <c r="J7" s="306"/>
      <c r="K7" s="307"/>
      <c r="L7" s="302" t="s">
        <v>697</v>
      </c>
      <c r="M7" s="303">
        <f ca="1">F7</f>
        <v>126</v>
      </c>
    </row>
    <row r="8" spans="1:37" ht="18" customHeight="1">
      <c r="A8" s="304"/>
      <c r="B8" s="3648"/>
      <c r="C8" s="306"/>
      <c r="D8" s="307"/>
      <c r="E8" s="302" t="s">
        <v>698</v>
      </c>
      <c r="F8" s="303">
        <f ca="1">INDIRECT("'数据-取费表'!ai"&amp;$G$1)</f>
        <v>12</v>
      </c>
      <c r="G8" s="1383"/>
      <c r="H8" s="304"/>
      <c r="I8" s="3648"/>
      <c r="J8" s="306"/>
      <c r="K8" s="307"/>
      <c r="L8" s="302" t="s">
        <v>698</v>
      </c>
      <c r="M8" s="303">
        <f ca="1">INDIRECT("'数据-取费表'!ai"&amp;$G$1)</f>
        <v>12</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t="s">
        <v>3610</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5239</v>
      </c>
      <c r="D13" s="3448" t="s">
        <v>705</v>
      </c>
      <c r="E13" s="3448" t="s">
        <v>706</v>
      </c>
      <c r="F13" s="1082">
        <f ca="1">INDIRECT("'数据-取费表'!y"&amp;$G$1)</f>
        <v>0.92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4217</v>
      </c>
      <c r="D14" s="3454" t="s">
        <v>708</v>
      </c>
      <c r="E14" s="3453"/>
      <c r="F14" s="319"/>
      <c r="G14" s="1383"/>
      <c r="H14" s="982" t="s">
        <v>398</v>
      </c>
      <c r="I14" s="302" t="s">
        <v>709</v>
      </c>
      <c r="J14" s="21">
        <f ca="1">C29</f>
        <v>5695</v>
      </c>
      <c r="K14" s="3450"/>
      <c r="L14" s="807"/>
      <c r="M14" s="808"/>
    </row>
    <row r="15" spans="1:37" s="1396" customFormat="1" ht="18" customHeight="1" thickBot="1">
      <c r="A15" s="982" t="s">
        <v>399</v>
      </c>
      <c r="B15" s="302" t="s">
        <v>710</v>
      </c>
      <c r="C15" s="21">
        <f ca="1">ROUND(C14*F15,0)</f>
        <v>127</v>
      </c>
      <c r="D15" s="3449" t="s">
        <v>711</v>
      </c>
      <c r="E15" s="3449"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29</v>
      </c>
      <c r="K16" s="1087" t="s">
        <v>715</v>
      </c>
      <c r="L16" s="3456"/>
      <c r="M16" s="1072"/>
    </row>
    <row r="17" spans="1:37" s="1396" customFormat="1" ht="18" customHeight="1">
      <c r="A17" s="982" t="s">
        <v>681</v>
      </c>
      <c r="B17" s="302" t="s">
        <v>716</v>
      </c>
      <c r="C17" s="21">
        <f ca="1">ROUND(F17*(F43+INDIRECT("'数据-取费表'!S"&amp;$G$1))/10000,0)</f>
        <v>145</v>
      </c>
      <c r="D17" s="302" t="s">
        <v>717</v>
      </c>
      <c r="E17" s="302" t="s">
        <v>718</v>
      </c>
      <c r="F17" s="23">
        <f>'数据-取费表'!B35</f>
        <v>200</v>
      </c>
      <c r="G17" s="1395"/>
      <c r="H17" s="982" t="s">
        <v>398</v>
      </c>
      <c r="I17" s="302" t="s">
        <v>719</v>
      </c>
      <c r="J17" s="2315">
        <f ca="1">ROUND(IF(AND(项目基本情况!B11="自然人",项目基本情况!B10="北京市"),J6*M17/(1+'数据-取费表'!C42),J18+J19+J20),2)</f>
        <v>0.17</v>
      </c>
      <c r="K17" s="3454" t="s">
        <v>720</v>
      </c>
      <c r="L17" s="3455"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63</v>
      </c>
      <c r="D18" s="302" t="s">
        <v>711</v>
      </c>
      <c r="E18" s="302" t="s">
        <v>712</v>
      </c>
      <c r="F18" s="322">
        <f>'数据-取费表'!B36</f>
        <v>1.4999999999999999E-2</v>
      </c>
      <c r="G18" s="1395"/>
      <c r="H18" s="982" t="s">
        <v>397</v>
      </c>
      <c r="I18" s="302" t="s">
        <v>723</v>
      </c>
      <c r="J18" s="21">
        <f ca="1">ROUND(J6*M18/(1+'数据-取费表'!C42),2)</f>
        <v>0</v>
      </c>
      <c r="K18" s="3455"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4552</v>
      </c>
      <c r="D19" s="131" t="s">
        <v>726</v>
      </c>
      <c r="E19" s="3458"/>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91</v>
      </c>
      <c r="D20" s="2427" t="s">
        <v>729</v>
      </c>
      <c r="E20" s="302" t="s">
        <v>712</v>
      </c>
      <c r="F20" s="322">
        <f>'数据-取费表'!B37</f>
        <v>0.02</v>
      </c>
      <c r="G20" s="1395"/>
      <c r="H20" s="982" t="s">
        <v>680</v>
      </c>
      <c r="I20" s="155" t="s">
        <v>730</v>
      </c>
      <c r="J20" s="22">
        <f ca="1">ROUND(M20*M21/10000,2)</f>
        <v>0.17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1152.51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3"/>
      <c r="H22" s="982" t="s">
        <v>402</v>
      </c>
      <c r="I22" s="302" t="s">
        <v>738</v>
      </c>
      <c r="J22" s="21">
        <f ca="1">ROUND(J14*M22,2)</f>
        <v>28.48</v>
      </c>
      <c r="K22" s="3455"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160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5"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8"/>
      <c r="F25" s="23"/>
      <c r="G25" s="1383"/>
      <c r="H25" s="1079" t="s">
        <v>394</v>
      </c>
      <c r="I25" s="1094" t="s">
        <v>752</v>
      </c>
      <c r="J25" s="310">
        <f ca="1">J5-J16</f>
        <v>-29</v>
      </c>
      <c r="K25" s="1095" t="s">
        <v>753</v>
      </c>
      <c r="L25" s="1096"/>
      <c r="M25" s="1097"/>
    </row>
    <row r="26" spans="1:37">
      <c r="A26" s="982" t="s">
        <v>397</v>
      </c>
      <c r="B26" s="302" t="s">
        <v>754</v>
      </c>
      <c r="C26" s="21">
        <f ca="1">ROUND((C19+C20)*F26,0)</f>
        <v>464</v>
      </c>
      <c r="D26" s="2427"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7" t="s">
        <v>761</v>
      </c>
      <c r="E27" s="3449"/>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5695</v>
      </c>
      <c r="D29" s="1092"/>
      <c r="E29" s="1090"/>
      <c r="F29" s="1093"/>
      <c r="G29" s="1395"/>
      <c r="H29" s="334" t="s">
        <v>396</v>
      </c>
      <c r="I29" s="335" t="s">
        <v>768</v>
      </c>
      <c r="J29" s="336">
        <f ca="1">ROUND(J26/(1+F40)^F41,0)</f>
        <v>0</v>
      </c>
      <c r="K29" s="337" t="s">
        <v>769</v>
      </c>
      <c r="L29" s="338"/>
      <c r="M29" s="339">
        <f ca="1">INDIRECT("'数据-取费表'!k"&amp;$G$1)</f>
        <v>7219.03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48</v>
      </c>
      <c r="D30" s="1087" t="s">
        <v>715</v>
      </c>
      <c r="E30" s="3456"/>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11.5</v>
      </c>
      <c r="D31" s="3454" t="s">
        <v>720</v>
      </c>
      <c r="E31" s="3455" t="s">
        <v>770</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2" t="s">
        <v>397</v>
      </c>
      <c r="B32" s="302" t="s">
        <v>723</v>
      </c>
      <c r="C32" s="21">
        <f ca="1">IF(项目基本情况!B11="自然人","——",ROUND(C6*F32/(1+'数据-取费表'!C42),2))</f>
        <v>3.56</v>
      </c>
      <c r="D32" s="3455"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7.77</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0.17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1152.51</v>
      </c>
      <c r="G35" s="1383"/>
      <c r="H35" s="2696"/>
      <c r="I35" s="1397"/>
      <c r="J35" s="1398"/>
      <c r="K35" s="2700"/>
      <c r="L35" s="2699"/>
      <c r="M35" s="2699"/>
    </row>
    <row r="36" spans="1:18" ht="18" customHeight="1">
      <c r="A36" s="1102" t="s">
        <v>402</v>
      </c>
      <c r="B36" s="302" t="s">
        <v>738</v>
      </c>
      <c r="C36" s="21">
        <f ca="1">ROUND(C29*F36,2)</f>
        <v>28.48</v>
      </c>
      <c r="D36" s="3455"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7.86</v>
      </c>
      <c r="D37" s="3455"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0.34</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752</v>
      </c>
      <c r="C39" s="310">
        <f ca="1">C5-C30</f>
        <v>20</v>
      </c>
      <c r="D39" s="1095" t="s">
        <v>753</v>
      </c>
      <c r="E39" s="1096"/>
      <c r="F39" s="1097"/>
      <c r="G39" s="1383"/>
      <c r="H39" s="2699"/>
      <c r="I39" s="1397"/>
      <c r="J39" s="1398"/>
      <c r="K39" s="2703"/>
      <c r="L39" s="2699"/>
      <c r="M39" s="2699"/>
    </row>
    <row r="40" spans="1:18" ht="18" customHeight="1">
      <c r="A40" s="299" t="s">
        <v>395</v>
      </c>
      <c r="B40" s="300" t="s">
        <v>774</v>
      </c>
      <c r="C40" s="301">
        <f ca="1">ROUND(C39*(1-((1+F42)/(1+F40))^F41)/(F40-F42),0)</f>
        <v>378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32.049999999999997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524</v>
      </c>
      <c r="D43" s="337" t="s">
        <v>777</v>
      </c>
      <c r="E43" s="338" t="s">
        <v>778</v>
      </c>
      <c r="F43" s="339">
        <f ca="1">INDIRECT("'数据-取费表'!k"&amp;$G$1)</f>
        <v>7219.03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-915</v>
      </c>
      <c r="D46" s="1405" t="str">
        <f>C2</f>
        <v>万元</v>
      </c>
      <c r="E46" s="1399"/>
      <c r="F46" s="1399"/>
      <c r="I46" s="1406" t="s">
        <v>810</v>
      </c>
      <c r="J46" s="1407"/>
      <c r="K46" s="1408"/>
      <c r="L46" s="1409">
        <f ca="1">IF(M47="住宅",0,IF(L48&gt;J51,L60,J60))</f>
        <v>260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3433</v>
      </c>
      <c r="K47" s="1415" t="s">
        <v>816</v>
      </c>
      <c r="L47" s="1416">
        <f ca="1">INDIRECT("'数据-取费表'!d"&amp;$G$1)</f>
        <v>50</v>
      </c>
      <c r="M47" s="1379" t="str">
        <f>IF(ISNUMBER(FIND("住宅",C1)),"住宅","非住宅")</f>
        <v>非住宅</v>
      </c>
      <c r="O47" s="1417" t="s">
        <v>403</v>
      </c>
      <c r="P47" s="1418" t="s">
        <v>817</v>
      </c>
      <c r="Q47" s="1419">
        <f ca="1">C40+J29</f>
        <v>378</v>
      </c>
      <c r="R47" s="1419" t="s">
        <v>818</v>
      </c>
    </row>
    <row r="48" spans="1:18" s="1383" customFormat="1" ht="28.5" thickBot="1">
      <c r="A48" s="1110" t="s">
        <v>438</v>
      </c>
      <c r="B48" s="300" t="s">
        <v>692</v>
      </c>
      <c r="C48" s="3457">
        <f ca="1">C49+C53+C55</f>
        <v>0</v>
      </c>
      <c r="D48" s="1112"/>
      <c r="E48" s="1113"/>
      <c r="F48" s="962"/>
      <c r="G48" s="722"/>
      <c r="H48" s="723"/>
      <c r="I48" s="1420" t="s">
        <v>819</v>
      </c>
      <c r="J48" s="1421" t="s">
        <v>3434</v>
      </c>
      <c r="K48" s="1422" t="s">
        <v>820</v>
      </c>
      <c r="L48" s="1423">
        <f ca="1">INDIRECT("'数据-取费表'!f"&amp;$G$1)</f>
        <v>32.049999999999997</v>
      </c>
      <c r="O48" s="1417" t="s">
        <v>404</v>
      </c>
      <c r="P48" s="1418" t="s">
        <v>821</v>
      </c>
      <c r="Q48" s="1419">
        <f ca="1">J60</f>
        <v>260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2017</v>
      </c>
      <c r="K49" s="1422" t="s">
        <v>824</v>
      </c>
      <c r="L49" s="1426"/>
      <c r="O49" s="1427" t="s">
        <v>405</v>
      </c>
      <c r="P49" s="1418" t="s">
        <v>825</v>
      </c>
      <c r="Q49" s="1419">
        <f ca="1">C29</f>
        <v>5695</v>
      </c>
      <c r="R49" s="1419" t="s">
        <v>818</v>
      </c>
    </row>
    <row r="50" spans="1:18" s="1383" customFormat="1" ht="13.5" thickBot="1">
      <c r="A50" s="976"/>
      <c r="B50" s="979"/>
      <c r="C50" s="1118"/>
      <c r="D50" s="953"/>
      <c r="E50" s="1056" t="s">
        <v>697</v>
      </c>
      <c r="F50" s="1057">
        <f ca="1">F7</f>
        <v>126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53</v>
      </c>
      <c r="K51" s="1433" t="s">
        <v>830</v>
      </c>
      <c r="L51" s="1434">
        <f ca="1">ROUND(-PV(INDIRECT("'数据-取费表'!h"&amp;$G$1),J51,(C39-C13*C76),0),0)</f>
        <v>-6412</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32.049999999999997</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32.049999999999997</v>
      </c>
      <c r="K53" s="3645" t="s">
        <v>837</v>
      </c>
      <c r="L53" s="3646"/>
      <c r="O53" s="1417" t="s">
        <v>409</v>
      </c>
      <c r="P53" s="1418" t="s">
        <v>838</v>
      </c>
      <c r="Q53" s="1419">
        <f ca="1">Q47+Q48</f>
        <v>638</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0.34899999999999998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5239</v>
      </c>
      <c r="D56" s="1446"/>
      <c r="E56" s="1447"/>
      <c r="F56" s="1439"/>
      <c r="I56" s="1448" t="s">
        <v>842</v>
      </c>
      <c r="J56" s="1449"/>
      <c r="K56" s="1420" t="s">
        <v>843</v>
      </c>
      <c r="L56" s="1423" t="str">
        <f ca="1">IF(L48&lt;J51,"——",L48-J53)</f>
        <v>——</v>
      </c>
      <c r="O56" s="1417" t="s">
        <v>403</v>
      </c>
      <c r="P56" s="1418" t="s">
        <v>817</v>
      </c>
      <c r="Q56" s="1419">
        <f ca="1">C40+J29</f>
        <v>378</v>
      </c>
      <c r="R56" s="1419" t="s">
        <v>818</v>
      </c>
    </row>
    <row r="57" spans="1:18" s="1383" customFormat="1" ht="24.75" thickBot="1">
      <c r="A57" s="1450"/>
      <c r="B57" s="950" t="s">
        <v>767</v>
      </c>
      <c r="C57" s="238">
        <f ca="1">C29</f>
        <v>5695</v>
      </c>
      <c r="D57" s="1451"/>
      <c r="E57" s="1452"/>
      <c r="F57" s="1453"/>
      <c r="I57" s="1454" t="s">
        <v>844</v>
      </c>
      <c r="J57" s="1455">
        <f ca="1">IF(OR(M47="住宅",J51&lt;L48,J56="是"),"——",J51-L48)</f>
        <v>20.950000000000003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2278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260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0.17</v>
      </c>
      <c r="D62" s="965" t="s">
        <v>731</v>
      </c>
      <c r="E62" s="950" t="s">
        <v>732</v>
      </c>
      <c r="F62" s="325">
        <f t="shared" si="0"/>
        <v>1.5</v>
      </c>
      <c r="I62" s="1461" t="s">
        <v>858</v>
      </c>
      <c r="J62" s="1462" t="s">
        <v>859</v>
      </c>
      <c r="K62" s="1462" t="s">
        <v>860</v>
      </c>
      <c r="L62" s="1462" t="s">
        <v>861</v>
      </c>
      <c r="M62" s="1463" t="s">
        <v>862</v>
      </c>
      <c r="O62" s="1417" t="s">
        <v>409</v>
      </c>
      <c r="P62" s="1418" t="s">
        <v>838</v>
      </c>
      <c r="Q62" s="1419">
        <f ca="1">Q56+Q57</f>
        <v>378</v>
      </c>
      <c r="R62" s="1419" t="s">
        <v>410</v>
      </c>
    </row>
    <row r="63" spans="1:18" s="1383" customFormat="1" ht="13.5" thickBot="1">
      <c r="A63" s="326"/>
      <c r="B63" s="956"/>
      <c r="C63" s="26"/>
      <c r="D63" s="966"/>
      <c r="E63" s="950" t="s">
        <v>736</v>
      </c>
      <c r="F63" s="303">
        <f t="shared" ca="1" si="0"/>
        <v>1152.51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28.48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7.86</v>
      </c>
      <c r="D65" s="964" t="s">
        <v>743</v>
      </c>
      <c r="E65" s="950" t="s">
        <v>744</v>
      </c>
      <c r="F65" s="330">
        <f t="shared" ca="1" si="0"/>
        <v>1.5E-3</v>
      </c>
      <c r="I65" s="1461" t="s">
        <v>867</v>
      </c>
      <c r="J65" s="1462">
        <v>40</v>
      </c>
      <c r="K65" s="1462">
        <v>30</v>
      </c>
      <c r="L65" s="1462">
        <v>50</v>
      </c>
      <c r="M65" s="1464">
        <v>0.02</v>
      </c>
      <c r="O65" s="1417" t="s">
        <v>403</v>
      </c>
      <c r="P65" s="1418" t="s">
        <v>817</v>
      </c>
      <c r="Q65" s="1419">
        <f ca="1">C40+J29</f>
        <v>378</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-36</v>
      </c>
      <c r="D67" s="963" t="s">
        <v>753</v>
      </c>
      <c r="E67" s="968"/>
      <c r="F67" s="969"/>
      <c r="O67" s="1427" t="s">
        <v>405</v>
      </c>
      <c r="P67" s="1418" t="s">
        <v>850</v>
      </c>
      <c r="Q67" s="1465">
        <f ca="1">L51</f>
        <v>-6412</v>
      </c>
      <c r="R67" s="1419" t="s">
        <v>870</v>
      </c>
    </row>
    <row r="68" spans="1:18" s="1383" customFormat="1" ht="16.5" thickBot="1">
      <c r="A68" s="947" t="s">
        <v>395</v>
      </c>
      <c r="B68" s="948" t="s">
        <v>774</v>
      </c>
      <c r="C68" s="301">
        <f ca="1">ROUND(C67*(1-((1+F70)/(1+F68))^F69)/(F68-F70),0)</f>
        <v>-537</v>
      </c>
      <c r="D68" s="965" t="s">
        <v>758</v>
      </c>
      <c r="E68" s="950" t="s">
        <v>759</v>
      </c>
      <c r="F68" s="312">
        <f ca="1">F40</f>
        <v>5.5E-2</v>
      </c>
      <c r="O68" s="1427" t="s">
        <v>406</v>
      </c>
      <c r="P68" s="1466" t="s">
        <v>871</v>
      </c>
      <c r="Q68" s="1419">
        <f ca="1">ROUND(Q69-Q70*Q71,0)</f>
        <v>-347</v>
      </c>
      <c r="R68" s="1419" t="s">
        <v>414</v>
      </c>
    </row>
    <row r="69" spans="1:18" s="1383" customFormat="1" ht="13.5" thickBot="1">
      <c r="A69" s="951"/>
      <c r="B69" s="952"/>
      <c r="C69" s="306"/>
      <c r="D69" s="970" t="s">
        <v>762</v>
      </c>
      <c r="E69" s="950" t="s">
        <v>763</v>
      </c>
      <c r="F69" s="333">
        <f ca="1">F41</f>
        <v>32.049999999999997</v>
      </c>
      <c r="O69" s="1427" t="s">
        <v>411</v>
      </c>
      <c r="P69" s="1466" t="s">
        <v>872</v>
      </c>
      <c r="Q69" s="1419">
        <f ca="1">C39</f>
        <v>20</v>
      </c>
      <c r="R69" s="1419" t="s">
        <v>818</v>
      </c>
    </row>
    <row r="70" spans="1:18" s="1383" customFormat="1" ht="13.5" thickBot="1">
      <c r="A70" s="954"/>
      <c r="B70" s="955"/>
      <c r="C70" s="310"/>
      <c r="D70" s="966"/>
      <c r="E70" s="950" t="s">
        <v>766</v>
      </c>
      <c r="F70" s="1054"/>
      <c r="O70" s="1427" t="s">
        <v>412</v>
      </c>
      <c r="P70" s="1466" t="s">
        <v>873</v>
      </c>
      <c r="Q70" s="1419">
        <f ca="1">C13</f>
        <v>5239</v>
      </c>
      <c r="R70" s="1419" t="s">
        <v>818</v>
      </c>
    </row>
    <row r="71" spans="1:18" s="1383" customFormat="1" ht="13.5" thickBot="1">
      <c r="A71" s="971" t="s">
        <v>396</v>
      </c>
      <c r="B71" s="972" t="s">
        <v>776</v>
      </c>
      <c r="C71" s="336">
        <f ca="1">ROUND(C68*10000/F71,0)</f>
        <v>-744</v>
      </c>
      <c r="D71" s="973" t="s">
        <v>777</v>
      </c>
      <c r="E71" s="974" t="s">
        <v>778</v>
      </c>
      <c r="F71" s="339">
        <f ca="1">F43</f>
        <v>7219.03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367</v>
      </c>
      <c r="D75" s="1383"/>
      <c r="E75" s="1383"/>
      <c r="F75" s="1383"/>
      <c r="K75" s="1401"/>
      <c r="L75" s="1383"/>
      <c r="O75" s="1417" t="s">
        <v>409</v>
      </c>
      <c r="P75" s="1418" t="s">
        <v>838</v>
      </c>
      <c r="Q75" s="1419">
        <f ca="1">Q65+Q66</f>
        <v>378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-17.350000000000001</v>
      </c>
    </row>
    <row r="80" spans="1:18">
      <c r="B80" s="340" t="s">
        <v>800</v>
      </c>
      <c r="C80" s="274">
        <f ca="1">ROUND(C75/C39,3)</f>
        <v>18.350000000000001</v>
      </c>
    </row>
    <row r="81" spans="2:3">
      <c r="B81" s="270" t="s">
        <v>801</v>
      </c>
      <c r="C81" s="238"/>
    </row>
    <row r="82" spans="2:3">
      <c r="B82" s="273" t="s">
        <v>802</v>
      </c>
      <c r="C82" s="275">
        <f ca="1">1-C83</f>
        <v>-12.86</v>
      </c>
    </row>
    <row r="83" spans="2:3">
      <c r="B83" s="273" t="s">
        <v>803</v>
      </c>
      <c r="C83" s="274">
        <f ca="1">ROUND(C13/C40,3)</f>
        <v>13.86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47" t="s">
        <v>694</v>
      </c>
      <c r="C6" s="1074">
        <f ca="1">ROUND(F6*F8*F7*(1-F9),0)</f>
        <v>0</v>
      </c>
      <c r="D6" s="155" t="s">
        <v>2104</v>
      </c>
      <c r="E6" s="302" t="s">
        <v>696</v>
      </c>
      <c r="F6" s="303">
        <f ca="1">INDIRECT("'数据-取费表'!u"&amp;$G$1)</f>
        <v>0</v>
      </c>
      <c r="G6" s="1383"/>
      <c r="H6" s="1069" t="s">
        <v>398</v>
      </c>
      <c r="I6" s="3647" t="s">
        <v>694</v>
      </c>
      <c r="J6" s="301">
        <f ca="1">ROUND(M6*M8*M7*(1-M9),0)</f>
        <v>0</v>
      </c>
      <c r="K6" s="1375" t="s">
        <v>2105</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3"/>
      <c r="H7" s="304"/>
      <c r="I7" s="3648"/>
      <c r="J7" s="306"/>
      <c r="K7" s="307"/>
      <c r="L7" s="302" t="s">
        <v>697</v>
      </c>
      <c r="M7" s="303">
        <f ca="1">F7</f>
        <v>0</v>
      </c>
    </row>
    <row r="8" spans="1:37" ht="18" customHeight="1">
      <c r="A8" s="304"/>
      <c r="B8" s="3648"/>
      <c r="C8" s="306"/>
      <c r="D8" s="307"/>
      <c r="E8" s="302" t="s">
        <v>698</v>
      </c>
      <c r="F8" s="303">
        <f ca="1">INDIRECT("'数据-取费表'!ai"&amp;$G$1)</f>
        <v>0</v>
      </c>
      <c r="G8" s="1383"/>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3"/>
      <c r="H9" s="304"/>
      <c r="I9" s="364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656" t="s">
        <v>2319</v>
      </c>
      <c r="K2" s="3657"/>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8" t="s">
        <v>2329</v>
      </c>
      <c r="K3" s="3659"/>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8" t="s">
        <v>2331</v>
      </c>
      <c r="K4" s="3659"/>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4" t="s">
        <v>2335</v>
      </c>
      <c r="B6" s="3665"/>
      <c r="C6" s="3666"/>
      <c r="D6" s="2869"/>
      <c r="E6" s="2870"/>
      <c r="F6" s="2871"/>
      <c r="G6" s="2872"/>
      <c r="H6" s="2847"/>
      <c r="I6" s="2848"/>
      <c r="J6" s="3650">
        <v>1</v>
      </c>
      <c r="K6" s="365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0"/>
      <c r="K7" s="3652"/>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7" t="s">
        <v>2349</v>
      </c>
      <c r="C8" s="3668"/>
      <c r="D8" s="2888" t="s">
        <v>2350</v>
      </c>
      <c r="E8" s="2889" t="s">
        <v>2351</v>
      </c>
      <c r="F8" s="2890" t="s">
        <v>2352</v>
      </c>
      <c r="G8" s="2891"/>
      <c r="H8" s="2847"/>
      <c r="I8" s="2848"/>
      <c r="J8" s="3650"/>
      <c r="K8" s="3652"/>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7" t="s">
        <v>2355</v>
      </c>
      <c r="C9" s="3668"/>
      <c r="D9" s="2888">
        <f>ROUND(D6*E9,0)</f>
        <v>0</v>
      </c>
      <c r="E9" s="2892"/>
      <c r="F9" s="2893" t="s">
        <v>2356</v>
      </c>
      <c r="G9" s="2872"/>
      <c r="H9" s="2847"/>
      <c r="I9" s="2848"/>
      <c r="J9" s="3650"/>
      <c r="K9" s="3652"/>
      <c r="L9" s="2882" t="s">
        <v>2357</v>
      </c>
      <c r="M9" s="2883"/>
      <c r="N9" s="2859"/>
      <c r="O9" s="2884"/>
      <c r="P9" s="2884"/>
      <c r="Q9" s="2885">
        <v>365</v>
      </c>
      <c r="R9" s="2886">
        <f t="shared" si="0"/>
        <v>0</v>
      </c>
      <c r="S9" s="2840"/>
      <c r="T9" s="2840"/>
      <c r="U9" s="2840"/>
      <c r="V9" s="2848"/>
    </row>
    <row r="10" spans="1:22" s="2852" customFormat="1" ht="13.15" customHeight="1">
      <c r="A10" s="2887">
        <v>2</v>
      </c>
      <c r="B10" s="3667" t="s">
        <v>2358</v>
      </c>
      <c r="C10" s="3668"/>
      <c r="D10" s="2888">
        <f>ROUND(D6*E10,0)</f>
        <v>0</v>
      </c>
      <c r="E10" s="2892"/>
      <c r="F10" s="2893" t="s">
        <v>2359</v>
      </c>
      <c r="G10" s="2872"/>
      <c r="H10" s="2847"/>
      <c r="I10" s="2848"/>
      <c r="J10" s="3650"/>
      <c r="K10" s="3652"/>
      <c r="L10" s="2882" t="s">
        <v>2360</v>
      </c>
      <c r="M10" s="2883"/>
      <c r="N10" s="2859"/>
      <c r="O10" s="2884"/>
      <c r="P10" s="2884"/>
      <c r="Q10" s="2885">
        <v>365</v>
      </c>
      <c r="R10" s="2886">
        <f t="shared" si="0"/>
        <v>0</v>
      </c>
      <c r="S10" s="2840"/>
      <c r="T10" s="2840"/>
      <c r="U10" s="2840"/>
      <c r="V10" s="2848"/>
    </row>
    <row r="11" spans="1:22" s="2852" customFormat="1" ht="13.15" customHeight="1">
      <c r="A11" s="2887">
        <v>3</v>
      </c>
      <c r="B11" s="3667" t="s">
        <v>2361</v>
      </c>
      <c r="C11" s="3668"/>
      <c r="D11" s="2888">
        <f>D12+D14+D15+D16</f>
        <v>0</v>
      </c>
      <c r="E11" s="2894" t="e">
        <f>D11/D6</f>
        <v>#DIV/0!</v>
      </c>
      <c r="F11" s="2890"/>
      <c r="G11" s="2891"/>
      <c r="H11" s="2847"/>
      <c r="I11" s="2848"/>
      <c r="J11" s="3650"/>
      <c r="K11" s="3652"/>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0" t="s">
        <v>2364</v>
      </c>
      <c r="C12" s="3661"/>
      <c r="D12" s="2896">
        <f>ROUND(D13*1.2%*(1-30%),0)</f>
        <v>0</v>
      </c>
      <c r="E12" s="2897">
        <v>1.2E-2</v>
      </c>
      <c r="F12" s="2890" t="s">
        <v>2365</v>
      </c>
      <c r="G12" s="2891"/>
      <c r="H12" s="2847"/>
      <c r="I12" s="2848"/>
      <c r="J12" s="3650"/>
      <c r="K12" s="3652"/>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0"/>
      <c r="K13" s="3652"/>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0" t="s">
        <v>2370</v>
      </c>
      <c r="C14" s="3661"/>
      <c r="D14" s="2896">
        <f>ROUND(E14*B5/10000,0)</f>
        <v>0</v>
      </c>
      <c r="E14" s="2885"/>
      <c r="F14" s="2890" t="s">
        <v>2371</v>
      </c>
      <c r="G14" s="2891"/>
      <c r="H14" s="2847"/>
      <c r="I14" s="2848"/>
      <c r="J14" s="3650"/>
      <c r="K14" s="365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0" t="s">
        <v>2374</v>
      </c>
      <c r="C15" s="3661"/>
      <c r="D15" s="2896">
        <f>ROUND(D6*E15,0)</f>
        <v>0</v>
      </c>
      <c r="E15" s="2897">
        <v>5.5E-2</v>
      </c>
      <c r="F15" s="2890" t="s">
        <v>2375</v>
      </c>
      <c r="G15" s="2872"/>
      <c r="H15" s="2847"/>
      <c r="I15" s="2848"/>
      <c r="J15" s="3650">
        <v>2</v>
      </c>
      <c r="K15" s="365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0" t="s">
        <v>2383</v>
      </c>
      <c r="C16" s="3661"/>
      <c r="D16" s="2907">
        <f>D6*E16</f>
        <v>0</v>
      </c>
      <c r="E16" s="2908"/>
      <c r="F16" s="2893" t="s">
        <v>2384</v>
      </c>
      <c r="G16" s="2872"/>
      <c r="H16" s="2847"/>
      <c r="I16" s="2848"/>
      <c r="J16" s="3650"/>
      <c r="K16" s="3652"/>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2" t="s">
        <v>2386</v>
      </c>
      <c r="C17" s="3663"/>
      <c r="D17" s="2910">
        <f>ROUND(D6*E17,0)</f>
        <v>0</v>
      </c>
      <c r="E17" s="2911"/>
      <c r="F17" s="2912" t="s">
        <v>2387</v>
      </c>
      <c r="G17" s="2872"/>
      <c r="H17" s="2847"/>
      <c r="I17" s="2848"/>
      <c r="J17" s="3650"/>
      <c r="K17" s="3652"/>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0"/>
      <c r="K18" s="3652"/>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0"/>
      <c r="K19" s="365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0">
        <v>3</v>
      </c>
      <c r="K20" s="365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0"/>
      <c r="K21" s="3652"/>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0"/>
      <c r="K22" s="3652"/>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0"/>
      <c r="K23" s="3652"/>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0"/>
      <c r="K24" s="365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5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5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6" t="s">
        <v>2319</v>
      </c>
      <c r="K32" s="3657"/>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8" t="s">
        <v>2329</v>
      </c>
      <c r="K33" s="3659"/>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8" t="s">
        <v>2331</v>
      </c>
      <c r="K34" s="365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0">
        <v>1</v>
      </c>
      <c r="K36" s="3651"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0"/>
      <c r="K37" s="3652"/>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0"/>
      <c r="K38" s="3652"/>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0"/>
      <c r="K39" s="3652"/>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0"/>
      <c r="K40" s="3653"/>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4">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5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63201</v>
      </c>
      <c r="C2" s="1871" t="s">
        <v>1650</v>
      </c>
      <c r="D2" s="1872" t="s">
        <v>1651</v>
      </c>
      <c r="E2" s="2606">
        <f>SUM(E6:E13)</f>
        <v>39707.960000000006</v>
      </c>
      <c r="F2" s="2706"/>
      <c r="G2" s="1488"/>
      <c r="H2" s="1488"/>
      <c r="I2" s="1488"/>
      <c r="J2" s="1488"/>
      <c r="K2" s="1488"/>
      <c r="L2" s="1488"/>
      <c r="M2" s="1488"/>
      <c r="N2" s="1488"/>
      <c r="O2" s="1488"/>
      <c r="P2" s="1488"/>
      <c r="Q2" s="1488"/>
      <c r="R2" s="1488"/>
      <c r="S2" s="1488"/>
    </row>
    <row r="3" spans="1:22" ht="15.75">
      <c r="A3" s="1869" t="s">
        <v>686</v>
      </c>
      <c r="B3" s="2600">
        <f ca="1">ROUND(B2*10000/E2,0)</f>
        <v>15916</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669" t="s">
        <v>1653</v>
      </c>
      <c r="C5" s="3670"/>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62563</v>
      </c>
      <c r="C6" s="1871" t="s">
        <v>1650</v>
      </c>
      <c r="D6" s="2708"/>
      <c r="E6" s="2605">
        <f>IF(OR(A6=0,F6="否"),0,'数据-取费表'!K6+'数据-取费表'!S6)</f>
        <v>32437.300000000007</v>
      </c>
      <c r="F6" s="1875" t="s">
        <v>1656</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638</v>
      </c>
      <c r="C7" s="1871" t="s">
        <v>1650</v>
      </c>
      <c r="D7" s="2708"/>
      <c r="E7" s="2605">
        <f>IF(OR(A7=0,F7="否"),0,'数据-取费表'!K7+'数据-取费表'!S7)</f>
        <v>7270.66</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39707.960000000006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1665</v>
      </c>
      <c r="B4" s="356"/>
      <c r="C4" s="3689" t="s">
        <v>1666</v>
      </c>
      <c r="D4" s="3690"/>
      <c r="E4" s="3691" t="s">
        <v>1667</v>
      </c>
      <c r="F4" s="3692"/>
      <c r="G4" s="3689" t="s">
        <v>1668</v>
      </c>
      <c r="H4" s="3690"/>
      <c r="I4" s="3689" t="s">
        <v>1669</v>
      </c>
      <c r="J4" s="3690"/>
      <c r="K4" s="1888" t="s">
        <v>1670</v>
      </c>
      <c r="L4" s="2714"/>
      <c r="M4" s="2715"/>
      <c r="N4" s="2715"/>
      <c r="O4" s="2715"/>
      <c r="P4" s="3693" t="s">
        <v>1671</v>
      </c>
      <c r="Q4" s="3694"/>
      <c r="R4" s="3699" t="s">
        <v>1667</v>
      </c>
      <c r="S4" s="3700"/>
      <c r="T4" s="3699" t="s">
        <v>1668</v>
      </c>
      <c r="U4" s="3700"/>
      <c r="V4" s="3705" t="s">
        <v>1669</v>
      </c>
      <c r="W4" s="3705"/>
      <c r="X4" s="1354"/>
      <c r="Y4" s="3699" t="s">
        <v>1671</v>
      </c>
      <c r="Z4" s="3700"/>
      <c r="AA4" s="3686" t="s">
        <v>1667</v>
      </c>
      <c r="AB4" s="3686" t="s">
        <v>1668</v>
      </c>
      <c r="AC4" s="3686" t="s">
        <v>1669</v>
      </c>
    </row>
    <row r="5" spans="1:29" ht="15">
      <c r="A5" s="358"/>
      <c r="B5" s="359"/>
      <c r="C5" s="3708" t="s">
        <v>1672</v>
      </c>
      <c r="D5" s="3709"/>
      <c r="E5" s="3715" t="s">
        <v>1673</v>
      </c>
      <c r="F5" s="3716"/>
      <c r="G5" s="3708" t="s">
        <v>1674</v>
      </c>
      <c r="H5" s="3709"/>
      <c r="I5" s="3708" t="s">
        <v>1675</v>
      </c>
      <c r="J5" s="3709"/>
      <c r="K5" s="188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06" t="s">
        <v>1676</v>
      </c>
      <c r="D6" s="3707"/>
      <c r="E6" s="3713" t="s">
        <v>1676</v>
      </c>
      <c r="F6" s="3714"/>
      <c r="G6" s="3706" t="s">
        <v>1676</v>
      </c>
      <c r="H6" s="3707"/>
      <c r="I6" s="3706" t="s">
        <v>1676</v>
      </c>
      <c r="J6" s="3707"/>
      <c r="K6" s="1889" t="s">
        <v>1677</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1678</v>
      </c>
      <c r="B7" s="363"/>
      <c r="C7" s="364">
        <f>'数据-取费表'!B2</f>
        <v>45316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0" t="s">
        <v>1679</v>
      </c>
      <c r="Q7" s="3712"/>
      <c r="R7" s="701" t="s">
        <v>20</v>
      </c>
      <c r="S7" s="702">
        <f t="shared" ref="S7:S15" si="0">F7</f>
        <v>0</v>
      </c>
      <c r="T7" s="701" t="s">
        <v>20</v>
      </c>
      <c r="U7" s="702">
        <f t="shared" ref="U7:U15" si="1">H7</f>
        <v>0</v>
      </c>
      <c r="V7" s="701" t="s">
        <v>20</v>
      </c>
      <c r="W7" s="702">
        <f t="shared" ref="W7:W15" si="2">J7</f>
        <v>0</v>
      </c>
      <c r="X7" s="703"/>
      <c r="Y7" s="3710" t="s">
        <v>1679</v>
      </c>
      <c r="Z7" s="3711"/>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0" t="s">
        <v>1682</v>
      </c>
      <c r="Q8" s="3711"/>
      <c r="R8" s="701" t="s">
        <v>20</v>
      </c>
      <c r="S8" s="702">
        <f t="shared" si="0"/>
        <v>100</v>
      </c>
      <c r="T8" s="701" t="s">
        <v>20</v>
      </c>
      <c r="U8" s="702">
        <f t="shared" si="1"/>
        <v>100</v>
      </c>
      <c r="V8" s="701" t="s">
        <v>20</v>
      </c>
      <c r="W8" s="702">
        <f t="shared" si="2"/>
        <v>100</v>
      </c>
      <c r="X8" s="703"/>
      <c r="Y8" s="3710" t="s">
        <v>1682</v>
      </c>
      <c r="Z8" s="371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1685</v>
      </c>
      <c r="Q9" s="1342"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1690</v>
      </c>
      <c r="Q15" s="1351" t="str">
        <f t="shared" si="6"/>
        <v>居住社区成熟度</v>
      </c>
      <c r="R15" s="705" t="s">
        <v>18</v>
      </c>
      <c r="S15" s="706">
        <f t="shared" si="0"/>
        <v>100</v>
      </c>
      <c r="T15" s="705" t="s">
        <v>18</v>
      </c>
      <c r="U15" s="706">
        <f t="shared" si="1"/>
        <v>100</v>
      </c>
      <c r="V15" s="705" t="s">
        <v>18</v>
      </c>
      <c r="W15" s="706">
        <f t="shared" si="2"/>
        <v>100</v>
      </c>
      <c r="X15" s="1354"/>
      <c r="Y15" s="3676"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4"/>
      <c r="Q16" s="1351"/>
      <c r="R16" s="705"/>
      <c r="S16" s="706"/>
      <c r="T16" s="705"/>
      <c r="U16" s="706"/>
      <c r="V16" s="705"/>
      <c r="W16" s="706"/>
      <c r="X16" s="1354"/>
      <c r="Y16" s="3677"/>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1" t="str">
        <f>B17</f>
        <v>交通便捷度</v>
      </c>
      <c r="R17" s="705" t="s">
        <v>18</v>
      </c>
      <c r="S17" s="706">
        <f>F17</f>
        <v>100</v>
      </c>
      <c r="T17" s="705" t="s">
        <v>18</v>
      </c>
      <c r="U17" s="706">
        <f>H17</f>
        <v>100</v>
      </c>
      <c r="V17" s="705" t="s">
        <v>18</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4"/>
      <c r="Q18" s="1351"/>
      <c r="R18" s="705"/>
      <c r="S18" s="706"/>
      <c r="T18" s="705"/>
      <c r="U18" s="706"/>
      <c r="V18" s="705"/>
      <c r="W18" s="706"/>
      <c r="X18" s="1354"/>
      <c r="Y18" s="3677"/>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1" t="str">
        <f>B19</f>
        <v>公共配套设施</v>
      </c>
      <c r="R19" s="705" t="s">
        <v>18</v>
      </c>
      <c r="S19" s="706">
        <f>F19</f>
        <v>100</v>
      </c>
      <c r="T19" s="705" t="s">
        <v>18</v>
      </c>
      <c r="U19" s="706">
        <f>H19</f>
        <v>100</v>
      </c>
      <c r="V19" s="705" t="s">
        <v>18</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4"/>
      <c r="Q20" s="1351"/>
      <c r="R20" s="705"/>
      <c r="S20" s="706"/>
      <c r="T20" s="705"/>
      <c r="U20" s="706"/>
      <c r="V20" s="705"/>
      <c r="W20" s="706"/>
      <c r="X20" s="1354"/>
      <c r="Y20" s="3677"/>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84"/>
      <c r="Q22" s="1351"/>
      <c r="R22" s="705"/>
      <c r="S22" s="706"/>
      <c r="T22" s="705"/>
      <c r="U22" s="706"/>
      <c r="V22" s="705"/>
      <c r="W22" s="706"/>
      <c r="X22" s="1354"/>
      <c r="Y22" s="3677"/>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1" t="str">
        <f>B23</f>
        <v>自然及人文环境</v>
      </c>
      <c r="R23" s="705" t="s">
        <v>18</v>
      </c>
      <c r="S23" s="706">
        <f>F23</f>
        <v>100</v>
      </c>
      <c r="T23" s="705" t="s">
        <v>18</v>
      </c>
      <c r="U23" s="706">
        <f>H23</f>
        <v>100</v>
      </c>
      <c r="V23" s="705" t="s">
        <v>18</v>
      </c>
      <c r="W23" s="706">
        <f>J23</f>
        <v>100</v>
      </c>
      <c r="X23" s="1354"/>
      <c r="Y23" s="367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4"/>
      <c r="Q24" s="1351"/>
      <c r="R24" s="705"/>
      <c r="S24" s="706"/>
      <c r="T24" s="705"/>
      <c r="U24" s="706"/>
      <c r="V24" s="705"/>
      <c r="W24" s="706"/>
      <c r="X24" s="1354"/>
      <c r="Y24" s="3677"/>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7"/>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4"/>
      <c r="Q26" s="1351" t="str">
        <f t="shared" si="11"/>
        <v>朝向</v>
      </c>
      <c r="R26" s="705" t="s">
        <v>18</v>
      </c>
      <c r="S26" s="706">
        <f t="shared" si="12"/>
        <v>100</v>
      </c>
      <c r="T26" s="705" t="s">
        <v>18</v>
      </c>
      <c r="U26" s="706">
        <f t="shared" si="13"/>
        <v>100</v>
      </c>
      <c r="V26" s="705" t="s">
        <v>18</v>
      </c>
      <c r="W26" s="706">
        <f t="shared" si="14"/>
        <v>100</v>
      </c>
      <c r="X26" s="1354"/>
      <c r="Y26" s="367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4"/>
      <c r="Q27" s="1342">
        <f t="shared" si="11"/>
        <v>111</v>
      </c>
      <c r="R27" s="701" t="s">
        <v>18</v>
      </c>
      <c r="S27" s="702">
        <f t="shared" si="12"/>
        <v>100</v>
      </c>
      <c r="T27" s="701" t="s">
        <v>18</v>
      </c>
      <c r="U27" s="702">
        <f t="shared" si="13"/>
        <v>100</v>
      </c>
      <c r="V27" s="701" t="s">
        <v>18</v>
      </c>
      <c r="W27" s="702">
        <f t="shared" si="14"/>
        <v>100</v>
      </c>
      <c r="X27" s="703"/>
      <c r="Y27" s="367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4"/>
      <c r="Q28" s="1351">
        <f t="shared" si="11"/>
        <v>111</v>
      </c>
      <c r="R28" s="705" t="s">
        <v>18</v>
      </c>
      <c r="S28" s="706">
        <f t="shared" si="12"/>
        <v>100</v>
      </c>
      <c r="T28" s="705" t="s">
        <v>18</v>
      </c>
      <c r="U28" s="706">
        <f t="shared" si="13"/>
        <v>100</v>
      </c>
      <c r="V28" s="705" t="s">
        <v>18</v>
      </c>
      <c r="W28" s="706">
        <f t="shared" si="14"/>
        <v>100</v>
      </c>
      <c r="X28" s="1354"/>
      <c r="Y28" s="367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4"/>
      <c r="Q29" s="1351">
        <f t="shared" si="11"/>
        <v>111</v>
      </c>
      <c r="R29" s="705" t="s">
        <v>18</v>
      </c>
      <c r="S29" s="706">
        <f t="shared" si="12"/>
        <v>100</v>
      </c>
      <c r="T29" s="705" t="s">
        <v>18</v>
      </c>
      <c r="U29" s="706">
        <f t="shared" si="13"/>
        <v>100</v>
      </c>
      <c r="V29" s="705" t="s">
        <v>18</v>
      </c>
      <c r="W29" s="706">
        <f t="shared" si="14"/>
        <v>100</v>
      </c>
      <c r="X29" s="1354"/>
      <c r="Y29" s="367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4"/>
      <c r="Q30" s="1351">
        <f t="shared" si="11"/>
        <v>111</v>
      </c>
      <c r="R30" s="705" t="s">
        <v>18</v>
      </c>
      <c r="S30" s="706">
        <f t="shared" si="12"/>
        <v>100</v>
      </c>
      <c r="T30" s="705" t="s">
        <v>18</v>
      </c>
      <c r="U30" s="706">
        <f t="shared" si="13"/>
        <v>100</v>
      </c>
      <c r="V30" s="705" t="s">
        <v>18</v>
      </c>
      <c r="W30" s="706">
        <f t="shared" si="14"/>
        <v>100</v>
      </c>
      <c r="X30" s="1354"/>
      <c r="Y30" s="367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4"/>
      <c r="Q31" s="1351">
        <f t="shared" si="11"/>
        <v>111</v>
      </c>
      <c r="R31" s="705" t="s">
        <v>18</v>
      </c>
      <c r="S31" s="706">
        <f t="shared" si="12"/>
        <v>100</v>
      </c>
      <c r="T31" s="705" t="s">
        <v>18</v>
      </c>
      <c r="U31" s="706">
        <f t="shared" si="13"/>
        <v>100</v>
      </c>
      <c r="V31" s="705" t="s">
        <v>18</v>
      </c>
      <c r="W31" s="706">
        <f t="shared" si="14"/>
        <v>100</v>
      </c>
      <c r="X31" s="1354"/>
      <c r="Y31" s="3677"/>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8" t="s">
        <v>1695</v>
      </c>
      <c r="Q32" s="1351" t="str">
        <f t="shared" si="11"/>
        <v>建筑类型</v>
      </c>
      <c r="R32" s="705" t="s">
        <v>18</v>
      </c>
      <c r="S32" s="706">
        <f t="shared" si="12"/>
        <v>100</v>
      </c>
      <c r="T32" s="705" t="s">
        <v>18</v>
      </c>
      <c r="U32" s="706">
        <f t="shared" si="13"/>
        <v>100</v>
      </c>
      <c r="V32" s="705" t="s">
        <v>18</v>
      </c>
      <c r="W32" s="706">
        <f t="shared" si="14"/>
        <v>100</v>
      </c>
      <c r="X32" s="1354"/>
      <c r="Y32" s="3681"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9"/>
      <c r="Q34" s="1351" t="str">
        <f t="shared" si="11"/>
        <v>建筑结构</v>
      </c>
      <c r="R34" s="705" t="s">
        <v>18</v>
      </c>
      <c r="S34" s="706">
        <f t="shared" si="12"/>
        <v>100</v>
      </c>
      <c r="T34" s="705" t="s">
        <v>18</v>
      </c>
      <c r="U34" s="706">
        <f t="shared" si="13"/>
        <v>100</v>
      </c>
      <c r="V34" s="705" t="s">
        <v>18</v>
      </c>
      <c r="W34" s="706">
        <f t="shared" si="14"/>
        <v>100</v>
      </c>
      <c r="X34" s="1354"/>
      <c r="Y34" s="3681"/>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9"/>
      <c r="Q35" s="1351" t="str">
        <f t="shared" si="11"/>
        <v>建筑品质</v>
      </c>
      <c r="R35" s="705" t="s">
        <v>18</v>
      </c>
      <c r="S35" s="706">
        <f t="shared" si="12"/>
        <v>100</v>
      </c>
      <c r="T35" s="705" t="s">
        <v>18</v>
      </c>
      <c r="U35" s="706">
        <f t="shared" si="13"/>
        <v>100</v>
      </c>
      <c r="V35" s="705" t="s">
        <v>18</v>
      </c>
      <c r="W35" s="706">
        <f t="shared" si="14"/>
        <v>100</v>
      </c>
      <c r="X35" s="1354"/>
      <c r="Y35" s="3681"/>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9"/>
      <c r="Q36" s="1351" t="str">
        <f t="shared" si="11"/>
        <v>公共部分装修</v>
      </c>
      <c r="R36" s="705" t="s">
        <v>18</v>
      </c>
      <c r="S36" s="706">
        <f t="shared" si="12"/>
        <v>100</v>
      </c>
      <c r="T36" s="705" t="s">
        <v>18</v>
      </c>
      <c r="U36" s="706">
        <f t="shared" si="13"/>
        <v>100</v>
      </c>
      <c r="V36" s="705" t="s">
        <v>18</v>
      </c>
      <c r="W36" s="706">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9"/>
      <c r="Q37" s="1342"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9" t="s">
        <v>1695</v>
      </c>
      <c r="Q38" s="1351" t="str">
        <f t="shared" si="11"/>
        <v>物业管理</v>
      </c>
      <c r="R38" s="705" t="s">
        <v>18</v>
      </c>
      <c r="S38" s="706">
        <f t="shared" si="12"/>
        <v>100</v>
      </c>
      <c r="T38" s="705" t="s">
        <v>18</v>
      </c>
      <c r="U38" s="706">
        <f t="shared" si="13"/>
        <v>100</v>
      </c>
      <c r="V38" s="705" t="s">
        <v>18</v>
      </c>
      <c r="W38" s="706">
        <f t="shared" si="14"/>
        <v>100</v>
      </c>
      <c r="X38" s="1354"/>
      <c r="Y38" s="3681"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9"/>
      <c r="Q39" s="1351" t="str">
        <f t="shared" si="11"/>
        <v>市政基础设施</v>
      </c>
      <c r="R39" s="705" t="s">
        <v>18</v>
      </c>
      <c r="S39" s="706">
        <f t="shared" si="12"/>
        <v>100</v>
      </c>
      <c r="T39" s="705" t="s">
        <v>18</v>
      </c>
      <c r="U39" s="706">
        <f t="shared" si="13"/>
        <v>100</v>
      </c>
      <c r="V39" s="705" t="s">
        <v>18</v>
      </c>
      <c r="W39" s="706">
        <f t="shared" si="14"/>
        <v>100</v>
      </c>
      <c r="X39" s="1354"/>
      <c r="Y39" s="3681"/>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9"/>
      <c r="Q40" s="1351" t="str">
        <f t="shared" si="11"/>
        <v>房型</v>
      </c>
      <c r="R40" s="705" t="s">
        <v>18</v>
      </c>
      <c r="S40" s="706">
        <f t="shared" si="12"/>
        <v>100</v>
      </c>
      <c r="T40" s="705" t="s">
        <v>18</v>
      </c>
      <c r="U40" s="706">
        <f t="shared" si="13"/>
        <v>100</v>
      </c>
      <c r="V40" s="705" t="s">
        <v>18</v>
      </c>
      <c r="W40" s="706">
        <f t="shared" si="14"/>
        <v>100</v>
      </c>
      <c r="X40" s="1354"/>
      <c r="Y40" s="3681"/>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9"/>
      <c r="Q42" s="1351" t="str">
        <f t="shared" si="11"/>
        <v>内部装修</v>
      </c>
      <c r="R42" s="705" t="s">
        <v>18</v>
      </c>
      <c r="S42" s="706">
        <f t="shared" si="12"/>
        <v>100</v>
      </c>
      <c r="T42" s="705" t="s">
        <v>18</v>
      </c>
      <c r="U42" s="706">
        <f t="shared" si="13"/>
        <v>100</v>
      </c>
      <c r="V42" s="705" t="s">
        <v>18</v>
      </c>
      <c r="W42" s="706">
        <f t="shared" si="14"/>
        <v>100</v>
      </c>
      <c r="X42" s="1354"/>
      <c r="Y42" s="3681"/>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9"/>
      <c r="Q43" s="1351" t="str">
        <f t="shared" si="11"/>
        <v>内部装修维护情况</v>
      </c>
      <c r="R43" s="705" t="s">
        <v>18</v>
      </c>
      <c r="S43" s="706">
        <f t="shared" si="12"/>
        <v>100</v>
      </c>
      <c r="T43" s="705" t="s">
        <v>18</v>
      </c>
      <c r="U43" s="706">
        <f t="shared" si="13"/>
        <v>100</v>
      </c>
      <c r="V43" s="705" t="s">
        <v>18</v>
      </c>
      <c r="W43" s="706">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9"/>
      <c r="Q44" s="1342">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9"/>
      <c r="Q45" s="1351">
        <f t="shared" si="11"/>
        <v>111</v>
      </c>
      <c r="R45" s="705" t="s">
        <v>18</v>
      </c>
      <c r="S45" s="706">
        <f t="shared" si="12"/>
        <v>100</v>
      </c>
      <c r="T45" s="705" t="s">
        <v>18</v>
      </c>
      <c r="U45" s="706">
        <f t="shared" si="13"/>
        <v>100</v>
      </c>
      <c r="V45" s="705" t="s">
        <v>18</v>
      </c>
      <c r="W45" s="706">
        <f t="shared" si="14"/>
        <v>100</v>
      </c>
      <c r="X45" s="1354"/>
      <c r="Y45" s="368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0"/>
      <c r="Q46" s="1351">
        <f t="shared" si="11"/>
        <v>111</v>
      </c>
      <c r="R46" s="705" t="s">
        <v>17</v>
      </c>
      <c r="S46" s="706">
        <f t="shared" si="12"/>
        <v>100</v>
      </c>
      <c r="T46" s="705" t="s">
        <v>17</v>
      </c>
      <c r="U46" s="706">
        <f t="shared" si="13"/>
        <v>100</v>
      </c>
      <c r="V46" s="705" t="s">
        <v>17</v>
      </c>
      <c r="W46" s="706">
        <f t="shared" si="14"/>
        <v>100</v>
      </c>
      <c r="X46" s="1354"/>
      <c r="Y46" s="3682"/>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3"/>
      <c r="M47" s="2724"/>
      <c r="N47" s="2715"/>
      <c r="O47" s="2724"/>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3"/>
      <c r="M49" s="2724"/>
      <c r="N49" s="2724"/>
      <c r="O49" s="2724"/>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39707.960000000006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689" t="s">
        <v>1769</v>
      </c>
      <c r="D4" s="3690"/>
      <c r="E4" s="3691" t="s">
        <v>1770</v>
      </c>
      <c r="F4" s="3692"/>
      <c r="G4" s="3689" t="s">
        <v>1771</v>
      </c>
      <c r="H4" s="3690"/>
      <c r="I4" s="3689" t="s">
        <v>1772</v>
      </c>
      <c r="J4" s="3690"/>
      <c r="K4" s="559" t="s">
        <v>1773</v>
      </c>
      <c r="L4" s="2714"/>
      <c r="M4" s="2715"/>
      <c r="N4" s="2715"/>
      <c r="O4" s="2715"/>
      <c r="P4" s="3693" t="s">
        <v>1774</v>
      </c>
      <c r="Q4" s="3694"/>
      <c r="R4" s="3699" t="s">
        <v>1770</v>
      </c>
      <c r="S4" s="3700"/>
      <c r="T4" s="3699" t="s">
        <v>1771</v>
      </c>
      <c r="U4" s="3700"/>
      <c r="V4" s="3705" t="s">
        <v>1772</v>
      </c>
      <c r="W4" s="3705"/>
      <c r="X4" s="1354"/>
      <c r="Y4" s="3699" t="s">
        <v>1774</v>
      </c>
      <c r="Z4" s="3700"/>
      <c r="AA4" s="3686" t="s">
        <v>1770</v>
      </c>
      <c r="AB4" s="3705" t="s">
        <v>1771</v>
      </c>
      <c r="AC4" s="3686" t="s">
        <v>1772</v>
      </c>
    </row>
    <row r="5" spans="1:29" ht="15">
      <c r="A5" s="358"/>
      <c r="B5" s="359"/>
      <c r="C5" s="3708" t="s">
        <v>1672</v>
      </c>
      <c r="D5" s="3709"/>
      <c r="E5" s="3715" t="s">
        <v>1673</v>
      </c>
      <c r="F5" s="3716"/>
      <c r="G5" s="3708" t="s">
        <v>1674</v>
      </c>
      <c r="H5" s="3709"/>
      <c r="I5" s="3708" t="s">
        <v>1675</v>
      </c>
      <c r="J5" s="3709"/>
      <c r="K5" s="559"/>
      <c r="L5" s="2714"/>
      <c r="M5" s="2715"/>
      <c r="N5" s="2715"/>
      <c r="O5" s="2715"/>
      <c r="P5" s="3695"/>
      <c r="Q5" s="3696"/>
      <c r="R5" s="3701"/>
      <c r="S5" s="3702"/>
      <c r="T5" s="3701"/>
      <c r="U5" s="3702"/>
      <c r="V5" s="3705"/>
      <c r="W5" s="3705"/>
      <c r="X5" s="1354"/>
      <c r="Y5" s="3701"/>
      <c r="Z5" s="3702"/>
      <c r="AA5" s="3687"/>
      <c r="AB5" s="3705"/>
      <c r="AC5" s="3687"/>
    </row>
    <row r="6" spans="1:29" ht="15.75" thickBot="1">
      <c r="A6" s="360"/>
      <c r="B6" s="361"/>
      <c r="C6" s="3706" t="s">
        <v>1676</v>
      </c>
      <c r="D6" s="3707"/>
      <c r="E6" s="3713" t="s">
        <v>1676</v>
      </c>
      <c r="F6" s="3714"/>
      <c r="G6" s="3706" t="s">
        <v>1676</v>
      </c>
      <c r="H6" s="3707"/>
      <c r="I6" s="3706" t="s">
        <v>1676</v>
      </c>
      <c r="J6" s="3707"/>
      <c r="K6" s="559" t="s">
        <v>1677</v>
      </c>
      <c r="L6" s="2714"/>
      <c r="M6" s="2715"/>
      <c r="N6" s="2715"/>
      <c r="O6" s="2715"/>
      <c r="P6" s="3697"/>
      <c r="Q6" s="3698"/>
      <c r="R6" s="3701"/>
      <c r="S6" s="3702"/>
      <c r="T6" s="3703"/>
      <c r="U6" s="3704"/>
      <c r="V6" s="3705"/>
      <c r="W6" s="3705"/>
      <c r="X6" s="1354"/>
      <c r="Y6" s="3703"/>
      <c r="Z6" s="3704"/>
      <c r="AA6" s="3688"/>
      <c r="AB6" s="3705"/>
      <c r="AC6" s="3688"/>
    </row>
    <row r="7" spans="1:29" s="108" customFormat="1" ht="15.75" thickBot="1">
      <c r="A7" s="362" t="s">
        <v>1678</v>
      </c>
      <c r="B7" s="363"/>
      <c r="C7" s="364">
        <f>'数据-取费表'!B2</f>
        <v>45316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0" t="s">
        <v>1682</v>
      </c>
      <c r="Q8" s="3711"/>
      <c r="R8" s="701" t="s">
        <v>14</v>
      </c>
      <c r="S8" s="702">
        <f t="shared" si="0"/>
        <v>100</v>
      </c>
      <c r="T8" s="701" t="s">
        <v>14</v>
      </c>
      <c r="U8" s="702">
        <f t="shared" si="1"/>
        <v>100</v>
      </c>
      <c r="V8" s="701" t="s">
        <v>14</v>
      </c>
      <c r="W8" s="702">
        <f t="shared" si="2"/>
        <v>100</v>
      </c>
      <c r="X8" s="703"/>
      <c r="Y8" s="3710" t="s">
        <v>1682</v>
      </c>
      <c r="Z8" s="371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5" t="s">
        <v>1685</v>
      </c>
      <c r="Q9" s="1342"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5"/>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3" t="s">
        <v>1690</v>
      </c>
      <c r="Q15" s="1351" t="str">
        <f t="shared" si="6"/>
        <v>商业繁华度</v>
      </c>
      <c r="R15" s="705" t="s">
        <v>14</v>
      </c>
      <c r="S15" s="706">
        <f t="shared" si="0"/>
        <v>100</v>
      </c>
      <c r="T15" s="705" t="s">
        <v>14</v>
      </c>
      <c r="U15" s="706">
        <f t="shared" si="1"/>
        <v>100</v>
      </c>
      <c r="V15" s="705" t="s">
        <v>14</v>
      </c>
      <c r="W15" s="706">
        <f t="shared" si="2"/>
        <v>100</v>
      </c>
      <c r="X15" s="1354"/>
      <c r="Y15" s="3676"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84"/>
      <c r="Q16" s="1351"/>
      <c r="R16" s="705"/>
      <c r="S16" s="706"/>
      <c r="T16" s="705"/>
      <c r="U16" s="706"/>
      <c r="V16" s="705"/>
      <c r="W16" s="706"/>
      <c r="X16" s="1354"/>
      <c r="Y16" s="3677"/>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84"/>
      <c r="Q18" s="1351"/>
      <c r="R18" s="705"/>
      <c r="S18" s="706"/>
      <c r="T18" s="705"/>
      <c r="U18" s="706"/>
      <c r="V18" s="705"/>
      <c r="W18" s="706"/>
      <c r="X18" s="1354"/>
      <c r="Y18" s="3677"/>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84"/>
      <c r="Q20" s="1351"/>
      <c r="R20" s="705"/>
      <c r="S20" s="706"/>
      <c r="T20" s="705"/>
      <c r="U20" s="706"/>
      <c r="V20" s="705"/>
      <c r="W20" s="706"/>
      <c r="X20" s="1354"/>
      <c r="Y20" s="3677"/>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84"/>
      <c r="Q22" s="1351"/>
      <c r="R22" s="705"/>
      <c r="S22" s="706"/>
      <c r="T22" s="705"/>
      <c r="U22" s="706"/>
      <c r="V22" s="705"/>
      <c r="W22" s="706"/>
      <c r="X22" s="1354"/>
      <c r="Y22" s="3677"/>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4"/>
      <c r="Q23" s="1351" t="str">
        <f>B23</f>
        <v>自然及人文环境</v>
      </c>
      <c r="R23" s="705" t="s">
        <v>14</v>
      </c>
      <c r="S23" s="706">
        <f>F23</f>
        <v>100</v>
      </c>
      <c r="T23" s="705" t="s">
        <v>14</v>
      </c>
      <c r="U23" s="706">
        <f>H23</f>
        <v>100</v>
      </c>
      <c r="V23" s="705" t="s">
        <v>14</v>
      </c>
      <c r="W23" s="706">
        <f>J23</f>
        <v>100</v>
      </c>
      <c r="X23" s="1354"/>
      <c r="Y23" s="367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84"/>
      <c r="Q24" s="1351"/>
      <c r="R24" s="705"/>
      <c r="S24" s="706"/>
      <c r="T24" s="705"/>
      <c r="U24" s="706"/>
      <c r="V24" s="705"/>
      <c r="W24" s="706"/>
      <c r="X24" s="1354"/>
      <c r="Y24" s="3677"/>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4"/>
      <c r="Q25" s="1351" t="str">
        <f t="shared" ref="Q25:Q46" si="11">B25</f>
        <v>临街状况</v>
      </c>
      <c r="R25" s="705" t="s">
        <v>14</v>
      </c>
      <c r="S25" s="706">
        <f>F25</f>
        <v>100</v>
      </c>
      <c r="T25" s="705" t="s">
        <v>14</v>
      </c>
      <c r="U25" s="706">
        <f>H25</f>
        <v>100</v>
      </c>
      <c r="V25" s="705" t="s">
        <v>14</v>
      </c>
      <c r="W25" s="706">
        <f>J25</f>
        <v>100</v>
      </c>
      <c r="X25" s="1354"/>
      <c r="Y25" s="3677"/>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1" t="str">
        <f t="shared" si="11"/>
        <v>平面位置/可视性</v>
      </c>
      <c r="R26" s="705" t="s">
        <v>14</v>
      </c>
      <c r="S26" s="706">
        <f>F26</f>
        <v>100</v>
      </c>
      <c r="T26" s="705" t="s">
        <v>14</v>
      </c>
      <c r="U26" s="706">
        <f>H26</f>
        <v>100</v>
      </c>
      <c r="V26" s="705" t="s">
        <v>14</v>
      </c>
      <c r="W26" s="706">
        <f>J26</f>
        <v>100</v>
      </c>
      <c r="X26" s="1354"/>
      <c r="Y26" s="3677"/>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4"/>
      <c r="Q27" s="1342" t="str">
        <f t="shared" si="11"/>
        <v>人流量</v>
      </c>
      <c r="R27" s="701" t="s">
        <v>14</v>
      </c>
      <c r="S27" s="702">
        <f>F27</f>
        <v>100</v>
      </c>
      <c r="T27" s="701" t="s">
        <v>14</v>
      </c>
      <c r="U27" s="702">
        <f>H27</f>
        <v>100</v>
      </c>
      <c r="V27" s="701" t="s">
        <v>14</v>
      </c>
      <c r="W27" s="702">
        <f>J27</f>
        <v>100</v>
      </c>
      <c r="X27" s="703"/>
      <c r="Y27" s="3677"/>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1">
        <f t="shared" si="11"/>
        <v>111</v>
      </c>
      <c r="R29" s="705" t="s">
        <v>14</v>
      </c>
      <c r="S29" s="706">
        <f t="shared" si="12"/>
        <v>100</v>
      </c>
      <c r="T29" s="705" t="s">
        <v>14</v>
      </c>
      <c r="U29" s="706">
        <f t="shared" si="13"/>
        <v>100</v>
      </c>
      <c r="V29" s="705" t="s">
        <v>14</v>
      </c>
      <c r="W29" s="706">
        <f t="shared" si="14"/>
        <v>100</v>
      </c>
      <c r="X29" s="1354"/>
      <c r="Y29" s="367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8" t="s">
        <v>1695</v>
      </c>
      <c r="Q32" s="1351" t="str">
        <f t="shared" si="11"/>
        <v>商业类型</v>
      </c>
      <c r="R32" s="705" t="s">
        <v>14</v>
      </c>
      <c r="S32" s="706">
        <f t="shared" si="12"/>
        <v>100</v>
      </c>
      <c r="T32" s="705" t="s">
        <v>14</v>
      </c>
      <c r="U32" s="706">
        <f t="shared" si="13"/>
        <v>100</v>
      </c>
      <c r="V32" s="705" t="s">
        <v>14</v>
      </c>
      <c r="W32" s="706">
        <f t="shared" si="14"/>
        <v>100</v>
      </c>
      <c r="X32" s="1354"/>
      <c r="Y32" s="3681"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9"/>
      <c r="Q34" s="1351" t="str">
        <f t="shared" si="11"/>
        <v>建筑结构</v>
      </c>
      <c r="R34" s="705" t="s">
        <v>14</v>
      </c>
      <c r="S34" s="706">
        <f t="shared" si="12"/>
        <v>100</v>
      </c>
      <c r="T34" s="705" t="s">
        <v>14</v>
      </c>
      <c r="U34" s="706">
        <f t="shared" si="13"/>
        <v>100</v>
      </c>
      <c r="V34" s="705" t="s">
        <v>14</v>
      </c>
      <c r="W34" s="706">
        <f t="shared" si="14"/>
        <v>100</v>
      </c>
      <c r="X34" s="1354"/>
      <c r="Y34" s="3681"/>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9"/>
      <c r="Q35" s="1351" t="str">
        <f t="shared" si="11"/>
        <v>公共部分装修</v>
      </c>
      <c r="R35" s="705" t="s">
        <v>14</v>
      </c>
      <c r="S35" s="706">
        <f t="shared" si="12"/>
        <v>100</v>
      </c>
      <c r="T35" s="705" t="s">
        <v>14</v>
      </c>
      <c r="U35" s="706">
        <f t="shared" si="13"/>
        <v>100</v>
      </c>
      <c r="V35" s="705" t="s">
        <v>14</v>
      </c>
      <c r="W35" s="706">
        <f t="shared" si="14"/>
        <v>100</v>
      </c>
      <c r="X35" s="1354"/>
      <c r="Y35" s="3681"/>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9"/>
      <c r="Q36" s="1351" t="str">
        <f t="shared" si="11"/>
        <v>成新度</v>
      </c>
      <c r="R36" s="705" t="s">
        <v>14</v>
      </c>
      <c r="S36" s="706" t="e">
        <f t="shared" si="12"/>
        <v>#N/A</v>
      </c>
      <c r="T36" s="705" t="s">
        <v>14</v>
      </c>
      <c r="U36" s="706" t="e">
        <f t="shared" si="13"/>
        <v>#N/A</v>
      </c>
      <c r="V36" s="705" t="s">
        <v>14</v>
      </c>
      <c r="W36" s="706" t="e">
        <f t="shared" si="14"/>
        <v>#N/A</v>
      </c>
      <c r="X36" s="1354"/>
      <c r="Y36" s="3681"/>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9"/>
      <c r="Q37" s="1342"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9" t="s">
        <v>1695</v>
      </c>
      <c r="Q38" s="1351" t="str">
        <f t="shared" si="11"/>
        <v>业态</v>
      </c>
      <c r="R38" s="705" t="s">
        <v>14</v>
      </c>
      <c r="S38" s="706">
        <f t="shared" si="12"/>
        <v>100</v>
      </c>
      <c r="T38" s="705" t="s">
        <v>14</v>
      </c>
      <c r="U38" s="706">
        <f t="shared" si="13"/>
        <v>100</v>
      </c>
      <c r="V38" s="705" t="s">
        <v>14</v>
      </c>
      <c r="W38" s="706">
        <f t="shared" si="14"/>
        <v>100</v>
      </c>
      <c r="X38" s="1354"/>
      <c r="Y38" s="3681"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9"/>
      <c r="Q39" s="1351" t="str">
        <f t="shared" si="11"/>
        <v>层高</v>
      </c>
      <c r="R39" s="705" t="s">
        <v>14</v>
      </c>
      <c r="S39" s="706">
        <f t="shared" si="12"/>
        <v>100</v>
      </c>
      <c r="T39" s="705" t="s">
        <v>14</v>
      </c>
      <c r="U39" s="706">
        <f t="shared" si="13"/>
        <v>100</v>
      </c>
      <c r="V39" s="705" t="s">
        <v>14</v>
      </c>
      <c r="W39" s="706">
        <f t="shared" si="14"/>
        <v>100</v>
      </c>
      <c r="X39" s="1354"/>
      <c r="Y39" s="3681"/>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9"/>
      <c r="Q40" s="1351" t="str">
        <f t="shared" si="11"/>
        <v>单套建筑面积</v>
      </c>
      <c r="R40" s="705" t="s">
        <v>14</v>
      </c>
      <c r="S40" s="706">
        <f t="shared" si="12"/>
        <v>100</v>
      </c>
      <c r="T40" s="705" t="s">
        <v>14</v>
      </c>
      <c r="U40" s="706">
        <f t="shared" si="13"/>
        <v>100</v>
      </c>
      <c r="V40" s="705" t="s">
        <v>14</v>
      </c>
      <c r="W40" s="706">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9"/>
      <c r="Q42" s="1351" t="str">
        <f t="shared" si="11"/>
        <v>内部装修</v>
      </c>
      <c r="R42" s="705" t="s">
        <v>14</v>
      </c>
      <c r="S42" s="706">
        <f t="shared" si="12"/>
        <v>100</v>
      </c>
      <c r="T42" s="705" t="s">
        <v>14</v>
      </c>
      <c r="U42" s="706">
        <f t="shared" si="13"/>
        <v>100</v>
      </c>
      <c r="V42" s="705" t="s">
        <v>14</v>
      </c>
      <c r="W42" s="706">
        <f t="shared" si="14"/>
        <v>100</v>
      </c>
      <c r="X42" s="1354"/>
      <c r="Y42" s="3681"/>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9"/>
      <c r="Q43" s="1351" t="str">
        <f t="shared" si="11"/>
        <v>内部装修维护情况</v>
      </c>
      <c r="R43" s="705" t="s">
        <v>14</v>
      </c>
      <c r="S43" s="706">
        <f t="shared" si="12"/>
        <v>100</v>
      </c>
      <c r="T43" s="705" t="s">
        <v>14</v>
      </c>
      <c r="U43" s="706">
        <f t="shared" si="13"/>
        <v>100</v>
      </c>
      <c r="V43" s="705" t="s">
        <v>14</v>
      </c>
      <c r="W43" s="706">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9"/>
      <c r="Q44" s="1342">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9"/>
      <c r="Q45" s="1351">
        <f t="shared" si="11"/>
        <v>111</v>
      </c>
      <c r="R45" s="705" t="s">
        <v>14</v>
      </c>
      <c r="S45" s="706">
        <f t="shared" si="12"/>
        <v>100</v>
      </c>
      <c r="T45" s="705" t="s">
        <v>14</v>
      </c>
      <c r="U45" s="706">
        <f t="shared" si="13"/>
        <v>100</v>
      </c>
      <c r="V45" s="705" t="s">
        <v>14</v>
      </c>
      <c r="W45" s="706">
        <f t="shared" si="14"/>
        <v>100</v>
      </c>
      <c r="X45" s="1354"/>
      <c r="Y45" s="368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0"/>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3"/>
      <c r="M47" s="2724"/>
      <c r="N47" s="2715"/>
      <c r="O47" s="2724"/>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估价对象为房地产，为所有。根据《国有土地使用证》[]，估价对象（分摊）出让国有建设用地使用权面积为6294.36平方米，建筑面积为39707.96平方米。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2024年1月25日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39707.960000000006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89" t="s">
        <v>1769</v>
      </c>
      <c r="D4" s="3690"/>
      <c r="E4" s="3691" t="s">
        <v>1770</v>
      </c>
      <c r="F4" s="3692"/>
      <c r="G4" s="3689" t="s">
        <v>1771</v>
      </c>
      <c r="H4" s="3690"/>
      <c r="I4" s="3689" t="s">
        <v>1772</v>
      </c>
      <c r="J4" s="3690"/>
      <c r="K4" s="559" t="s">
        <v>1773</v>
      </c>
      <c r="L4" s="2714"/>
      <c r="M4" s="2715"/>
      <c r="N4" s="2715"/>
      <c r="O4" s="2715"/>
      <c r="P4" s="3723" t="s">
        <v>1774</v>
      </c>
      <c r="Q4" s="3724"/>
      <c r="R4" s="3727" t="s">
        <v>1770</v>
      </c>
      <c r="S4" s="3728"/>
      <c r="T4" s="3727" t="s">
        <v>1771</v>
      </c>
      <c r="U4" s="3728"/>
      <c r="V4" s="3729" t="s">
        <v>1772</v>
      </c>
      <c r="W4" s="3729"/>
      <c r="X4" s="1957"/>
      <c r="Y4" s="3727" t="s">
        <v>1774</v>
      </c>
      <c r="Z4" s="3728"/>
      <c r="AA4" s="3731" t="s">
        <v>1770</v>
      </c>
      <c r="AB4" s="3731" t="s">
        <v>1771</v>
      </c>
      <c r="AC4" s="3720" t="s">
        <v>1772</v>
      </c>
    </row>
    <row r="5" spans="1:29" ht="15">
      <c r="A5" s="358"/>
      <c r="B5" s="359"/>
      <c r="C5" s="3708" t="s">
        <v>1672</v>
      </c>
      <c r="D5" s="3709"/>
      <c r="E5" s="3715" t="s">
        <v>1673</v>
      </c>
      <c r="F5" s="3716"/>
      <c r="G5" s="3708" t="s">
        <v>1674</v>
      </c>
      <c r="H5" s="3709"/>
      <c r="I5" s="3708" t="s">
        <v>1675</v>
      </c>
      <c r="J5" s="3709"/>
      <c r="K5" s="559"/>
      <c r="L5" s="2714"/>
      <c r="M5" s="2715"/>
      <c r="N5" s="2715"/>
      <c r="O5" s="2715"/>
      <c r="P5" s="3725"/>
      <c r="Q5" s="3696"/>
      <c r="R5" s="3701"/>
      <c r="S5" s="3702"/>
      <c r="T5" s="3701"/>
      <c r="U5" s="3702"/>
      <c r="V5" s="3705"/>
      <c r="W5" s="3705"/>
      <c r="X5" s="1354"/>
      <c r="Y5" s="3701"/>
      <c r="Z5" s="3702"/>
      <c r="AA5" s="3687"/>
      <c r="AB5" s="3687"/>
      <c r="AC5" s="3721"/>
    </row>
    <row r="6" spans="1:29" ht="15.75" thickBot="1">
      <c r="A6" s="360"/>
      <c r="B6" s="361"/>
      <c r="C6" s="3706" t="s">
        <v>1676</v>
      </c>
      <c r="D6" s="3707"/>
      <c r="E6" s="3713" t="s">
        <v>1676</v>
      </c>
      <c r="F6" s="3714"/>
      <c r="G6" s="3706" t="s">
        <v>1676</v>
      </c>
      <c r="H6" s="3707"/>
      <c r="I6" s="3706" t="s">
        <v>1676</v>
      </c>
      <c r="J6" s="3707"/>
      <c r="K6" s="559" t="s">
        <v>1677</v>
      </c>
      <c r="L6" s="2714"/>
      <c r="M6" s="2715"/>
      <c r="N6" s="2715"/>
      <c r="O6" s="2715"/>
      <c r="P6" s="3726"/>
      <c r="Q6" s="3698"/>
      <c r="R6" s="3701"/>
      <c r="S6" s="3702"/>
      <c r="T6" s="3703"/>
      <c r="U6" s="3704"/>
      <c r="V6" s="3705"/>
      <c r="W6" s="3705"/>
      <c r="X6" s="1354"/>
      <c r="Y6" s="3703"/>
      <c r="Z6" s="3704"/>
      <c r="AA6" s="3688"/>
      <c r="AB6" s="3688"/>
      <c r="AC6" s="3722"/>
    </row>
    <row r="7" spans="1:29" s="108" customFormat="1" ht="15.75" thickBot="1">
      <c r="A7" s="362" t="s">
        <v>1678</v>
      </c>
      <c r="B7" s="363"/>
      <c r="C7" s="364">
        <f>'数据-取费表'!B2</f>
        <v>45316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0" t="s">
        <v>1682</v>
      </c>
      <c r="Q8" s="3711"/>
      <c r="R8" s="701" t="s">
        <v>14</v>
      </c>
      <c r="S8" s="702">
        <f t="shared" si="0"/>
        <v>100</v>
      </c>
      <c r="T8" s="701" t="s">
        <v>14</v>
      </c>
      <c r="U8" s="702">
        <f t="shared" si="1"/>
        <v>100</v>
      </c>
      <c r="V8" s="701" t="s">
        <v>14</v>
      </c>
      <c r="W8" s="702">
        <f t="shared" si="2"/>
        <v>100</v>
      </c>
      <c r="X8" s="703"/>
      <c r="Y8" s="3710" t="s">
        <v>1682</v>
      </c>
      <c r="Z8" s="3711"/>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1685</v>
      </c>
      <c r="Q9" s="1342"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1958">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3" t="s">
        <v>1690</v>
      </c>
      <c r="Q15" s="1351" t="str">
        <f t="shared" si="6"/>
        <v>办公集聚程度</v>
      </c>
      <c r="R15" s="705" t="s">
        <v>14</v>
      </c>
      <c r="S15" s="706">
        <f t="shared" si="0"/>
        <v>100</v>
      </c>
      <c r="T15" s="705" t="s">
        <v>14</v>
      </c>
      <c r="U15" s="706">
        <f t="shared" si="1"/>
        <v>100</v>
      </c>
      <c r="V15" s="705" t="s">
        <v>14</v>
      </c>
      <c r="W15" s="706">
        <f t="shared" si="2"/>
        <v>100</v>
      </c>
      <c r="X15" s="1354"/>
      <c r="Y15" s="3676"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4"/>
      <c r="Q16" s="1351"/>
      <c r="R16" s="705"/>
      <c r="S16" s="706"/>
      <c r="T16" s="705"/>
      <c r="U16" s="706"/>
      <c r="V16" s="705"/>
      <c r="W16" s="706"/>
      <c r="X16" s="1354"/>
      <c r="Y16" s="3677"/>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4"/>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4"/>
      <c r="Q18" s="1351"/>
      <c r="R18" s="705"/>
      <c r="S18" s="706"/>
      <c r="T18" s="705"/>
      <c r="U18" s="706"/>
      <c r="V18" s="705"/>
      <c r="W18" s="706"/>
      <c r="X18" s="1354"/>
      <c r="Y18" s="3677"/>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4"/>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4"/>
      <c r="Q20" s="1351"/>
      <c r="R20" s="705"/>
      <c r="S20" s="706"/>
      <c r="T20" s="705"/>
      <c r="U20" s="706"/>
      <c r="V20" s="705"/>
      <c r="W20" s="706"/>
      <c r="X20" s="1354"/>
      <c r="Y20" s="3677"/>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4"/>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84"/>
      <c r="Q22" s="1351"/>
      <c r="R22" s="705"/>
      <c r="S22" s="706"/>
      <c r="T22" s="705"/>
      <c r="U22" s="706"/>
      <c r="V22" s="705"/>
      <c r="W22" s="706"/>
      <c r="X22" s="1354"/>
      <c r="Y22" s="3677"/>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4"/>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4"/>
      <c r="Q24" s="1351"/>
      <c r="R24" s="705"/>
      <c r="S24" s="706"/>
      <c r="T24" s="705"/>
      <c r="U24" s="706"/>
      <c r="V24" s="705"/>
      <c r="W24" s="706"/>
      <c r="X24" s="1354"/>
      <c r="Y24" s="3677"/>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4"/>
      <c r="Q25" s="1351" t="str">
        <f>B25</f>
        <v>毗邻道路的类型与等级</v>
      </c>
      <c r="R25" s="705" t="s">
        <v>14</v>
      </c>
      <c r="S25" s="706">
        <f>F25</f>
        <v>100</v>
      </c>
      <c r="T25" s="705" t="s">
        <v>14</v>
      </c>
      <c r="U25" s="706">
        <f>H25</f>
        <v>100</v>
      </c>
      <c r="V25" s="705" t="s">
        <v>14</v>
      </c>
      <c r="W25" s="706">
        <f>J25</f>
        <v>100</v>
      </c>
      <c r="X25" s="1354"/>
      <c r="Y25" s="367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4"/>
      <c r="Q26" s="1351"/>
      <c r="R26" s="705"/>
      <c r="S26" s="706"/>
      <c r="T26" s="705"/>
      <c r="U26" s="706"/>
      <c r="V26" s="705"/>
      <c r="W26" s="706"/>
      <c r="X26" s="1354"/>
      <c r="Y26" s="3677"/>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4"/>
      <c r="Q27" s="1351" t="str">
        <f t="shared" ref="Q27:Q47" si="11">B27</f>
        <v>楼层</v>
      </c>
      <c r="R27" s="705" t="s">
        <v>14</v>
      </c>
      <c r="S27" s="706">
        <f>F27</f>
        <v>100</v>
      </c>
      <c r="T27" s="705" t="s">
        <v>14</v>
      </c>
      <c r="U27" s="706">
        <f>H27</f>
        <v>100</v>
      </c>
      <c r="V27" s="705" t="s">
        <v>14</v>
      </c>
      <c r="W27" s="706">
        <f>J27</f>
        <v>100</v>
      </c>
      <c r="X27" s="1354"/>
      <c r="Y27" s="3677"/>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4"/>
      <c r="Q28" s="1342" t="str">
        <f t="shared" si="11"/>
        <v>朝向</v>
      </c>
      <c r="R28" s="701" t="s">
        <v>14</v>
      </c>
      <c r="S28" s="702">
        <f>F28</f>
        <v>100</v>
      </c>
      <c r="T28" s="701" t="s">
        <v>14</v>
      </c>
      <c r="U28" s="702">
        <f>H28</f>
        <v>100</v>
      </c>
      <c r="V28" s="701" t="s">
        <v>14</v>
      </c>
      <c r="W28" s="702">
        <f>J28</f>
        <v>100</v>
      </c>
      <c r="X28" s="703"/>
      <c r="Y28" s="367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4"/>
      <c r="Q29" s="1351">
        <f t="shared" si="11"/>
        <v>111</v>
      </c>
      <c r="R29" s="705" t="s">
        <v>14</v>
      </c>
      <c r="S29" s="706">
        <f t="shared" ref="S29:S47" si="12">F29</f>
        <v>100</v>
      </c>
      <c r="T29" s="705" t="s">
        <v>14</v>
      </c>
      <c r="U29" s="706">
        <f t="shared" ref="U29:U47" si="13">H29</f>
        <v>100</v>
      </c>
      <c r="V29" s="705" t="s">
        <v>14</v>
      </c>
      <c r="W29" s="706">
        <f t="shared" ref="W29:W47" si="14">J29</f>
        <v>100</v>
      </c>
      <c r="X29" s="1354"/>
      <c r="Y29" s="367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4"/>
      <c r="Q30" s="1351">
        <f t="shared" si="11"/>
        <v>111</v>
      </c>
      <c r="R30" s="705" t="s">
        <v>14</v>
      </c>
      <c r="S30" s="706">
        <f t="shared" si="12"/>
        <v>100</v>
      </c>
      <c r="T30" s="705" t="s">
        <v>14</v>
      </c>
      <c r="U30" s="706">
        <f t="shared" si="13"/>
        <v>100</v>
      </c>
      <c r="V30" s="705" t="s">
        <v>14</v>
      </c>
      <c r="W30" s="706">
        <f t="shared" si="14"/>
        <v>100</v>
      </c>
      <c r="X30" s="1354"/>
      <c r="Y30" s="367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4"/>
      <c r="Q31" s="1351">
        <f t="shared" si="11"/>
        <v>111</v>
      </c>
      <c r="R31" s="705" t="s">
        <v>14</v>
      </c>
      <c r="S31" s="706">
        <f t="shared" si="12"/>
        <v>100</v>
      </c>
      <c r="T31" s="705" t="s">
        <v>14</v>
      </c>
      <c r="U31" s="706">
        <f t="shared" si="13"/>
        <v>100</v>
      </c>
      <c r="V31" s="705" t="s">
        <v>14</v>
      </c>
      <c r="W31" s="706">
        <f t="shared" si="14"/>
        <v>100</v>
      </c>
      <c r="X31" s="1354"/>
      <c r="Y31" s="367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4"/>
      <c r="Q32" s="1351">
        <f t="shared" si="11"/>
        <v>111</v>
      </c>
      <c r="R32" s="705" t="s">
        <v>14</v>
      </c>
      <c r="S32" s="706">
        <f t="shared" si="12"/>
        <v>100</v>
      </c>
      <c r="T32" s="705" t="s">
        <v>14</v>
      </c>
      <c r="U32" s="706">
        <f t="shared" si="13"/>
        <v>100</v>
      </c>
      <c r="V32" s="705" t="s">
        <v>14</v>
      </c>
      <c r="W32" s="706">
        <f t="shared" si="14"/>
        <v>100</v>
      </c>
      <c r="X32" s="1354"/>
      <c r="Y32" s="3677"/>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8" t="s">
        <v>1695</v>
      </c>
      <c r="Q33" s="1351" t="str">
        <f t="shared" si="11"/>
        <v>建筑类型</v>
      </c>
      <c r="R33" s="705" t="s">
        <v>14</v>
      </c>
      <c r="S33" s="706">
        <f t="shared" si="12"/>
        <v>100</v>
      </c>
      <c r="T33" s="705" t="s">
        <v>14</v>
      </c>
      <c r="U33" s="706">
        <f t="shared" si="13"/>
        <v>100</v>
      </c>
      <c r="V33" s="705" t="s">
        <v>14</v>
      </c>
      <c r="W33" s="706">
        <f t="shared" si="14"/>
        <v>100</v>
      </c>
      <c r="X33" s="1354"/>
      <c r="Y33" s="3681"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9"/>
      <c r="Q35" s="1351" t="str">
        <f t="shared" si="11"/>
        <v>建筑结构</v>
      </c>
      <c r="R35" s="705" t="s">
        <v>14</v>
      </c>
      <c r="S35" s="706">
        <f t="shared" si="12"/>
        <v>100</v>
      </c>
      <c r="T35" s="705" t="s">
        <v>14</v>
      </c>
      <c r="U35" s="706">
        <f t="shared" si="13"/>
        <v>100</v>
      </c>
      <c r="V35" s="705" t="s">
        <v>14</v>
      </c>
      <c r="W35" s="706">
        <f t="shared" si="14"/>
        <v>100</v>
      </c>
      <c r="X35" s="1354"/>
      <c r="Y35" s="3681"/>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9"/>
      <c r="Q36" s="1351" t="str">
        <f t="shared" si="11"/>
        <v>公共部分装修</v>
      </c>
      <c r="R36" s="705" t="s">
        <v>14</v>
      </c>
      <c r="S36" s="706">
        <f t="shared" si="12"/>
        <v>100</v>
      </c>
      <c r="T36" s="705" t="s">
        <v>14</v>
      </c>
      <c r="U36" s="706">
        <f t="shared" si="13"/>
        <v>100</v>
      </c>
      <c r="V36" s="705" t="s">
        <v>14</v>
      </c>
      <c r="W36" s="706">
        <f t="shared" si="14"/>
        <v>100</v>
      </c>
      <c r="X36" s="1354"/>
      <c r="Y36" s="3681"/>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9"/>
      <c r="Q37" s="1351" t="str">
        <f t="shared" si="11"/>
        <v>成新度</v>
      </c>
      <c r="R37" s="705" t="s">
        <v>14</v>
      </c>
      <c r="S37" s="706" t="e">
        <f t="shared" si="12"/>
        <v>#N/A</v>
      </c>
      <c r="T37" s="705" t="s">
        <v>14</v>
      </c>
      <c r="U37" s="706" t="e">
        <f t="shared" si="13"/>
        <v>#N/A</v>
      </c>
      <c r="V37" s="705" t="s">
        <v>14</v>
      </c>
      <c r="W37" s="706" t="e">
        <f t="shared" si="14"/>
        <v>#N/A</v>
      </c>
      <c r="X37" s="1354"/>
      <c r="Y37" s="3681"/>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9"/>
      <c r="Q38" s="1342"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9" t="s">
        <v>1695</v>
      </c>
      <c r="Q39" s="1351" t="str">
        <f t="shared" si="11"/>
        <v>物业管理</v>
      </c>
      <c r="R39" s="705" t="s">
        <v>14</v>
      </c>
      <c r="S39" s="706">
        <f t="shared" si="12"/>
        <v>100</v>
      </c>
      <c r="T39" s="705" t="s">
        <v>14</v>
      </c>
      <c r="U39" s="706">
        <f t="shared" si="13"/>
        <v>100</v>
      </c>
      <c r="V39" s="705" t="s">
        <v>14</v>
      </c>
      <c r="W39" s="706">
        <f t="shared" si="14"/>
        <v>100</v>
      </c>
      <c r="X39" s="1354"/>
      <c r="Y39" s="3681"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9"/>
      <c r="Q40" s="1351" t="str">
        <f t="shared" si="11"/>
        <v>市政基础设施</v>
      </c>
      <c r="R40" s="705" t="s">
        <v>14</v>
      </c>
      <c r="S40" s="706">
        <f t="shared" si="12"/>
        <v>100</v>
      </c>
      <c r="T40" s="705" t="s">
        <v>14</v>
      </c>
      <c r="U40" s="706">
        <f t="shared" si="13"/>
        <v>100</v>
      </c>
      <c r="V40" s="705" t="s">
        <v>14</v>
      </c>
      <c r="W40" s="706">
        <f t="shared" si="14"/>
        <v>100</v>
      </c>
      <c r="X40" s="1354"/>
      <c r="Y40" s="3681"/>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9"/>
      <c r="Q41" s="1351" t="str">
        <f t="shared" si="11"/>
        <v>层高</v>
      </c>
      <c r="R41" s="705" t="s">
        <v>14</v>
      </c>
      <c r="S41" s="706">
        <f t="shared" si="12"/>
        <v>100</v>
      </c>
      <c r="T41" s="705" t="s">
        <v>14</v>
      </c>
      <c r="U41" s="706">
        <f t="shared" si="13"/>
        <v>100</v>
      </c>
      <c r="V41" s="705" t="s">
        <v>14</v>
      </c>
      <c r="W41" s="706">
        <f t="shared" si="14"/>
        <v>100</v>
      </c>
      <c r="X41" s="1354"/>
      <c r="Y41" s="3681"/>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9"/>
      <c r="Q43" s="1351" t="str">
        <f t="shared" si="11"/>
        <v>内部装修</v>
      </c>
      <c r="R43" s="705" t="s">
        <v>14</v>
      </c>
      <c r="S43" s="706">
        <f t="shared" si="12"/>
        <v>100</v>
      </c>
      <c r="T43" s="705" t="s">
        <v>14</v>
      </c>
      <c r="U43" s="706">
        <f t="shared" si="13"/>
        <v>100</v>
      </c>
      <c r="V43" s="705" t="s">
        <v>14</v>
      </c>
      <c r="W43" s="706">
        <f t="shared" si="14"/>
        <v>100</v>
      </c>
      <c r="X43" s="1354"/>
      <c r="Y43" s="3681"/>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9"/>
      <c r="Q44" s="1351" t="str">
        <f t="shared" si="11"/>
        <v>内部装修维护情况</v>
      </c>
      <c r="R44" s="705" t="s">
        <v>14</v>
      </c>
      <c r="S44" s="706">
        <f t="shared" si="12"/>
        <v>100</v>
      </c>
      <c r="T44" s="705" t="s">
        <v>14</v>
      </c>
      <c r="U44" s="706">
        <f t="shared" si="13"/>
        <v>100</v>
      </c>
      <c r="V44" s="705" t="s">
        <v>14</v>
      </c>
      <c r="W44" s="706">
        <f t="shared" si="14"/>
        <v>100</v>
      </c>
      <c r="X44" s="1354"/>
      <c r="Y44" s="368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9"/>
      <c r="Q45" s="1342">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9"/>
      <c r="Q46" s="1351">
        <f t="shared" si="11"/>
        <v>111</v>
      </c>
      <c r="R46" s="705" t="s">
        <v>14</v>
      </c>
      <c r="S46" s="706">
        <f t="shared" si="12"/>
        <v>100</v>
      </c>
      <c r="T46" s="705" t="s">
        <v>14</v>
      </c>
      <c r="U46" s="706">
        <f t="shared" si="13"/>
        <v>100</v>
      </c>
      <c r="V46" s="705" t="s">
        <v>14</v>
      </c>
      <c r="W46" s="706">
        <f t="shared" si="14"/>
        <v>100</v>
      </c>
      <c r="X46" s="1354"/>
      <c r="Y46" s="368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0"/>
      <c r="Q47" s="1351">
        <f t="shared" si="11"/>
        <v>111</v>
      </c>
      <c r="R47" s="705" t="s">
        <v>14</v>
      </c>
      <c r="S47" s="706">
        <f t="shared" si="12"/>
        <v>100</v>
      </c>
      <c r="T47" s="705" t="s">
        <v>14</v>
      </c>
      <c r="U47" s="706">
        <f t="shared" si="13"/>
        <v>100</v>
      </c>
      <c r="V47" s="705" t="s">
        <v>14</v>
      </c>
      <c r="W47" s="706">
        <f t="shared" si="14"/>
        <v>100</v>
      </c>
      <c r="X47" s="1354"/>
      <c r="Y47" s="3682"/>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685"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39707.960000000006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913"/>
      <c r="M4" s="914"/>
      <c r="N4" s="914"/>
      <c r="O4" s="914"/>
      <c r="P4" s="3693" t="s">
        <v>1774</v>
      </c>
      <c r="Q4" s="3694"/>
      <c r="R4" s="3699" t="s">
        <v>1770</v>
      </c>
      <c r="S4" s="3700"/>
      <c r="T4" s="3699" t="s">
        <v>1771</v>
      </c>
      <c r="U4" s="3700"/>
      <c r="V4" s="3705" t="s">
        <v>1772</v>
      </c>
      <c r="W4" s="3705"/>
      <c r="X4" s="1354"/>
      <c r="Y4" s="3699" t="s">
        <v>1774</v>
      </c>
      <c r="Z4" s="3700"/>
      <c r="AA4" s="3686" t="s">
        <v>1770</v>
      </c>
      <c r="AB4" s="3687" t="s">
        <v>1771</v>
      </c>
      <c r="AC4" s="3686" t="s">
        <v>1772</v>
      </c>
    </row>
    <row r="5" spans="1:29" ht="15">
      <c r="A5" s="358"/>
      <c r="B5" s="359"/>
      <c r="C5" s="3708" t="s">
        <v>1672</v>
      </c>
      <c r="D5" s="3709"/>
      <c r="E5" s="3715" t="s">
        <v>1673</v>
      </c>
      <c r="F5" s="3716"/>
      <c r="G5" s="3708" t="s">
        <v>1674</v>
      </c>
      <c r="H5" s="3709"/>
      <c r="I5" s="3708" t="s">
        <v>1675</v>
      </c>
      <c r="J5" s="3709"/>
      <c r="K5" s="559"/>
      <c r="L5" s="913"/>
      <c r="M5" s="914"/>
      <c r="N5" s="914"/>
      <c r="O5" s="914"/>
      <c r="P5" s="3695"/>
      <c r="Q5" s="3696"/>
      <c r="R5" s="3701"/>
      <c r="S5" s="3702"/>
      <c r="T5" s="3701"/>
      <c r="U5" s="3702"/>
      <c r="V5" s="3705"/>
      <c r="W5" s="3705"/>
      <c r="X5" s="1354"/>
      <c r="Y5" s="3701"/>
      <c r="Z5" s="3702"/>
      <c r="AA5" s="3687"/>
      <c r="AB5" s="3687"/>
      <c r="AC5" s="3687"/>
    </row>
    <row r="6" spans="1:29" ht="15.75" thickBot="1">
      <c r="A6" s="360"/>
      <c r="B6" s="361"/>
      <c r="C6" s="3706" t="s">
        <v>1676</v>
      </c>
      <c r="D6" s="3707"/>
      <c r="E6" s="3713" t="s">
        <v>1676</v>
      </c>
      <c r="F6" s="3714"/>
      <c r="G6" s="3706" t="s">
        <v>1676</v>
      </c>
      <c r="H6" s="3707"/>
      <c r="I6" s="3706" t="s">
        <v>1676</v>
      </c>
      <c r="J6" s="3707"/>
      <c r="K6" s="559" t="s">
        <v>1677</v>
      </c>
      <c r="L6" s="913"/>
      <c r="M6" s="914"/>
      <c r="N6" s="914"/>
      <c r="O6" s="914"/>
      <c r="P6" s="3697"/>
      <c r="Q6" s="3698"/>
      <c r="R6" s="3701"/>
      <c r="S6" s="3702"/>
      <c r="T6" s="3703"/>
      <c r="U6" s="3704"/>
      <c r="V6" s="3705"/>
      <c r="W6" s="3705"/>
      <c r="X6" s="1354"/>
      <c r="Y6" s="3703"/>
      <c r="Z6" s="3704"/>
      <c r="AA6" s="3688"/>
      <c r="AB6" s="3688"/>
      <c r="AC6" s="3688"/>
    </row>
    <row r="7" spans="1:29" s="108" customFormat="1" ht="15.75" thickBot="1">
      <c r="A7" s="362" t="s">
        <v>1678</v>
      </c>
      <c r="B7" s="363"/>
      <c r="C7" s="364">
        <f>'数据-取费表'!B2</f>
        <v>45316</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1682</v>
      </c>
      <c r="Q8" s="3711"/>
      <c r="R8" s="701" t="s">
        <v>14</v>
      </c>
      <c r="S8" s="702">
        <f t="shared" si="0"/>
        <v>100</v>
      </c>
      <c r="T8" s="701" t="s">
        <v>14</v>
      </c>
      <c r="U8" s="702">
        <f t="shared" si="1"/>
        <v>100</v>
      </c>
      <c r="V8" s="701" t="s">
        <v>14</v>
      </c>
      <c r="W8" s="702">
        <f t="shared" si="2"/>
        <v>100</v>
      </c>
      <c r="X8" s="703"/>
      <c r="Y8" s="3710" t="s">
        <v>1682</v>
      </c>
      <c r="Z8" s="371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1685</v>
      </c>
      <c r="Q9" s="1342"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2"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1690</v>
      </c>
      <c r="Q15" s="1351" t="str">
        <f t="shared" si="6"/>
        <v>产业集聚程度</v>
      </c>
      <c r="R15" s="705" t="s">
        <v>14</v>
      </c>
      <c r="S15" s="706">
        <f t="shared" si="0"/>
        <v>100</v>
      </c>
      <c r="T15" s="705" t="s">
        <v>14</v>
      </c>
      <c r="U15" s="706">
        <f t="shared" si="1"/>
        <v>100</v>
      </c>
      <c r="V15" s="705" t="s">
        <v>14</v>
      </c>
      <c r="W15" s="706">
        <f t="shared" si="2"/>
        <v>100</v>
      </c>
      <c r="X15" s="1354"/>
      <c r="Y15" s="3676"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7"/>
      <c r="Q16" s="1351"/>
      <c r="R16" s="705"/>
      <c r="S16" s="706"/>
      <c r="T16" s="705"/>
      <c r="U16" s="706"/>
      <c r="V16" s="705"/>
      <c r="W16" s="706"/>
      <c r="X16" s="1354"/>
      <c r="Y16" s="3677"/>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7"/>
      <c r="Q18" s="1351"/>
      <c r="R18" s="705"/>
      <c r="S18" s="706"/>
      <c r="T18" s="705"/>
      <c r="U18" s="706"/>
      <c r="V18" s="705"/>
      <c r="W18" s="706"/>
      <c r="X18" s="1354"/>
      <c r="Y18" s="3677"/>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1" t="str">
        <f>B19</f>
        <v>公共配套设施</v>
      </c>
      <c r="R19" s="705" t="s">
        <v>14</v>
      </c>
      <c r="S19" s="706">
        <f>F19</f>
        <v>100</v>
      </c>
      <c r="T19" s="705" t="s">
        <v>14</v>
      </c>
      <c r="U19" s="706">
        <f>H19</f>
        <v>100</v>
      </c>
      <c r="V19" s="705" t="s">
        <v>14</v>
      </c>
      <c r="W19" s="706">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7"/>
      <c r="Q20" s="1351"/>
      <c r="R20" s="705"/>
      <c r="S20" s="706"/>
      <c r="T20" s="705"/>
      <c r="U20" s="706"/>
      <c r="V20" s="705"/>
      <c r="W20" s="706"/>
      <c r="X20" s="1354"/>
      <c r="Y20" s="3677"/>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1" t="str">
        <f>B21</f>
        <v>基础设施水平</v>
      </c>
      <c r="R21" s="705" t="s">
        <v>14</v>
      </c>
      <c r="S21" s="706">
        <f>F21</f>
        <v>100</v>
      </c>
      <c r="T21" s="705" t="s">
        <v>14</v>
      </c>
      <c r="U21" s="706">
        <f>H21</f>
        <v>100</v>
      </c>
      <c r="V21" s="705" t="s">
        <v>14</v>
      </c>
      <c r="W21" s="706">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7"/>
      <c r="Q22" s="1351"/>
      <c r="R22" s="705"/>
      <c r="S22" s="706"/>
      <c r="T22" s="705"/>
      <c r="U22" s="706"/>
      <c r="V22" s="705"/>
      <c r="W22" s="706"/>
      <c r="X22" s="1354"/>
      <c r="Y22" s="3677"/>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1" t="str">
        <f>B23</f>
        <v>环境质量</v>
      </c>
      <c r="R23" s="705" t="s">
        <v>14</v>
      </c>
      <c r="S23" s="706">
        <f>F23</f>
        <v>100</v>
      </c>
      <c r="T23" s="705" t="s">
        <v>14</v>
      </c>
      <c r="U23" s="706">
        <f>H23</f>
        <v>100</v>
      </c>
      <c r="V23" s="705" t="s">
        <v>14</v>
      </c>
      <c r="W23" s="706">
        <f>J23</f>
        <v>100</v>
      </c>
      <c r="X23" s="1354"/>
      <c r="Y23" s="367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7"/>
      <c r="Q24" s="1351"/>
      <c r="R24" s="705"/>
      <c r="S24" s="706"/>
      <c r="T24" s="705"/>
      <c r="U24" s="706"/>
      <c r="V24" s="705"/>
      <c r="W24" s="706"/>
      <c r="X24" s="1354"/>
      <c r="Y24" s="367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1">
        <f>B25</f>
        <v>111</v>
      </c>
      <c r="R25" s="705" t="s">
        <v>14</v>
      </c>
      <c r="S25" s="706">
        <f>F25</f>
        <v>100</v>
      </c>
      <c r="T25" s="705" t="s">
        <v>14</v>
      </c>
      <c r="U25" s="706">
        <f>H25</f>
        <v>100</v>
      </c>
      <c r="V25" s="705" t="s">
        <v>14</v>
      </c>
      <c r="W25" s="706">
        <f>J25</f>
        <v>100</v>
      </c>
      <c r="X25" s="1354"/>
      <c r="Y25" s="367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1">
        <f t="shared" ref="Q26:Q40" si="11">B26</f>
        <v>111</v>
      </c>
      <c r="R26" s="705" t="s">
        <v>14</v>
      </c>
      <c r="S26" s="706">
        <f>F26</f>
        <v>100</v>
      </c>
      <c r="T26" s="705" t="s">
        <v>14</v>
      </c>
      <c r="U26" s="706">
        <f>H26</f>
        <v>100</v>
      </c>
      <c r="V26" s="705" t="s">
        <v>14</v>
      </c>
      <c r="W26" s="706">
        <f>J26</f>
        <v>100</v>
      </c>
      <c r="X26" s="1354"/>
      <c r="Y26" s="367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2">
        <f t="shared" si="11"/>
        <v>111</v>
      </c>
      <c r="R27" s="701" t="s">
        <v>14</v>
      </c>
      <c r="S27" s="702">
        <f>F27</f>
        <v>100</v>
      </c>
      <c r="T27" s="701" t="s">
        <v>14</v>
      </c>
      <c r="U27" s="702">
        <f>H27</f>
        <v>100</v>
      </c>
      <c r="V27" s="701" t="s">
        <v>14</v>
      </c>
      <c r="W27" s="702">
        <f>J27</f>
        <v>100</v>
      </c>
      <c r="X27" s="703"/>
      <c r="Y27" s="367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1">
        <f t="shared" si="11"/>
        <v>111</v>
      </c>
      <c r="R28" s="705" t="s">
        <v>14</v>
      </c>
      <c r="S28" s="706">
        <f t="shared" ref="S28:S40" si="12">F28</f>
        <v>100</v>
      </c>
      <c r="T28" s="705" t="s">
        <v>14</v>
      </c>
      <c r="U28" s="706">
        <f t="shared" ref="U28:U40" si="13">H28</f>
        <v>100</v>
      </c>
      <c r="V28" s="705" t="s">
        <v>14</v>
      </c>
      <c r="W28" s="706">
        <f t="shared" ref="W28:W40" si="14">J28</f>
        <v>100</v>
      </c>
      <c r="X28" s="1354"/>
      <c r="Y28" s="3677"/>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2" t="s">
        <v>1695</v>
      </c>
      <c r="Q29" s="1351" t="str">
        <f t="shared" si="11"/>
        <v>建筑类型</v>
      </c>
      <c r="R29" s="705" t="s">
        <v>14</v>
      </c>
      <c r="S29" s="706">
        <f t="shared" si="12"/>
        <v>100</v>
      </c>
      <c r="T29" s="705" t="s">
        <v>14</v>
      </c>
      <c r="U29" s="706">
        <f t="shared" si="13"/>
        <v>100</v>
      </c>
      <c r="V29" s="705" t="s">
        <v>14</v>
      </c>
      <c r="W29" s="706">
        <f t="shared" si="14"/>
        <v>100</v>
      </c>
      <c r="X29" s="1354"/>
      <c r="Y29" s="3681"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1" t="str">
        <f t="shared" si="11"/>
        <v>建筑结构</v>
      </c>
      <c r="R31" s="705" t="s">
        <v>14</v>
      </c>
      <c r="S31" s="706">
        <f t="shared" si="12"/>
        <v>100</v>
      </c>
      <c r="T31" s="705" t="s">
        <v>14</v>
      </c>
      <c r="U31" s="706">
        <f t="shared" si="13"/>
        <v>100</v>
      </c>
      <c r="V31" s="705" t="s">
        <v>14</v>
      </c>
      <c r="W31" s="706">
        <f t="shared" si="14"/>
        <v>100</v>
      </c>
      <c r="X31" s="1354"/>
      <c r="Y31" s="3681"/>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1" t="str">
        <f t="shared" si="11"/>
        <v>公共部分装修</v>
      </c>
      <c r="R32" s="705" t="s">
        <v>14</v>
      </c>
      <c r="S32" s="706">
        <f t="shared" si="12"/>
        <v>100</v>
      </c>
      <c r="T32" s="705" t="s">
        <v>14</v>
      </c>
      <c r="U32" s="706">
        <f t="shared" si="13"/>
        <v>100</v>
      </c>
      <c r="V32" s="705" t="s">
        <v>14</v>
      </c>
      <c r="W32" s="706">
        <f t="shared" si="14"/>
        <v>100</v>
      </c>
      <c r="X32" s="1354"/>
      <c r="Y32" s="3681"/>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1" t="str">
        <f t="shared" si="11"/>
        <v>成新度</v>
      </c>
      <c r="R33" s="705" t="s">
        <v>14</v>
      </c>
      <c r="S33" s="706" t="e">
        <f t="shared" si="12"/>
        <v>#N/A</v>
      </c>
      <c r="T33" s="705" t="s">
        <v>14</v>
      </c>
      <c r="U33" s="706" t="e">
        <f t="shared" si="13"/>
        <v>#N/A</v>
      </c>
      <c r="V33" s="705" t="s">
        <v>14</v>
      </c>
      <c r="W33" s="706"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2"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1695</v>
      </c>
      <c r="Q35" s="1351" t="str">
        <f t="shared" si="11"/>
        <v>市政基础设施</v>
      </c>
      <c r="R35" s="705" t="s">
        <v>14</v>
      </c>
      <c r="S35" s="706">
        <f t="shared" si="12"/>
        <v>100</v>
      </c>
      <c r="T35" s="705" t="s">
        <v>14</v>
      </c>
      <c r="U35" s="706">
        <f t="shared" si="13"/>
        <v>100</v>
      </c>
      <c r="V35" s="705" t="s">
        <v>14</v>
      </c>
      <c r="W35" s="706">
        <f t="shared" si="14"/>
        <v>100</v>
      </c>
      <c r="X35" s="1354"/>
      <c r="Y35" s="3681"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1" t="str">
        <f t="shared" si="11"/>
        <v>内部装修</v>
      </c>
      <c r="R36" s="705" t="s">
        <v>14</v>
      </c>
      <c r="S36" s="706">
        <f t="shared" si="12"/>
        <v>100</v>
      </c>
      <c r="T36" s="705" t="s">
        <v>14</v>
      </c>
      <c r="U36" s="706">
        <f t="shared" si="13"/>
        <v>100</v>
      </c>
      <c r="V36" s="705" t="s">
        <v>14</v>
      </c>
      <c r="W36" s="706">
        <f t="shared" si="14"/>
        <v>100</v>
      </c>
      <c r="X36" s="1354"/>
      <c r="Y36" s="3681"/>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1" t="str">
        <f t="shared" si="11"/>
        <v>内部装修状况</v>
      </c>
      <c r="R37" s="705" t="s">
        <v>14</v>
      </c>
      <c r="S37" s="706">
        <f t="shared" si="12"/>
        <v>100</v>
      </c>
      <c r="T37" s="705" t="s">
        <v>14</v>
      </c>
      <c r="U37" s="706">
        <f t="shared" si="13"/>
        <v>100</v>
      </c>
      <c r="V37" s="705" t="s">
        <v>14</v>
      </c>
      <c r="W37" s="706">
        <f t="shared" si="14"/>
        <v>100</v>
      </c>
      <c r="X37" s="1354"/>
      <c r="Y37" s="368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1">
        <f t="shared" si="11"/>
        <v>111</v>
      </c>
      <c r="R39" s="705" t="s">
        <v>14</v>
      </c>
      <c r="S39" s="706">
        <f t="shared" si="12"/>
        <v>100</v>
      </c>
      <c r="T39" s="705" t="s">
        <v>14</v>
      </c>
      <c r="U39" s="706">
        <f t="shared" si="13"/>
        <v>100</v>
      </c>
      <c r="V39" s="705" t="s">
        <v>14</v>
      </c>
      <c r="W39" s="706">
        <f t="shared" si="14"/>
        <v>100</v>
      </c>
      <c r="X39" s="1354"/>
      <c r="Y39" s="368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1">
        <f t="shared" si="11"/>
        <v>111</v>
      </c>
      <c r="R40" s="705" t="s">
        <v>14</v>
      </c>
      <c r="S40" s="706">
        <f t="shared" si="12"/>
        <v>100</v>
      </c>
      <c r="T40" s="705" t="s">
        <v>14</v>
      </c>
      <c r="U40" s="706">
        <f t="shared" si="13"/>
        <v>100</v>
      </c>
      <c r="V40" s="705" t="s">
        <v>14</v>
      </c>
      <c r="W40" s="706">
        <f t="shared" si="14"/>
        <v>100</v>
      </c>
      <c r="X40" s="1354"/>
      <c r="Y40" s="3682"/>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3335</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2714"/>
      <c r="M4" s="2715"/>
      <c r="N4" s="2715"/>
      <c r="O4" s="2715"/>
      <c r="P4" s="3693" t="s">
        <v>1774</v>
      </c>
      <c r="Q4" s="3694"/>
      <c r="R4" s="3699" t="s">
        <v>1770</v>
      </c>
      <c r="S4" s="3700"/>
      <c r="T4" s="3699" t="s">
        <v>1771</v>
      </c>
      <c r="U4" s="3700"/>
      <c r="V4" s="3705" t="s">
        <v>1772</v>
      </c>
      <c r="W4" s="3705"/>
      <c r="X4" s="1354"/>
      <c r="Y4" s="3699" t="s">
        <v>1774</v>
      </c>
      <c r="Z4" s="3700"/>
      <c r="AA4" s="3686" t="s">
        <v>1770</v>
      </c>
      <c r="AB4" s="3687" t="s">
        <v>1771</v>
      </c>
      <c r="AC4" s="3686" t="s">
        <v>1772</v>
      </c>
    </row>
    <row r="5" spans="1:29" ht="15">
      <c r="A5" s="358"/>
      <c r="B5" s="359"/>
      <c r="C5" s="3708" t="s">
        <v>1672</v>
      </c>
      <c r="D5" s="3709"/>
      <c r="E5" s="3715" t="s">
        <v>1673</v>
      </c>
      <c r="F5" s="3716"/>
      <c r="G5" s="3708" t="s">
        <v>1674</v>
      </c>
      <c r="H5" s="3709"/>
      <c r="I5" s="3708" t="s">
        <v>1675</v>
      </c>
      <c r="J5" s="3709"/>
      <c r="K5" s="55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06" t="s">
        <v>1676</v>
      </c>
      <c r="D6" s="3707"/>
      <c r="E6" s="3713" t="s">
        <v>1676</v>
      </c>
      <c r="F6" s="3714"/>
      <c r="G6" s="3706" t="s">
        <v>1676</v>
      </c>
      <c r="H6" s="3707"/>
      <c r="I6" s="3706" t="s">
        <v>1676</v>
      </c>
      <c r="J6" s="3707"/>
      <c r="K6" s="559" t="s">
        <v>1677</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1678</v>
      </c>
      <c r="B7" s="363"/>
      <c r="C7" s="364">
        <f>'数据-取费表'!B2</f>
        <v>45316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0" t="s">
        <v>1679</v>
      </c>
      <c r="Q7" s="3712"/>
      <c r="R7" s="701" t="s">
        <v>14</v>
      </c>
      <c r="S7" s="702">
        <f t="shared" ref="S7:S14" si="0">F7</f>
        <v>0</v>
      </c>
      <c r="T7" s="701" t="s">
        <v>14</v>
      </c>
      <c r="U7" s="702">
        <f t="shared" ref="U7:U14" si="1">H7</f>
        <v>0</v>
      </c>
      <c r="V7" s="701" t="s">
        <v>14</v>
      </c>
      <c r="W7" s="702">
        <f t="shared" ref="W7:W14" si="2">J7</f>
        <v>0</v>
      </c>
      <c r="X7" s="703"/>
      <c r="Y7" s="3710" t="s">
        <v>1679</v>
      </c>
      <c r="Z7" s="371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0" t="s">
        <v>1682</v>
      </c>
      <c r="Q8" s="3711"/>
      <c r="R8" s="701" t="s">
        <v>14</v>
      </c>
      <c r="S8" s="702">
        <f t="shared" si="0"/>
        <v>100</v>
      </c>
      <c r="T8" s="701" t="s">
        <v>14</v>
      </c>
      <c r="U8" s="702">
        <f t="shared" si="1"/>
        <v>100</v>
      </c>
      <c r="V8" s="701" t="s">
        <v>14</v>
      </c>
      <c r="W8" s="702">
        <f t="shared" si="2"/>
        <v>100</v>
      </c>
      <c r="X8" s="703"/>
      <c r="Y8" s="3710" t="s">
        <v>1682</v>
      </c>
      <c r="Z8" s="371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4" t="s">
        <v>1685</v>
      </c>
      <c r="Q9" s="1342" t="str">
        <f t="shared" ref="Q9:Q14" si="6">B9</f>
        <v>用途</v>
      </c>
      <c r="R9" s="701" t="s">
        <v>14</v>
      </c>
      <c r="S9" s="702">
        <f t="shared" si="0"/>
        <v>100</v>
      </c>
      <c r="T9" s="701" t="s">
        <v>14</v>
      </c>
      <c r="U9" s="702">
        <f t="shared" si="1"/>
        <v>100</v>
      </c>
      <c r="V9" s="701" t="s">
        <v>14</v>
      </c>
      <c r="W9" s="702">
        <f t="shared" si="2"/>
        <v>100</v>
      </c>
      <c r="X9" s="703"/>
      <c r="Y9" s="3549"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6" t="s">
        <v>1690</v>
      </c>
      <c r="Q14" s="1351" t="str">
        <f t="shared" si="6"/>
        <v>交通便捷度</v>
      </c>
      <c r="R14" s="705" t="s">
        <v>14</v>
      </c>
      <c r="S14" s="706">
        <f t="shared" si="0"/>
        <v>100</v>
      </c>
      <c r="T14" s="705" t="s">
        <v>14</v>
      </c>
      <c r="U14" s="706">
        <f t="shared" si="1"/>
        <v>100</v>
      </c>
      <c r="V14" s="705" t="s">
        <v>14</v>
      </c>
      <c r="W14" s="706">
        <f t="shared" si="2"/>
        <v>100</v>
      </c>
      <c r="X14" s="1354"/>
      <c r="Y14" s="3676"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7"/>
      <c r="Q15" s="1351"/>
      <c r="R15" s="705"/>
      <c r="S15" s="706"/>
      <c r="T15" s="705"/>
      <c r="U15" s="706"/>
      <c r="V15" s="705"/>
      <c r="W15" s="706"/>
      <c r="X15" s="1354"/>
      <c r="Y15" s="3677"/>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7"/>
      <c r="Q17" s="1351"/>
      <c r="R17" s="705"/>
      <c r="S17" s="706"/>
      <c r="T17" s="705"/>
      <c r="U17" s="706"/>
      <c r="V17" s="705"/>
      <c r="W17" s="706"/>
      <c r="X17" s="1354"/>
      <c r="Y17" s="3677"/>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77"/>
      <c r="Q19" s="1351"/>
      <c r="R19" s="705"/>
      <c r="S19" s="706"/>
      <c r="T19" s="705"/>
      <c r="U19" s="706"/>
      <c r="V19" s="705"/>
      <c r="W19" s="706"/>
      <c r="X19" s="1354"/>
      <c r="Y19" s="3677"/>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7"/>
      <c r="Q21" s="1351"/>
      <c r="R21" s="705"/>
      <c r="S21" s="706"/>
      <c r="T21" s="705"/>
      <c r="U21" s="706"/>
      <c r="V21" s="705"/>
      <c r="W21" s="706"/>
      <c r="X21" s="1354"/>
      <c r="Y21" s="3677"/>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7"/>
      <c r="Q24" s="1351">
        <f t="shared" ref="Q24:Q36"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2"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1"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1"/>
      <c r="Q28" s="1351" t="str">
        <f t="shared" si="11"/>
        <v>公共部分装修</v>
      </c>
      <c r="R28" s="705" t="s">
        <v>14</v>
      </c>
      <c r="S28" s="706">
        <f t="shared" si="12"/>
        <v>100</v>
      </c>
      <c r="T28" s="705" t="s">
        <v>14</v>
      </c>
      <c r="U28" s="706">
        <f t="shared" si="13"/>
        <v>100</v>
      </c>
      <c r="V28" s="705" t="s">
        <v>14</v>
      </c>
      <c r="W28" s="706">
        <f t="shared" si="14"/>
        <v>100</v>
      </c>
      <c r="X28" s="1354"/>
      <c r="Y28" s="3681"/>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1"/>
      <c r="Q29" s="1351" t="str">
        <f t="shared" si="11"/>
        <v>成新率</v>
      </c>
      <c r="R29" s="705" t="s">
        <v>14</v>
      </c>
      <c r="S29" s="706" t="e">
        <f t="shared" si="12"/>
        <v>#N/A</v>
      </c>
      <c r="T29" s="705" t="s">
        <v>14</v>
      </c>
      <c r="U29" s="706" t="e">
        <f t="shared" si="13"/>
        <v>#N/A</v>
      </c>
      <c r="V29" s="705" t="s">
        <v>14</v>
      </c>
      <c r="W29" s="706" t="e">
        <f t="shared" si="14"/>
        <v>#N/A</v>
      </c>
      <c r="X29" s="1354"/>
      <c r="Y29" s="3681"/>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1"/>
      <c r="Q30" s="1351" t="str">
        <f t="shared" si="11"/>
        <v>物业等级</v>
      </c>
      <c r="R30" s="705" t="s">
        <v>14</v>
      </c>
      <c r="S30" s="706">
        <f t="shared" si="12"/>
        <v>100</v>
      </c>
      <c r="T30" s="705" t="s">
        <v>14</v>
      </c>
      <c r="U30" s="706">
        <f t="shared" si="13"/>
        <v>100</v>
      </c>
      <c r="V30" s="705" t="s">
        <v>14</v>
      </c>
      <c r="W30" s="706">
        <f t="shared" si="14"/>
        <v>100</v>
      </c>
      <c r="X30" s="1354"/>
      <c r="Y30" s="3681"/>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1"/>
      <c r="Q31" s="1342"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1" t="s">
        <v>1695</v>
      </c>
      <c r="Q32" s="1351" t="str">
        <f t="shared" si="11"/>
        <v>车位类型</v>
      </c>
      <c r="R32" s="705" t="s">
        <v>14</v>
      </c>
      <c r="S32" s="706">
        <f t="shared" si="12"/>
        <v>100</v>
      </c>
      <c r="T32" s="705" t="s">
        <v>14</v>
      </c>
      <c r="U32" s="706">
        <f t="shared" si="13"/>
        <v>100</v>
      </c>
      <c r="V32" s="705" t="s">
        <v>14</v>
      </c>
      <c r="W32" s="706">
        <f t="shared" si="14"/>
        <v>100</v>
      </c>
      <c r="X32" s="1354"/>
      <c r="Y32" s="3681"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1"/>
      <c r="Q33" s="1351" t="str">
        <f t="shared" si="11"/>
        <v>是否直接入户</v>
      </c>
      <c r="R33" s="705" t="s">
        <v>14</v>
      </c>
      <c r="S33" s="706">
        <f t="shared" si="12"/>
        <v>100</v>
      </c>
      <c r="T33" s="705" t="s">
        <v>14</v>
      </c>
      <c r="U33" s="706">
        <f t="shared" si="13"/>
        <v>100</v>
      </c>
      <c r="V33" s="705" t="s">
        <v>14</v>
      </c>
      <c r="W33" s="706">
        <f t="shared" si="14"/>
        <v>100</v>
      </c>
      <c r="X33" s="1354"/>
      <c r="Y33" s="368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1"/>
      <c r="Q36" s="1351">
        <f t="shared" si="11"/>
        <v>111</v>
      </c>
      <c r="R36" s="705" t="s">
        <v>14</v>
      </c>
      <c r="S36" s="706">
        <f t="shared" si="12"/>
        <v>100</v>
      </c>
      <c r="T36" s="705" t="s">
        <v>14</v>
      </c>
      <c r="U36" s="706">
        <f t="shared" si="13"/>
        <v>100</v>
      </c>
      <c r="V36" s="705" t="s">
        <v>14</v>
      </c>
      <c r="W36" s="706">
        <f t="shared" si="14"/>
        <v>100</v>
      </c>
      <c r="X36" s="1354"/>
      <c r="Y36" s="3681"/>
      <c r="Z36" s="1355">
        <f t="shared" si="15"/>
        <v>111</v>
      </c>
      <c r="AA36" s="1352">
        <f t="shared" si="3"/>
        <v>1</v>
      </c>
      <c r="AB36" s="1352">
        <f t="shared" si="4"/>
        <v>1</v>
      </c>
      <c r="AC36" s="1352">
        <f t="shared" si="5"/>
        <v>1</v>
      </c>
    </row>
    <row r="37" spans="1:29" ht="15">
      <c r="A37" s="430" t="s">
        <v>1843</v>
      </c>
      <c r="B37" s="1972" t="s">
        <v>3356</v>
      </c>
      <c r="C37" s="1154" t="s">
        <v>0</v>
      </c>
      <c r="D37" s="1155"/>
      <c r="E37" s="1156"/>
      <c r="F37" s="1157"/>
      <c r="G37" s="1158"/>
      <c r="H37" s="1159"/>
      <c r="I37" s="1156"/>
      <c r="J37" s="1159"/>
      <c r="K37" s="568"/>
      <c r="L37" s="2723"/>
      <c r="M37" s="2724"/>
      <c r="N37" s="2715"/>
      <c r="O37" s="2724"/>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3336</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2714"/>
      <c r="M4" s="2715"/>
      <c r="N4" s="2715"/>
      <c r="O4" s="2715"/>
      <c r="P4" s="3693" t="s">
        <v>1774</v>
      </c>
      <c r="Q4" s="3694"/>
      <c r="R4" s="3699" t="s">
        <v>1770</v>
      </c>
      <c r="S4" s="3700"/>
      <c r="T4" s="3699" t="s">
        <v>1771</v>
      </c>
      <c r="U4" s="3700"/>
      <c r="V4" s="3705" t="s">
        <v>1772</v>
      </c>
      <c r="W4" s="3705"/>
      <c r="X4" s="1354"/>
      <c r="Y4" s="3699" t="s">
        <v>1774</v>
      </c>
      <c r="Z4" s="3700"/>
      <c r="AA4" s="3686" t="s">
        <v>1770</v>
      </c>
      <c r="AB4" s="3687" t="s">
        <v>1771</v>
      </c>
      <c r="AC4" s="3686" t="s">
        <v>1772</v>
      </c>
    </row>
    <row r="5" spans="1:29" ht="15">
      <c r="A5" s="358"/>
      <c r="B5" s="359"/>
      <c r="C5" s="3708" t="s">
        <v>1672</v>
      </c>
      <c r="D5" s="3709"/>
      <c r="E5" s="3715" t="s">
        <v>1673</v>
      </c>
      <c r="F5" s="3716"/>
      <c r="G5" s="3708" t="s">
        <v>1674</v>
      </c>
      <c r="H5" s="3709"/>
      <c r="I5" s="3708" t="s">
        <v>1675</v>
      </c>
      <c r="J5" s="3709"/>
      <c r="K5" s="55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06" t="s">
        <v>1676</v>
      </c>
      <c r="D6" s="3707"/>
      <c r="E6" s="3713" t="s">
        <v>1676</v>
      </c>
      <c r="F6" s="3714"/>
      <c r="G6" s="3706" t="s">
        <v>1676</v>
      </c>
      <c r="H6" s="3707"/>
      <c r="I6" s="3706" t="s">
        <v>1676</v>
      </c>
      <c r="J6" s="3707"/>
      <c r="K6" s="559" t="s">
        <v>1677</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1678</v>
      </c>
      <c r="B7" s="363"/>
      <c r="C7" s="364">
        <f>'数据-取费表'!B2</f>
        <v>45316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0" t="s">
        <v>1679</v>
      </c>
      <c r="Q7" s="3712"/>
      <c r="R7" s="701" t="s">
        <v>14</v>
      </c>
      <c r="S7" s="702">
        <f t="shared" ref="S7:S14" si="0">F7</f>
        <v>0</v>
      </c>
      <c r="T7" s="701" t="s">
        <v>14</v>
      </c>
      <c r="U7" s="702">
        <f t="shared" ref="U7:U14" si="1">H7</f>
        <v>0</v>
      </c>
      <c r="V7" s="701" t="s">
        <v>14</v>
      </c>
      <c r="W7" s="702">
        <f t="shared" ref="W7:W14" si="2">J7</f>
        <v>0</v>
      </c>
      <c r="X7" s="703"/>
      <c r="Y7" s="3710" t="s">
        <v>1679</v>
      </c>
      <c r="Z7" s="371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0" t="s">
        <v>1682</v>
      </c>
      <c r="Q8" s="3711"/>
      <c r="R8" s="701" t="s">
        <v>14</v>
      </c>
      <c r="S8" s="702">
        <f t="shared" si="0"/>
        <v>100</v>
      </c>
      <c r="T8" s="701" t="s">
        <v>14</v>
      </c>
      <c r="U8" s="702">
        <f t="shared" si="1"/>
        <v>100</v>
      </c>
      <c r="V8" s="701" t="s">
        <v>14</v>
      </c>
      <c r="W8" s="702">
        <f t="shared" si="2"/>
        <v>100</v>
      </c>
      <c r="X8" s="703"/>
      <c r="Y8" s="3710" t="s">
        <v>1682</v>
      </c>
      <c r="Z8" s="371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4" t="s">
        <v>1685</v>
      </c>
      <c r="Q9" s="1342" t="str">
        <f t="shared" ref="Q9:Q14" si="6">B9</f>
        <v>用途</v>
      </c>
      <c r="R9" s="701" t="s">
        <v>14</v>
      </c>
      <c r="S9" s="702">
        <f t="shared" si="0"/>
        <v>100</v>
      </c>
      <c r="T9" s="701" t="s">
        <v>14</v>
      </c>
      <c r="U9" s="702">
        <f t="shared" si="1"/>
        <v>100</v>
      </c>
      <c r="V9" s="701" t="s">
        <v>14</v>
      </c>
      <c r="W9" s="702">
        <f t="shared" si="2"/>
        <v>100</v>
      </c>
      <c r="X9" s="703"/>
      <c r="Y9" s="3549"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4"/>
      <c r="Q10" s="1342"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4"/>
      <c r="Q11" s="1342">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6" t="s">
        <v>1690</v>
      </c>
      <c r="Q14" s="1351" t="str">
        <f t="shared" si="6"/>
        <v>交通便捷度</v>
      </c>
      <c r="R14" s="705" t="s">
        <v>14</v>
      </c>
      <c r="S14" s="706">
        <f t="shared" si="0"/>
        <v>100</v>
      </c>
      <c r="T14" s="705" t="s">
        <v>14</v>
      </c>
      <c r="U14" s="706">
        <f t="shared" si="1"/>
        <v>100</v>
      </c>
      <c r="V14" s="705" t="s">
        <v>14</v>
      </c>
      <c r="W14" s="706">
        <f t="shared" si="2"/>
        <v>100</v>
      </c>
      <c r="X14" s="1354"/>
      <c r="Y14" s="3676"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7"/>
      <c r="Q15" s="1351"/>
      <c r="R15" s="705"/>
      <c r="S15" s="706"/>
      <c r="T15" s="705"/>
      <c r="U15" s="706"/>
      <c r="V15" s="705"/>
      <c r="W15" s="706"/>
      <c r="X15" s="1354"/>
      <c r="Y15" s="3677"/>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7"/>
      <c r="Q16" s="1351" t="str">
        <f>B16</f>
        <v>公共配套设施</v>
      </c>
      <c r="R16" s="705" t="s">
        <v>14</v>
      </c>
      <c r="S16" s="706">
        <f>F16</f>
        <v>100</v>
      </c>
      <c r="T16" s="705" t="s">
        <v>14</v>
      </c>
      <c r="U16" s="706">
        <f>H16</f>
        <v>100</v>
      </c>
      <c r="V16" s="705" t="s">
        <v>14</v>
      </c>
      <c r="W16" s="706">
        <f>J16</f>
        <v>100</v>
      </c>
      <c r="X16" s="1354"/>
      <c r="Y16" s="367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7"/>
      <c r="Q17" s="1351"/>
      <c r="R17" s="705"/>
      <c r="S17" s="706"/>
      <c r="T17" s="705"/>
      <c r="U17" s="706"/>
      <c r="V17" s="705"/>
      <c r="W17" s="706"/>
      <c r="X17" s="1354"/>
      <c r="Y17" s="3677"/>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7"/>
      <c r="Q18" s="1351" t="str">
        <f>B18</f>
        <v>基础设施水平</v>
      </c>
      <c r="R18" s="705" t="s">
        <v>14</v>
      </c>
      <c r="S18" s="706">
        <f>F18</f>
        <v>100</v>
      </c>
      <c r="T18" s="705" t="s">
        <v>14</v>
      </c>
      <c r="U18" s="706">
        <f>H18</f>
        <v>100</v>
      </c>
      <c r="V18" s="705" t="s">
        <v>14</v>
      </c>
      <c r="W18" s="706">
        <f>J18</f>
        <v>100</v>
      </c>
      <c r="X18" s="1354"/>
      <c r="Y18" s="367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77"/>
      <c r="Q19" s="1351"/>
      <c r="R19" s="705"/>
      <c r="S19" s="706"/>
      <c r="T19" s="705"/>
      <c r="U19" s="706"/>
      <c r="V19" s="705"/>
      <c r="W19" s="706"/>
      <c r="X19" s="1354"/>
      <c r="Y19" s="3677"/>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7"/>
      <c r="Q20" s="1351" t="str">
        <f>B20</f>
        <v>自然及人文环境</v>
      </c>
      <c r="R20" s="705" t="s">
        <v>14</v>
      </c>
      <c r="S20" s="706">
        <f>F20</f>
        <v>100</v>
      </c>
      <c r="T20" s="705" t="s">
        <v>14</v>
      </c>
      <c r="U20" s="706">
        <f>H20</f>
        <v>100</v>
      </c>
      <c r="V20" s="705" t="s">
        <v>14</v>
      </c>
      <c r="W20" s="706">
        <f>J20</f>
        <v>100</v>
      </c>
      <c r="X20" s="1354"/>
      <c r="Y20" s="367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7"/>
      <c r="Q21" s="1351"/>
      <c r="R21" s="705"/>
      <c r="S21" s="706"/>
      <c r="T21" s="705"/>
      <c r="U21" s="706"/>
      <c r="V21" s="705"/>
      <c r="W21" s="706"/>
      <c r="X21" s="1354"/>
      <c r="Y21" s="3677"/>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7"/>
      <c r="Q22" s="1351" t="str">
        <f>B22</f>
        <v>楼层</v>
      </c>
      <c r="R22" s="705" t="s">
        <v>14</v>
      </c>
      <c r="S22" s="706">
        <f>F22</f>
        <v>100</v>
      </c>
      <c r="T22" s="705" t="s">
        <v>14</v>
      </c>
      <c r="U22" s="706">
        <f>H22</f>
        <v>100</v>
      </c>
      <c r="V22" s="705" t="s">
        <v>14</v>
      </c>
      <c r="W22" s="706">
        <f>J22</f>
        <v>100</v>
      </c>
      <c r="X22" s="1354"/>
      <c r="Y22" s="367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7"/>
      <c r="Q23" s="1351">
        <f>B23</f>
        <v>111</v>
      </c>
      <c r="R23" s="705" t="s">
        <v>14</v>
      </c>
      <c r="S23" s="706">
        <f>F23</f>
        <v>100</v>
      </c>
      <c r="T23" s="705" t="s">
        <v>14</v>
      </c>
      <c r="U23" s="706">
        <f>H23</f>
        <v>100</v>
      </c>
      <c r="V23" s="705" t="s">
        <v>14</v>
      </c>
      <c r="W23" s="706">
        <f>J23</f>
        <v>100</v>
      </c>
      <c r="X23" s="1354"/>
      <c r="Y23" s="367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7"/>
      <c r="Q24" s="1351">
        <f t="shared" ref="Q24:Q34" si="11">B24</f>
        <v>111</v>
      </c>
      <c r="R24" s="705" t="s">
        <v>14</v>
      </c>
      <c r="S24" s="706">
        <f>F24</f>
        <v>100</v>
      </c>
      <c r="T24" s="705" t="s">
        <v>14</v>
      </c>
      <c r="U24" s="706">
        <f>H24</f>
        <v>100</v>
      </c>
      <c r="V24" s="705" t="s">
        <v>14</v>
      </c>
      <c r="W24" s="706">
        <f>J24</f>
        <v>100</v>
      </c>
      <c r="X24" s="1354"/>
      <c r="Y24" s="367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7"/>
      <c r="Q25" s="1342">
        <f t="shared" si="11"/>
        <v>111</v>
      </c>
      <c r="R25" s="701" t="s">
        <v>14</v>
      </c>
      <c r="S25" s="702">
        <f>F25</f>
        <v>100</v>
      </c>
      <c r="T25" s="701" t="s">
        <v>14</v>
      </c>
      <c r="U25" s="702">
        <f>H25</f>
        <v>100</v>
      </c>
      <c r="V25" s="701" t="s">
        <v>14</v>
      </c>
      <c r="W25" s="702">
        <f>J25</f>
        <v>100</v>
      </c>
      <c r="X25" s="703"/>
      <c r="Y25" s="3677"/>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2"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1"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1"/>
      <c r="Q28" s="1351" t="str">
        <f t="shared" si="11"/>
        <v>物业等级</v>
      </c>
      <c r="R28" s="705" t="s">
        <v>14</v>
      </c>
      <c r="S28" s="706">
        <f t="shared" si="12"/>
        <v>100</v>
      </c>
      <c r="T28" s="705" t="s">
        <v>14</v>
      </c>
      <c r="U28" s="706">
        <f t="shared" si="13"/>
        <v>100</v>
      </c>
      <c r="V28" s="705" t="s">
        <v>14</v>
      </c>
      <c r="W28" s="706">
        <f t="shared" si="14"/>
        <v>100</v>
      </c>
      <c r="X28" s="1354"/>
      <c r="Y28" s="3681"/>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1"/>
      <c r="Q29" s="1351" t="str">
        <f t="shared" si="11"/>
        <v>有无电梯</v>
      </c>
      <c r="R29" s="705" t="s">
        <v>14</v>
      </c>
      <c r="S29" s="706">
        <f t="shared" si="12"/>
        <v>100</v>
      </c>
      <c r="T29" s="705" t="s">
        <v>14</v>
      </c>
      <c r="U29" s="706">
        <f t="shared" si="13"/>
        <v>100</v>
      </c>
      <c r="V29" s="705" t="s">
        <v>14</v>
      </c>
      <c r="W29" s="706">
        <f t="shared" si="14"/>
        <v>100</v>
      </c>
      <c r="X29" s="1354"/>
      <c r="Y29" s="3681"/>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1"/>
      <c r="Q30" s="1351" t="str">
        <f t="shared" si="11"/>
        <v>建筑面积</v>
      </c>
      <c r="R30" s="705" t="s">
        <v>14</v>
      </c>
      <c r="S30" s="706" t="e">
        <f t="shared" si="12"/>
        <v>#N/A</v>
      </c>
      <c r="T30" s="705" t="s">
        <v>14</v>
      </c>
      <c r="U30" s="706" t="e">
        <f t="shared" si="13"/>
        <v>#N/A</v>
      </c>
      <c r="V30" s="705" t="s">
        <v>14</v>
      </c>
      <c r="W30" s="706"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1"/>
      <c r="Q31" s="1342"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1" t="s">
        <v>1695</v>
      </c>
      <c r="Q32" s="1351">
        <f t="shared" si="11"/>
        <v>111</v>
      </c>
      <c r="R32" s="705" t="s">
        <v>14</v>
      </c>
      <c r="S32" s="706">
        <f t="shared" si="12"/>
        <v>100</v>
      </c>
      <c r="T32" s="705" t="s">
        <v>14</v>
      </c>
      <c r="U32" s="706">
        <f t="shared" si="13"/>
        <v>100</v>
      </c>
      <c r="V32" s="705" t="s">
        <v>14</v>
      </c>
      <c r="W32" s="706">
        <f t="shared" si="14"/>
        <v>100</v>
      </c>
      <c r="X32" s="1354"/>
      <c r="Y32" s="3681"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1"/>
      <c r="Q33" s="1351">
        <f t="shared" si="11"/>
        <v>111</v>
      </c>
      <c r="R33" s="705" t="s">
        <v>14</v>
      </c>
      <c r="S33" s="706">
        <f t="shared" si="12"/>
        <v>100</v>
      </c>
      <c r="T33" s="705" t="s">
        <v>14</v>
      </c>
      <c r="U33" s="706">
        <f t="shared" si="13"/>
        <v>100</v>
      </c>
      <c r="V33" s="705" t="s">
        <v>14</v>
      </c>
      <c r="W33" s="706">
        <f t="shared" si="14"/>
        <v>100</v>
      </c>
      <c r="X33" s="1354"/>
      <c r="Y33" s="368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3"/>
      <c r="M35" s="2724"/>
      <c r="N35" s="2715"/>
      <c r="O35" s="2724"/>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G19" sqref="G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29830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7512</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89" t="s">
        <v>1769</v>
      </c>
      <c r="D4" s="3690"/>
      <c r="E4" s="3691" t="s">
        <v>1770</v>
      </c>
      <c r="F4" s="3692"/>
      <c r="G4" s="3689" t="s">
        <v>1771</v>
      </c>
      <c r="H4" s="3690"/>
      <c r="I4" s="3689" t="s">
        <v>1772</v>
      </c>
      <c r="J4" s="3690"/>
      <c r="K4" s="559" t="s">
        <v>1773</v>
      </c>
      <c r="L4" s="2714"/>
      <c r="M4" s="2715"/>
      <c r="N4" s="2715"/>
      <c r="O4" s="2715"/>
      <c r="P4" s="3693" t="s">
        <v>1774</v>
      </c>
      <c r="Q4" s="3694"/>
      <c r="R4" s="3699" t="s">
        <v>1770</v>
      </c>
      <c r="S4" s="3700"/>
      <c r="T4" s="3699" t="s">
        <v>1771</v>
      </c>
      <c r="U4" s="3700"/>
      <c r="V4" s="3705" t="s">
        <v>1772</v>
      </c>
      <c r="W4" s="3705"/>
      <c r="X4" s="1354"/>
      <c r="Y4" s="3699" t="s">
        <v>1774</v>
      </c>
      <c r="Z4" s="3700"/>
      <c r="AA4" s="3686" t="s">
        <v>1770</v>
      </c>
      <c r="AB4" s="3687" t="s">
        <v>1771</v>
      </c>
      <c r="AC4" s="3686" t="s">
        <v>1772</v>
      </c>
    </row>
    <row r="5" spans="1:30" ht="15">
      <c r="A5" s="358"/>
      <c r="B5" s="359"/>
      <c r="C5" s="3708" t="s">
        <v>1672</v>
      </c>
      <c r="D5" s="3709"/>
      <c r="E5" s="3715" t="str">
        <f>土地案例!A2</f>
        <v>北京市石景山区中关村科技园石景山园北Ⅱ区西井地块土地一级开发项目1606-605地块B23研发设计用地</v>
      </c>
      <c r="F5" s="3716"/>
      <c r="G5" s="3708" t="str">
        <f>土地案例!A3</f>
        <v>北京市石景山区首钢园区东南区土地一级开发项目1612-774地块B4综合性商业金融服务业用地</v>
      </c>
      <c r="H5" s="3709"/>
      <c r="I5" s="3708" t="str">
        <f>土地案例!A4</f>
        <v>北京市石景山区中关村科技园石景山园北Ⅱ区西井地块土地一级开发项目1606-034地块B1商业用地</v>
      </c>
      <c r="J5" s="3709"/>
      <c r="K5" s="559"/>
      <c r="L5" s="2714"/>
      <c r="M5" s="2715"/>
      <c r="N5" s="2715"/>
      <c r="O5" s="2715"/>
      <c r="P5" s="3695"/>
      <c r="Q5" s="3696"/>
      <c r="R5" s="3701"/>
      <c r="S5" s="3702"/>
      <c r="T5" s="3701"/>
      <c r="U5" s="3702"/>
      <c r="V5" s="3705"/>
      <c r="W5" s="3705"/>
      <c r="X5" s="1354"/>
      <c r="Y5" s="3701"/>
      <c r="Z5" s="3702"/>
      <c r="AA5" s="3687"/>
      <c r="AB5" s="3687"/>
      <c r="AC5" s="3687"/>
    </row>
    <row r="6" spans="1:30" ht="15.75" thickBot="1">
      <c r="A6" s="360"/>
      <c r="B6" s="361"/>
      <c r="C6" s="3706" t="s">
        <v>1676</v>
      </c>
      <c r="D6" s="3707"/>
      <c r="E6" s="3713" t="s">
        <v>1676</v>
      </c>
      <c r="F6" s="3714"/>
      <c r="G6" s="3706" t="s">
        <v>1676</v>
      </c>
      <c r="H6" s="3707"/>
      <c r="I6" s="3706" t="s">
        <v>1676</v>
      </c>
      <c r="J6" s="3707"/>
      <c r="K6" s="559" t="s">
        <v>1677</v>
      </c>
      <c r="L6" s="2714"/>
      <c r="M6" s="2715"/>
      <c r="N6" s="2715"/>
      <c r="O6" s="2715"/>
      <c r="P6" s="3697"/>
      <c r="Q6" s="3698"/>
      <c r="R6" s="3701"/>
      <c r="S6" s="3702"/>
      <c r="T6" s="3703"/>
      <c r="U6" s="3704"/>
      <c r="V6" s="3705"/>
      <c r="W6" s="3705"/>
      <c r="X6" s="1354"/>
      <c r="Y6" s="3703"/>
      <c r="Z6" s="3704"/>
      <c r="AA6" s="3688"/>
      <c r="AB6" s="3688"/>
      <c r="AC6" s="3688"/>
    </row>
    <row r="7" spans="1:30" s="108" customFormat="1" ht="15.75" thickBot="1">
      <c r="A7" s="362" t="s">
        <v>1678</v>
      </c>
      <c r="B7" s="363"/>
      <c r="C7" s="364">
        <f>'数据-取费表'!B2</f>
        <v>45316</v>
      </c>
      <c r="D7" s="365">
        <v>100</v>
      </c>
      <c r="E7" s="366">
        <f>土地案例!L2</f>
        <v>44931.000497685185</v>
      </c>
      <c r="F7" s="367">
        <f>SUMIF(69:69,YEAR(E7)&amp;"-"&amp;INT((MONTH(E7)+2)/3),70:70)</f>
        <v>100</v>
      </c>
      <c r="G7" s="1973">
        <f>土地案例!L3</f>
        <v>44495.000497685185</v>
      </c>
      <c r="H7" s="365">
        <f>SUMIF(69:69,YEAR(G7)&amp;"-"&amp;INT((MONTH(G7)+2)/3),70:70)</f>
        <v>100</v>
      </c>
      <c r="I7" s="1973">
        <f>土地案例!L4</f>
        <v>44179.000497685185</v>
      </c>
      <c r="J7" s="365">
        <f>SUMIF(69:69,YEAR(I7)&amp;"-"&amp;INT((MONTH(I7)+2)/3),70:70)</f>
        <v>100</v>
      </c>
      <c r="K7" s="560"/>
      <c r="L7" s="2716"/>
      <c r="M7" s="2717"/>
      <c r="N7" s="2717"/>
      <c r="O7" s="2717"/>
      <c r="P7" s="3710" t="s">
        <v>1679</v>
      </c>
      <c r="Q7" s="3712"/>
      <c r="R7" s="701" t="s">
        <v>14</v>
      </c>
      <c r="S7" s="702">
        <f t="shared" ref="S7:S15" si="0">F7</f>
        <v>100</v>
      </c>
      <c r="T7" s="701" t="s">
        <v>14</v>
      </c>
      <c r="U7" s="702">
        <f t="shared" ref="U7:U15" si="1">H7</f>
        <v>100</v>
      </c>
      <c r="V7" s="701" t="s">
        <v>14</v>
      </c>
      <c r="W7" s="702">
        <f t="shared" ref="W7:W15" si="2">J7</f>
        <v>100</v>
      </c>
      <c r="X7" s="703"/>
      <c r="Y7" s="3710" t="s">
        <v>1679</v>
      </c>
      <c r="Z7" s="3711"/>
      <c r="AA7" s="704">
        <f>D7/F7</f>
        <v>1</v>
      </c>
      <c r="AB7" s="704">
        <f>D7/H7</f>
        <v>1</v>
      </c>
      <c r="AC7" s="704">
        <f>D7/J7</f>
        <v>1</v>
      </c>
    </row>
    <row r="8" spans="1:30" s="108" customFormat="1" ht="15.75" thickBot="1">
      <c r="A8" s="362" t="s">
        <v>1680</v>
      </c>
      <c r="B8" s="363"/>
      <c r="C8" s="368" t="s">
        <v>1681</v>
      </c>
      <c r="D8" s="365">
        <v>100</v>
      </c>
      <c r="E8" s="368" t="s">
        <v>3596</v>
      </c>
      <c r="F8" s="367">
        <f>SUMIF(72:72,E8,73:73)-SUMIF(72:72,C8,73:73)+100</f>
        <v>100</v>
      </c>
      <c r="G8" s="368" t="s">
        <v>3596</v>
      </c>
      <c r="H8" s="365">
        <f>SUMIF(72:72,G8,73:73)-SUMIF(72:72,C8,73:73)+100</f>
        <v>100</v>
      </c>
      <c r="I8" s="368" t="s">
        <v>3596</v>
      </c>
      <c r="J8" s="365">
        <f>SUMIF(72:72,I8,73:73)-SUMIF(72:72,C8,73:73)+100</f>
        <v>100</v>
      </c>
      <c r="K8" s="560"/>
      <c r="L8" s="2716"/>
      <c r="M8" s="2717"/>
      <c r="N8" s="2717"/>
      <c r="O8" s="2717"/>
      <c r="P8" s="3710" t="s">
        <v>1682</v>
      </c>
      <c r="Q8" s="3711"/>
      <c r="R8" s="701" t="s">
        <v>14</v>
      </c>
      <c r="S8" s="702">
        <f t="shared" si="0"/>
        <v>100</v>
      </c>
      <c r="T8" s="701" t="s">
        <v>14</v>
      </c>
      <c r="U8" s="702">
        <f t="shared" si="1"/>
        <v>100</v>
      </c>
      <c r="V8" s="701" t="s">
        <v>14</v>
      </c>
      <c r="W8" s="702">
        <f t="shared" si="2"/>
        <v>100</v>
      </c>
      <c r="X8" s="703"/>
      <c r="Y8" s="3710" t="s">
        <v>1682</v>
      </c>
      <c r="Z8" s="3711"/>
      <c r="AA8" s="704">
        <f t="shared" ref="AA8:AA45" si="3">D8/F8</f>
        <v>1</v>
      </c>
      <c r="AB8" s="704">
        <f t="shared" ref="AB8:AB45" si="4">D8/H8</f>
        <v>1</v>
      </c>
      <c r="AC8" s="704">
        <f t="shared" ref="AC8:AC45" si="5">D8/J8</f>
        <v>1</v>
      </c>
    </row>
    <row r="9" spans="1:30" s="108" customFormat="1" ht="15">
      <c r="A9" s="369" t="s">
        <v>1683</v>
      </c>
      <c r="B9" s="63" t="s">
        <v>1684</v>
      </c>
      <c r="C9" s="1976" t="s">
        <v>2460</v>
      </c>
      <c r="D9" s="126">
        <v>100</v>
      </c>
      <c r="E9" s="1976" t="s">
        <v>3584</v>
      </c>
      <c r="F9" s="126">
        <f>SUMIF(74:74,E9,75:75)-SUMIF(74:74,C9,75:75)+100</f>
        <v>120</v>
      </c>
      <c r="G9" s="1976" t="s">
        <v>3584</v>
      </c>
      <c r="H9" s="126">
        <f>SUMIF(74:74,G9,75:75)-SUMIF(74:74,C9,75:75)+100</f>
        <v>120</v>
      </c>
      <c r="I9" s="1976" t="s">
        <v>3584</v>
      </c>
      <c r="J9" s="126">
        <f>SUMIF(74:74,I9,75:75)-SUMIF(74:74,C9,75:75)+100</f>
        <v>120</v>
      </c>
      <c r="K9" s="560"/>
      <c r="L9" s="2716"/>
      <c r="M9" s="2717"/>
      <c r="N9" s="2717"/>
      <c r="O9" s="2771"/>
      <c r="P9" s="3674" t="s">
        <v>1685</v>
      </c>
      <c r="Q9" s="1342" t="str">
        <f t="shared" ref="Q9:Q15" si="6">B9</f>
        <v>用途</v>
      </c>
      <c r="R9" s="701" t="s">
        <v>14</v>
      </c>
      <c r="S9" s="702">
        <f t="shared" si="0"/>
        <v>120</v>
      </c>
      <c r="T9" s="701" t="s">
        <v>14</v>
      </c>
      <c r="U9" s="702">
        <f t="shared" si="1"/>
        <v>120</v>
      </c>
      <c r="V9" s="701" t="s">
        <v>14</v>
      </c>
      <c r="W9" s="702">
        <f t="shared" si="2"/>
        <v>120</v>
      </c>
      <c r="X9" s="703"/>
      <c r="Y9" s="3549" t="s">
        <v>1686</v>
      </c>
      <c r="Z9" s="52" t="str">
        <f t="shared" ref="Z9:Z15" si="7">Q9</f>
        <v>用途</v>
      </c>
      <c r="AA9" s="704">
        <f t="shared" si="3"/>
        <v>0.83333333333333337</v>
      </c>
      <c r="AB9" s="704">
        <f t="shared" si="4"/>
        <v>0.83333333333333337</v>
      </c>
      <c r="AC9" s="704">
        <f t="shared" si="5"/>
        <v>0.83333333333333337</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74"/>
      <c r="Q10" s="1342" t="str">
        <f t="shared" si="6"/>
        <v>土地使用年限（年）</v>
      </c>
      <c r="R10" s="701" t="s">
        <v>14</v>
      </c>
      <c r="S10" s="702">
        <f t="shared" si="0"/>
        <v>115</v>
      </c>
      <c r="T10" s="701" t="s">
        <v>14</v>
      </c>
      <c r="U10" s="702">
        <f t="shared" si="1"/>
        <v>115</v>
      </c>
      <c r="V10" s="701" t="s">
        <v>14</v>
      </c>
      <c r="W10" s="702">
        <f t="shared" si="2"/>
        <v>115</v>
      </c>
      <c r="X10" s="703"/>
      <c r="Y10" s="3549"/>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f>'数据-汇总表'!I6</f>
        <v>5.16</v>
      </c>
      <c r="D11" s="127">
        <v>100</v>
      </c>
      <c r="E11" s="380">
        <v>3</v>
      </c>
      <c r="F11" s="127">
        <f>LOOKUP(E11,79:79,80:80)-LOOKUP(C11,79:79,80:80)+100</f>
        <v>102</v>
      </c>
      <c r="G11" s="381">
        <v>3.5</v>
      </c>
      <c r="H11" s="127">
        <f>LOOKUP(G11,79:79,80:80)-LOOKUP(C11,79:79,80:80)+100</f>
        <v>102</v>
      </c>
      <c r="I11" s="380">
        <v>4</v>
      </c>
      <c r="J11" s="127">
        <f>LOOKUP(I11,79:79,80:80)-LOOKUP(C11,79:79,80:80)+100</f>
        <v>101</v>
      </c>
      <c r="K11" s="621">
        <v>1</v>
      </c>
      <c r="L11" s="2720"/>
      <c r="M11" s="2715"/>
      <c r="N11" s="2715"/>
      <c r="O11" s="2773"/>
      <c r="P11" s="3674"/>
      <c r="Q11" s="1342" t="str">
        <f t="shared" si="6"/>
        <v>容积率</v>
      </c>
      <c r="R11" s="701" t="s">
        <v>14</v>
      </c>
      <c r="S11" s="702">
        <f t="shared" si="0"/>
        <v>102</v>
      </c>
      <c r="T11" s="701" t="s">
        <v>14</v>
      </c>
      <c r="U11" s="702">
        <f t="shared" si="1"/>
        <v>102</v>
      </c>
      <c r="V11" s="701" t="s">
        <v>14</v>
      </c>
      <c r="W11" s="702">
        <f t="shared" si="2"/>
        <v>101</v>
      </c>
      <c r="X11" s="703"/>
      <c r="Y11" s="3549"/>
      <c r="Z11" s="52" t="str">
        <f t="shared" si="7"/>
        <v>容积率</v>
      </c>
      <c r="AA11" s="704">
        <f t="shared" si="3"/>
        <v>0.98039215686274506</v>
      </c>
      <c r="AB11" s="704">
        <f t="shared" si="4"/>
        <v>0.98039215686274506</v>
      </c>
      <c r="AC11" s="704">
        <f t="shared" si="5"/>
        <v>0.99009900990099009</v>
      </c>
    </row>
    <row r="12" spans="1:30" s="108" customFormat="1" ht="15">
      <c r="A12" s="382"/>
      <c r="B12" s="3803" t="s">
        <v>3597</v>
      </c>
      <c r="C12" s="3804" t="s">
        <v>3600</v>
      </c>
      <c r="D12" s="384">
        <v>100</v>
      </c>
      <c r="E12" s="3805" t="s">
        <v>3598</v>
      </c>
      <c r="F12" s="127">
        <f>SUMIF(81:81,E12,82:82)-SUMIF(81:81,C12,82:82)+100</f>
        <v>110</v>
      </c>
      <c r="G12" s="3806" t="s">
        <v>3587</v>
      </c>
      <c r="H12" s="127">
        <f>SUMIF(81:81,G12,82:82)-SUMIF(81:81,C12,82:82)+100</f>
        <v>110</v>
      </c>
      <c r="I12" s="3805" t="s">
        <v>3587</v>
      </c>
      <c r="J12" s="127">
        <f>SUMIF(81:81,I12,82:82)-SUMIF(81:81,C12,82:82)+100</f>
        <v>110</v>
      </c>
      <c r="K12" s="620"/>
      <c r="L12" s="2716"/>
      <c r="M12" s="2717"/>
      <c r="N12" s="2717"/>
      <c r="O12" s="2771"/>
      <c r="P12" s="3674"/>
      <c r="Q12" s="1342" t="str">
        <f t="shared" si="6"/>
        <v>是否自持</v>
      </c>
      <c r="R12" s="701" t="s">
        <v>14</v>
      </c>
      <c r="S12" s="702">
        <f t="shared" si="0"/>
        <v>110</v>
      </c>
      <c r="T12" s="701" t="s">
        <v>14</v>
      </c>
      <c r="U12" s="702">
        <f t="shared" si="1"/>
        <v>110</v>
      </c>
      <c r="V12" s="701" t="s">
        <v>14</v>
      </c>
      <c r="W12" s="702">
        <f t="shared" si="2"/>
        <v>110</v>
      </c>
      <c r="X12" s="703"/>
      <c r="Y12" s="3549"/>
      <c r="Z12" s="52" t="str">
        <f t="shared" si="7"/>
        <v>是否自持</v>
      </c>
      <c r="AA12" s="704">
        <f>D12/F12</f>
        <v>0.90909090909090906</v>
      </c>
      <c r="AB12" s="704">
        <f>D12/H12</f>
        <v>0.90909090909090906</v>
      </c>
      <c r="AC12" s="704">
        <f>D12/J12</f>
        <v>0.90909090909090906</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6" t="s">
        <v>1690</v>
      </c>
      <c r="Q15" s="1351" t="str">
        <f t="shared" si="6"/>
        <v>居住社区成熟度</v>
      </c>
      <c r="R15" s="705" t="s">
        <v>14</v>
      </c>
      <c r="S15" s="706">
        <f t="shared" si="0"/>
        <v>100</v>
      </c>
      <c r="T15" s="705" t="s">
        <v>14</v>
      </c>
      <c r="U15" s="706">
        <f t="shared" si="1"/>
        <v>100</v>
      </c>
      <c r="V15" s="705" t="s">
        <v>14</v>
      </c>
      <c r="W15" s="706">
        <f t="shared" si="2"/>
        <v>100</v>
      </c>
      <c r="X15" s="1354"/>
      <c r="Y15" s="3676"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677"/>
      <c r="Q16" s="1351"/>
      <c r="R16" s="705"/>
      <c r="S16" s="706"/>
      <c r="T16" s="705"/>
      <c r="U16" s="706"/>
      <c r="V16" s="705"/>
      <c r="W16" s="706"/>
      <c r="X16" s="1354"/>
      <c r="Y16" s="3677"/>
      <c r="Z16" s="1355"/>
      <c r="AA16" s="1352">
        <v>1</v>
      </c>
      <c r="AB16" s="1352">
        <v>1</v>
      </c>
      <c r="AC16" s="1352">
        <v>1</v>
      </c>
    </row>
    <row r="17" spans="1:29" ht="71.25" hidden="1">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7"/>
      <c r="Q17" s="1351" t="str">
        <f>B17</f>
        <v>商业繁华度</v>
      </c>
      <c r="R17" s="705" t="s">
        <v>14</v>
      </c>
      <c r="S17" s="706">
        <f>F17</f>
        <v>100</v>
      </c>
      <c r="T17" s="705" t="s">
        <v>14</v>
      </c>
      <c r="U17" s="706">
        <f>H17</f>
        <v>100</v>
      </c>
      <c r="V17" s="705" t="s">
        <v>14</v>
      </c>
      <c r="W17" s="706">
        <f>J17</f>
        <v>100</v>
      </c>
      <c r="X17" s="1354"/>
      <c r="Y17" s="3677"/>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677"/>
      <c r="Q18" s="1351"/>
      <c r="R18" s="705"/>
      <c r="S18" s="706"/>
      <c r="T18" s="705"/>
      <c r="U18" s="706"/>
      <c r="V18" s="705"/>
      <c r="W18" s="706"/>
      <c r="X18" s="1354"/>
      <c r="Y18" s="3677"/>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100</v>
      </c>
      <c r="I19" s="410"/>
      <c r="J19" s="401">
        <f>SUMIF(91:91,I20,92:92)-SUMIF(91:91,C20,92:92)+100</f>
        <v>103</v>
      </c>
      <c r="K19" s="621">
        <v>3</v>
      </c>
      <c r="L19" s="2721"/>
      <c r="M19" s="2715"/>
      <c r="N19" s="2715"/>
      <c r="O19" s="2773"/>
      <c r="P19" s="3677"/>
      <c r="Q19" s="1351" t="str">
        <f>B19</f>
        <v>办公集聚程度</v>
      </c>
      <c r="R19" s="705" t="s">
        <v>14</v>
      </c>
      <c r="S19" s="706">
        <f>F19</f>
        <v>103</v>
      </c>
      <c r="T19" s="705" t="s">
        <v>14</v>
      </c>
      <c r="U19" s="706">
        <f>H19</f>
        <v>100</v>
      </c>
      <c r="V19" s="705" t="s">
        <v>14</v>
      </c>
      <c r="W19" s="706">
        <f>J19</f>
        <v>103</v>
      </c>
      <c r="X19" s="1354"/>
      <c r="Y19" s="3677"/>
      <c r="Z19" s="1355" t="str">
        <f>Q19</f>
        <v>办公集聚程度</v>
      </c>
      <c r="AA19" s="1352">
        <f t="shared" si="3"/>
        <v>0.970873786407767</v>
      </c>
      <c r="AB19" s="1352">
        <f t="shared" si="4"/>
        <v>1</v>
      </c>
      <c r="AC19" s="1352">
        <f t="shared" si="5"/>
        <v>0.970873786407767</v>
      </c>
    </row>
    <row r="20" spans="1:29" ht="15">
      <c r="A20" s="379"/>
      <c r="B20" s="407"/>
      <c r="C20" s="398" t="s">
        <v>3594</v>
      </c>
      <c r="D20" s="399"/>
      <c r="E20" s="1897" t="s">
        <v>3595</v>
      </c>
      <c r="F20" s="399"/>
      <c r="G20" s="1897" t="s">
        <v>3594</v>
      </c>
      <c r="H20" s="399"/>
      <c r="I20" s="1896" t="s">
        <v>3595</v>
      </c>
      <c r="J20" s="399"/>
      <c r="K20" s="620"/>
      <c r="L20" s="2721"/>
      <c r="M20" s="2715"/>
      <c r="N20" s="2715"/>
      <c r="O20" s="2773"/>
      <c r="P20" s="3677"/>
      <c r="Q20" s="1351"/>
      <c r="R20" s="705"/>
      <c r="S20" s="706"/>
      <c r="T20" s="705"/>
      <c r="U20" s="706"/>
      <c r="V20" s="705"/>
      <c r="W20" s="706"/>
      <c r="X20" s="1354"/>
      <c r="Y20" s="3677"/>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100</v>
      </c>
      <c r="I21" s="405"/>
      <c r="J21" s="401">
        <f>SUMIF(93:93,I22,94:94)-SUMIF(93:93,C22,94:94)+100</f>
        <v>102</v>
      </c>
      <c r="K21" s="621">
        <v>2</v>
      </c>
      <c r="L21" s="2721"/>
      <c r="M21" s="2715"/>
      <c r="N21" s="2715"/>
      <c r="O21" s="2773"/>
      <c r="P21" s="3677"/>
      <c r="Q21" s="1351" t="str">
        <f>B21</f>
        <v>交通便捷度</v>
      </c>
      <c r="R21" s="705" t="s">
        <v>14</v>
      </c>
      <c r="S21" s="706">
        <f>F21</f>
        <v>102</v>
      </c>
      <c r="T21" s="705" t="s">
        <v>14</v>
      </c>
      <c r="U21" s="706">
        <f>H21</f>
        <v>100</v>
      </c>
      <c r="V21" s="705" t="s">
        <v>14</v>
      </c>
      <c r="W21" s="706">
        <f>J21</f>
        <v>102</v>
      </c>
      <c r="X21" s="1354"/>
      <c r="Y21" s="3677"/>
      <c r="Z21" s="1355" t="str">
        <f>Q21</f>
        <v>交通便捷度</v>
      </c>
      <c r="AA21" s="1352">
        <f t="shared" si="3"/>
        <v>0.98039215686274506</v>
      </c>
      <c r="AB21" s="1352">
        <f t="shared" si="4"/>
        <v>1</v>
      </c>
      <c r="AC21" s="1352">
        <f t="shared" si="5"/>
        <v>0.98039215686274506</v>
      </c>
    </row>
    <row r="22" spans="1:29" ht="15">
      <c r="A22" s="379"/>
      <c r="B22" s="1131"/>
      <c r="C22" s="398" t="s">
        <v>3594</v>
      </c>
      <c r="D22" s="401"/>
      <c r="E22" s="1897" t="s">
        <v>3595</v>
      </c>
      <c r="F22" s="399"/>
      <c r="G22" s="1897" t="s">
        <v>3594</v>
      </c>
      <c r="H22" s="399"/>
      <c r="I22" s="1896" t="s">
        <v>3595</v>
      </c>
      <c r="J22" s="399"/>
      <c r="K22" s="620"/>
      <c r="L22" s="2721"/>
      <c r="M22" s="2715"/>
      <c r="N22" s="2715"/>
      <c r="O22" s="2773"/>
      <c r="P22" s="3677"/>
      <c r="Q22" s="1351"/>
      <c r="R22" s="705"/>
      <c r="S22" s="706"/>
      <c r="T22" s="705"/>
      <c r="U22" s="706"/>
      <c r="V22" s="705"/>
      <c r="W22" s="706"/>
      <c r="X22" s="1354"/>
      <c r="Y22" s="3677"/>
      <c r="Z22" s="1355"/>
      <c r="AA22" s="1352">
        <v>1</v>
      </c>
      <c r="AB22" s="1352">
        <v>1</v>
      </c>
      <c r="AC22" s="1352">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677"/>
      <c r="Q23" s="1351" t="str">
        <f t="shared" ref="Q23:Q37" si="8">B23</f>
        <v>区域土地利用方向</v>
      </c>
      <c r="R23" s="705" t="s">
        <v>14</v>
      </c>
      <c r="S23" s="706">
        <f>F23</f>
        <v>100</v>
      </c>
      <c r="T23" s="705" t="s">
        <v>14</v>
      </c>
      <c r="U23" s="706">
        <f>H23</f>
        <v>100</v>
      </c>
      <c r="V23" s="705" t="s">
        <v>14</v>
      </c>
      <c r="W23" s="706">
        <f>J23</f>
        <v>100</v>
      </c>
      <c r="X23" s="1354"/>
      <c r="Y23" s="3677"/>
      <c r="Z23" s="1355" t="str">
        <f>Q23</f>
        <v>区域土地利用方向</v>
      </c>
      <c r="AA23" s="1352">
        <f t="shared" si="3"/>
        <v>1</v>
      </c>
      <c r="AB23" s="1352">
        <f t="shared" si="4"/>
        <v>1</v>
      </c>
      <c r="AC23" s="1352">
        <f t="shared" si="5"/>
        <v>1</v>
      </c>
    </row>
    <row r="24" spans="1:29" ht="15">
      <c r="A24" s="358"/>
      <c r="B24" s="407"/>
      <c r="C24" s="565" t="s">
        <v>3595</v>
      </c>
      <c r="D24" s="399"/>
      <c r="E24" s="1896" t="s">
        <v>3595</v>
      </c>
      <c r="F24" s="399"/>
      <c r="G24" s="1896" t="s">
        <v>3595</v>
      </c>
      <c r="H24" s="399"/>
      <c r="I24" s="1896" t="s">
        <v>3595</v>
      </c>
      <c r="J24" s="399"/>
      <c r="K24" s="740"/>
      <c r="L24" s="2721"/>
      <c r="M24" s="2715"/>
      <c r="N24" s="2715"/>
      <c r="O24" s="2773"/>
      <c r="P24" s="3677"/>
      <c r="Q24" s="1351"/>
      <c r="R24" s="705"/>
      <c r="S24" s="706"/>
      <c r="T24" s="705"/>
      <c r="U24" s="706"/>
      <c r="V24" s="705"/>
      <c r="W24" s="706"/>
      <c r="X24" s="1354"/>
      <c r="Y24" s="3677"/>
      <c r="Z24" s="1355"/>
      <c r="AA24" s="1352"/>
      <c r="AB24" s="1352"/>
      <c r="AC24" s="1352"/>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1"/>
      <c r="M25" s="2715"/>
      <c r="N25" s="2715"/>
      <c r="O25" s="2773"/>
      <c r="P25" s="3677"/>
      <c r="Q25" s="1351" t="str">
        <f t="shared" si="8"/>
        <v>自然及人文环境状况</v>
      </c>
      <c r="R25" s="705" t="s">
        <v>14</v>
      </c>
      <c r="S25" s="706">
        <f>F25</f>
        <v>100</v>
      </c>
      <c r="T25" s="705" t="s">
        <v>14</v>
      </c>
      <c r="U25" s="706">
        <f>H25</f>
        <v>100</v>
      </c>
      <c r="V25" s="705" t="s">
        <v>14</v>
      </c>
      <c r="W25" s="706">
        <f>J25</f>
        <v>100</v>
      </c>
      <c r="X25" s="1354"/>
      <c r="Y25" s="3677"/>
      <c r="Z25" s="1355" t="str">
        <f>Q25</f>
        <v>自然及人文环境状况</v>
      </c>
      <c r="AA25" s="1352">
        <f t="shared" si="3"/>
        <v>1</v>
      </c>
      <c r="AB25" s="1352">
        <f t="shared" si="4"/>
        <v>1</v>
      </c>
      <c r="AC25" s="1352">
        <f t="shared" si="5"/>
        <v>1</v>
      </c>
    </row>
    <row r="26" spans="1:29" ht="15">
      <c r="A26" s="358"/>
      <c r="B26" s="407"/>
      <c r="C26" s="565" t="s">
        <v>3595</v>
      </c>
      <c r="D26" s="399"/>
      <c r="E26" s="1896" t="s">
        <v>3595</v>
      </c>
      <c r="F26" s="399"/>
      <c r="G26" s="1896" t="s">
        <v>3595</v>
      </c>
      <c r="H26" s="399"/>
      <c r="I26" s="1896" t="s">
        <v>3595</v>
      </c>
      <c r="J26" s="399"/>
      <c r="K26" s="620"/>
      <c r="L26" s="2721"/>
      <c r="M26" s="2715"/>
      <c r="N26" s="2715"/>
      <c r="O26" s="2773"/>
      <c r="P26" s="3677"/>
      <c r="Q26" s="1351"/>
      <c r="R26" s="705"/>
      <c r="S26" s="706"/>
      <c r="T26" s="705"/>
      <c r="U26" s="706"/>
      <c r="V26" s="705"/>
      <c r="W26" s="706"/>
      <c r="X26" s="1354"/>
      <c r="Y26" s="3677"/>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6"/>
      <c r="M27" s="2717"/>
      <c r="N27" s="2717"/>
      <c r="O27" s="2771"/>
      <c r="P27" s="3677"/>
      <c r="Q27" s="1342" t="str">
        <f t="shared" si="8"/>
        <v>公共配套设施</v>
      </c>
      <c r="R27" s="701" t="s">
        <v>14</v>
      </c>
      <c r="S27" s="702">
        <f>F27</f>
        <v>100</v>
      </c>
      <c r="T27" s="701" t="s">
        <v>14</v>
      </c>
      <c r="U27" s="702">
        <f>H27</f>
        <v>100</v>
      </c>
      <c r="V27" s="701" t="s">
        <v>14</v>
      </c>
      <c r="W27" s="702">
        <f>J27</f>
        <v>100</v>
      </c>
      <c r="X27" s="703"/>
      <c r="Y27" s="3677"/>
      <c r="Z27" s="52" t="str">
        <f>Q27</f>
        <v>公共配套设施</v>
      </c>
      <c r="AA27" s="1352">
        <f>D27/F27</f>
        <v>1</v>
      </c>
      <c r="AB27" s="1352">
        <f>D27/H27</f>
        <v>1</v>
      </c>
      <c r="AC27" s="1352">
        <f>D27/J27</f>
        <v>1</v>
      </c>
    </row>
    <row r="28" spans="1:29" s="108" customFormat="1" ht="15">
      <c r="A28" s="597"/>
      <c r="B28" s="407"/>
      <c r="C28" s="1977" t="s">
        <v>3595</v>
      </c>
      <c r="D28" s="399"/>
      <c r="E28" s="1896" t="s">
        <v>3595</v>
      </c>
      <c r="F28" s="399"/>
      <c r="G28" s="1896" t="s">
        <v>3595</v>
      </c>
      <c r="H28" s="399"/>
      <c r="I28" s="1896" t="s">
        <v>3595</v>
      </c>
      <c r="J28" s="399"/>
      <c r="K28" s="620"/>
      <c r="L28" s="2716"/>
      <c r="M28" s="2717"/>
      <c r="N28" s="2717"/>
      <c r="O28" s="2771"/>
      <c r="P28" s="3677"/>
      <c r="Q28" s="1342"/>
      <c r="R28" s="701"/>
      <c r="S28" s="702"/>
      <c r="T28" s="701"/>
      <c r="U28" s="702"/>
      <c r="V28" s="701"/>
      <c r="W28" s="702"/>
      <c r="X28" s="703"/>
      <c r="Y28" s="3677"/>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77"/>
      <c r="Q29" s="1342"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2">
        <f>D29/F29</f>
        <v>1</v>
      </c>
      <c r="AB29" s="1352">
        <f>D29/H29</f>
        <v>1</v>
      </c>
      <c r="AC29" s="1352">
        <f>D29/J29</f>
        <v>1</v>
      </c>
    </row>
    <row r="30" spans="1:29" s="108" customFormat="1" ht="15.75" thickBot="1">
      <c r="A30" s="597"/>
      <c r="B30" s="407"/>
      <c r="C30" s="1977" t="s">
        <v>3589</v>
      </c>
      <c r="D30" s="399"/>
      <c r="E30" s="1977" t="s">
        <v>3589</v>
      </c>
      <c r="F30" s="399"/>
      <c r="G30" s="1977" t="s">
        <v>3589</v>
      </c>
      <c r="H30" s="399"/>
      <c r="I30" s="1977" t="s">
        <v>3589</v>
      </c>
      <c r="J30" s="399"/>
      <c r="K30" s="620"/>
      <c r="L30" s="2716"/>
      <c r="M30" s="2717"/>
      <c r="N30" s="2717"/>
      <c r="O30" s="2771"/>
      <c r="P30" s="3677"/>
      <c r="Q30" s="1342"/>
      <c r="R30" s="701"/>
      <c r="S30" s="702"/>
      <c r="T30" s="701"/>
      <c r="U30" s="702"/>
      <c r="V30" s="701"/>
      <c r="W30" s="702"/>
      <c r="X30" s="703"/>
      <c r="Y30" s="3677"/>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7"/>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7"/>
      <c r="Q32" s="1351" t="str">
        <f t="shared" si="8"/>
        <v>毗邻道路的类型与等级</v>
      </c>
      <c r="R32" s="705" t="s">
        <v>14</v>
      </c>
      <c r="S32" s="706">
        <f t="shared" si="10"/>
        <v>100</v>
      </c>
      <c r="T32" s="705" t="s">
        <v>14</v>
      </c>
      <c r="U32" s="706">
        <f t="shared" si="11"/>
        <v>100</v>
      </c>
      <c r="V32" s="705" t="s">
        <v>14</v>
      </c>
      <c r="W32" s="706">
        <f t="shared" si="12"/>
        <v>100</v>
      </c>
      <c r="X32" s="1354"/>
      <c r="Y32" s="3677"/>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1"/>
      <c r="M33" s="2715"/>
      <c r="N33" s="2715"/>
      <c r="O33" s="2773"/>
      <c r="P33" s="3677"/>
      <c r="Q33" s="1351"/>
      <c r="R33" s="705"/>
      <c r="S33" s="706"/>
      <c r="T33" s="705"/>
      <c r="U33" s="706"/>
      <c r="V33" s="705"/>
      <c r="W33" s="706"/>
      <c r="X33" s="1354"/>
      <c r="Y33" s="3677"/>
      <c r="Z33" s="1355"/>
      <c r="AA33" s="1352">
        <v>1</v>
      </c>
      <c r="AB33" s="1352">
        <v>1</v>
      </c>
      <c r="AC33" s="1352">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7"/>
      <c r="Q34" s="1351" t="str">
        <f t="shared" si="8"/>
        <v>土地级别</v>
      </c>
      <c r="R34" s="705" t="s">
        <v>14</v>
      </c>
      <c r="S34" s="706">
        <f t="shared" si="10"/>
        <v>100</v>
      </c>
      <c r="T34" s="705" t="s">
        <v>14</v>
      </c>
      <c r="U34" s="706">
        <f t="shared" si="11"/>
        <v>100</v>
      </c>
      <c r="V34" s="705" t="s">
        <v>14</v>
      </c>
      <c r="W34" s="706">
        <f t="shared" si="12"/>
        <v>100</v>
      </c>
      <c r="X34" s="1354"/>
      <c r="Y34" s="3677"/>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7"/>
      <c r="Q35" s="1351">
        <f t="shared" si="8"/>
        <v>111</v>
      </c>
      <c r="R35" s="705" t="s">
        <v>14</v>
      </c>
      <c r="S35" s="706">
        <f t="shared" si="10"/>
        <v>100</v>
      </c>
      <c r="T35" s="705" t="s">
        <v>14</v>
      </c>
      <c r="U35" s="706">
        <f t="shared" si="11"/>
        <v>100</v>
      </c>
      <c r="V35" s="705" t="s">
        <v>14</v>
      </c>
      <c r="W35" s="706">
        <f t="shared" si="12"/>
        <v>100</v>
      </c>
      <c r="X35" s="1354"/>
      <c r="Y35" s="3677"/>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2" t="s">
        <v>1695</v>
      </c>
      <c r="Q36" s="1351">
        <f t="shared" si="8"/>
        <v>111</v>
      </c>
      <c r="R36" s="705" t="s">
        <v>14</v>
      </c>
      <c r="S36" s="706">
        <f t="shared" si="10"/>
        <v>100</v>
      </c>
      <c r="T36" s="705" t="s">
        <v>14</v>
      </c>
      <c r="U36" s="706">
        <f t="shared" si="11"/>
        <v>100</v>
      </c>
      <c r="V36" s="705" t="s">
        <v>14</v>
      </c>
      <c r="W36" s="706">
        <f t="shared" si="12"/>
        <v>100</v>
      </c>
      <c r="X36" s="1354"/>
      <c r="Y36" s="3681"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1"/>
      <c r="Q37" s="1351">
        <f t="shared" si="8"/>
        <v>111</v>
      </c>
      <c r="R37" s="708" t="s">
        <v>14</v>
      </c>
      <c r="S37" s="709">
        <f t="shared" si="10"/>
        <v>100</v>
      </c>
      <c r="T37" s="708" t="s">
        <v>14</v>
      </c>
      <c r="U37" s="709">
        <f t="shared" si="11"/>
        <v>100</v>
      </c>
      <c r="V37" s="708" t="s">
        <v>14</v>
      </c>
      <c r="W37" s="709">
        <f t="shared" si="12"/>
        <v>100</v>
      </c>
      <c r="X37" s="710"/>
      <c r="Y37" s="3681"/>
      <c r="Z37" s="711">
        <f t="shared" si="13"/>
        <v>111</v>
      </c>
      <c r="AA37" s="1352">
        <f t="shared" si="3"/>
        <v>1</v>
      </c>
      <c r="AB37" s="1352">
        <f t="shared" si="4"/>
        <v>1</v>
      </c>
      <c r="AC37" s="1352">
        <f t="shared" si="5"/>
        <v>1</v>
      </c>
    </row>
    <row r="38" spans="1:29" ht="15">
      <c r="A38" s="423" t="s">
        <v>1693</v>
      </c>
      <c r="B38" s="407" t="s">
        <v>1872</v>
      </c>
      <c r="C38" s="627">
        <f>'数据-基础表'!A3</f>
        <v>6294.36</v>
      </c>
      <c r="D38" s="418">
        <v>100</v>
      </c>
      <c r="E38" s="627">
        <f>土地案例!E2</f>
        <v>64012.4</v>
      </c>
      <c r="F38" s="418">
        <f>LOOKUP(E38,116:116,117:117)-LOOKUP(C38,116:116,117:117)+100</f>
        <v>106</v>
      </c>
      <c r="G38" s="627">
        <f>土地案例!E3</f>
        <v>12136.3</v>
      </c>
      <c r="H38" s="418">
        <f>LOOKUP(G38,116:116,117:117)-LOOKUP(C38,116:116,117:117)+100</f>
        <v>100</v>
      </c>
      <c r="I38" s="479">
        <f>土地案例!E4</f>
        <v>28676.63</v>
      </c>
      <c r="J38" s="418">
        <f>LOOKUP(I38,116:116,117:117)-LOOKUP(C38,116:116,117:117)+100</f>
        <v>102</v>
      </c>
      <c r="K38" s="562"/>
      <c r="L38" s="2721"/>
      <c r="M38" s="2715"/>
      <c r="N38" s="2715"/>
      <c r="O38" s="2773"/>
      <c r="P38" s="3681"/>
      <c r="Q38" s="1351" t="str">
        <f>B38</f>
        <v>宗地面积</v>
      </c>
      <c r="R38" s="705" t="s">
        <v>14</v>
      </c>
      <c r="S38" s="706">
        <f t="shared" si="10"/>
        <v>106</v>
      </c>
      <c r="T38" s="705" t="s">
        <v>14</v>
      </c>
      <c r="U38" s="706">
        <f t="shared" si="11"/>
        <v>100</v>
      </c>
      <c r="V38" s="705" t="s">
        <v>14</v>
      </c>
      <c r="W38" s="706">
        <f t="shared" si="12"/>
        <v>102</v>
      </c>
      <c r="X38" s="1354"/>
      <c r="Y38" s="3681"/>
      <c r="Z38" s="1355" t="str">
        <f t="shared" si="13"/>
        <v>宗地面积</v>
      </c>
      <c r="AA38" s="1352">
        <f t="shared" si="3"/>
        <v>0.94339622641509435</v>
      </c>
      <c r="AB38" s="1352">
        <f t="shared" si="4"/>
        <v>1</v>
      </c>
      <c r="AC38" s="1352">
        <f t="shared" si="5"/>
        <v>0.98039215686274506</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1"/>
      <c r="Q39" s="1351" t="str">
        <f t="shared" ref="Q39:Q45" si="14">B39</f>
        <v>宗地形状</v>
      </c>
      <c r="R39" s="705" t="s">
        <v>14</v>
      </c>
      <c r="S39" s="706">
        <f t="shared" si="10"/>
        <v>100</v>
      </c>
      <c r="T39" s="705" t="s">
        <v>14</v>
      </c>
      <c r="U39" s="706">
        <f t="shared" si="11"/>
        <v>100</v>
      </c>
      <c r="V39" s="705" t="s">
        <v>14</v>
      </c>
      <c r="W39" s="706">
        <f t="shared" si="12"/>
        <v>100</v>
      </c>
      <c r="X39" s="1354"/>
      <c r="Y39" s="3681"/>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1"/>
      <c r="Q40" s="1351" t="str">
        <f t="shared" si="14"/>
        <v>临街宽度及深度</v>
      </c>
      <c r="R40" s="705" t="s">
        <v>14</v>
      </c>
      <c r="S40" s="706">
        <f t="shared" si="10"/>
        <v>100</v>
      </c>
      <c r="T40" s="705" t="s">
        <v>14</v>
      </c>
      <c r="U40" s="706">
        <f t="shared" si="11"/>
        <v>100</v>
      </c>
      <c r="V40" s="705" t="s">
        <v>14</v>
      </c>
      <c r="W40" s="706">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1875</v>
      </c>
      <c r="C41" s="1979" t="s">
        <v>3589</v>
      </c>
      <c r="D41" s="127">
        <v>100</v>
      </c>
      <c r="E41" s="1979" t="s">
        <v>3593</v>
      </c>
      <c r="F41" s="386">
        <f>SUMIF(122:122,E41,123:123)-SUMIF(122:122,C41,123:123)+100</f>
        <v>88</v>
      </c>
      <c r="G41" s="1979" t="s">
        <v>3590</v>
      </c>
      <c r="H41" s="386">
        <f>SUMIF(122:122,G41,123:123)-SUMIF(122:122,C41,123:123)+100</f>
        <v>97</v>
      </c>
      <c r="I41" s="1979" t="s">
        <v>3593</v>
      </c>
      <c r="J41" s="386">
        <f>SUMIF(122:122,I41,123:123)-SUMIF(122:122,C41,123:123)+100</f>
        <v>88</v>
      </c>
      <c r="K41" s="561">
        <v>3</v>
      </c>
      <c r="L41" s="2716"/>
      <c r="M41" s="2717"/>
      <c r="N41" s="2717"/>
      <c r="O41" s="2771"/>
      <c r="P41" s="3681"/>
      <c r="Q41" s="1351" t="str">
        <f t="shared" si="14"/>
        <v>宗地开发程度</v>
      </c>
      <c r="R41" s="701" t="s">
        <v>14</v>
      </c>
      <c r="S41" s="702">
        <f t="shared" si="10"/>
        <v>88</v>
      </c>
      <c r="T41" s="701" t="s">
        <v>14</v>
      </c>
      <c r="U41" s="702">
        <f t="shared" si="11"/>
        <v>97</v>
      </c>
      <c r="V41" s="701" t="s">
        <v>14</v>
      </c>
      <c r="W41" s="702">
        <f t="shared" si="12"/>
        <v>88</v>
      </c>
      <c r="X41" s="703"/>
      <c r="Y41" s="3681"/>
      <c r="Z41" s="52" t="str">
        <f t="shared" si="13"/>
        <v>宗地开发程度</v>
      </c>
      <c r="AA41" s="704">
        <f t="shared" si="3"/>
        <v>1.1363636363636365</v>
      </c>
      <c r="AB41" s="704">
        <f t="shared" si="4"/>
        <v>1.0309278350515463</v>
      </c>
      <c r="AC41" s="704">
        <f t="shared" si="5"/>
        <v>1.1363636363636365</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1" t="s">
        <v>1695</v>
      </c>
      <c r="Q42" s="1351" t="str">
        <f t="shared" si="14"/>
        <v>工程地质条件</v>
      </c>
      <c r="R42" s="705" t="s">
        <v>14</v>
      </c>
      <c r="S42" s="706">
        <f t="shared" si="10"/>
        <v>100</v>
      </c>
      <c r="T42" s="705" t="s">
        <v>14</v>
      </c>
      <c r="U42" s="706">
        <f t="shared" si="11"/>
        <v>100</v>
      </c>
      <c r="V42" s="705" t="s">
        <v>14</v>
      </c>
      <c r="W42" s="706">
        <f t="shared" si="12"/>
        <v>100</v>
      </c>
      <c r="X42" s="1354"/>
      <c r="Y42" s="3681" t="s">
        <v>1695</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1"/>
      <c r="Q43" s="1351">
        <f t="shared" si="14"/>
        <v>111</v>
      </c>
      <c r="R43" s="705" t="s">
        <v>14</v>
      </c>
      <c r="S43" s="706">
        <f t="shared" si="10"/>
        <v>100</v>
      </c>
      <c r="T43" s="705" t="s">
        <v>14</v>
      </c>
      <c r="U43" s="706">
        <f t="shared" si="11"/>
        <v>100</v>
      </c>
      <c r="V43" s="705" t="s">
        <v>14</v>
      </c>
      <c r="W43" s="706">
        <f t="shared" si="12"/>
        <v>100</v>
      </c>
      <c r="X43" s="1354"/>
      <c r="Y43" s="368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1"/>
      <c r="Q44" s="1351">
        <f t="shared" si="14"/>
        <v>111</v>
      </c>
      <c r="R44" s="705" t="s">
        <v>14</v>
      </c>
      <c r="S44" s="706">
        <f t="shared" si="10"/>
        <v>100</v>
      </c>
      <c r="T44" s="705" t="s">
        <v>14</v>
      </c>
      <c r="U44" s="706">
        <f t="shared" si="11"/>
        <v>100</v>
      </c>
      <c r="V44" s="705" t="s">
        <v>14</v>
      </c>
      <c r="W44" s="706">
        <f t="shared" si="12"/>
        <v>100</v>
      </c>
      <c r="X44" s="1354"/>
      <c r="Y44" s="368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1"/>
      <c r="Q45" s="1351">
        <f t="shared" si="14"/>
        <v>111</v>
      </c>
      <c r="R45" s="708" t="s">
        <v>14</v>
      </c>
      <c r="S45" s="709">
        <f t="shared" si="10"/>
        <v>100</v>
      </c>
      <c r="T45" s="708" t="s">
        <v>14</v>
      </c>
      <c r="U45" s="709">
        <f t="shared" si="11"/>
        <v>100</v>
      </c>
      <c r="V45" s="708" t="s">
        <v>14</v>
      </c>
      <c r="W45" s="709">
        <f t="shared" si="12"/>
        <v>100</v>
      </c>
      <c r="X45" s="710"/>
      <c r="Y45" s="3681"/>
      <c r="Z45" s="711">
        <f t="shared" si="13"/>
        <v>111</v>
      </c>
      <c r="AA45" s="1352">
        <f t="shared" si="3"/>
        <v>1</v>
      </c>
      <c r="AB45" s="1352">
        <f t="shared" si="4"/>
        <v>1</v>
      </c>
      <c r="AC45" s="1352">
        <f t="shared" si="5"/>
        <v>1</v>
      </c>
    </row>
    <row r="46" spans="1:29" ht="15">
      <c r="A46" s="430" t="s">
        <v>1843</v>
      </c>
      <c r="B46" s="1981" t="s">
        <v>1877</v>
      </c>
      <c r="C46" s="630" t="s">
        <v>0</v>
      </c>
      <c r="D46" s="432"/>
      <c r="E46" s="433">
        <f>土地案例!U2</f>
        <v>9217</v>
      </c>
      <c r="F46" s="434"/>
      <c r="G46" s="435">
        <f>土地案例!U3</f>
        <v>16715</v>
      </c>
      <c r="H46" s="436"/>
      <c r="I46" s="433">
        <f>土地案例!U4</f>
        <v>15300</v>
      </c>
      <c r="J46" s="436"/>
      <c r="K46" s="714"/>
      <c r="L46" s="2723"/>
      <c r="M46" s="2724"/>
      <c r="N46" s="2715"/>
      <c r="O46" s="2724"/>
      <c r="P46" s="3674" t="str">
        <f>A46</f>
        <v>成交单价</v>
      </c>
      <c r="Q46" s="3674"/>
      <c r="R46" s="3705">
        <f>E46</f>
        <v>9217</v>
      </c>
      <c r="S46" s="3705"/>
      <c r="T46" s="3705">
        <f>G46</f>
        <v>16715</v>
      </c>
      <c r="U46" s="3705"/>
      <c r="V46" s="3705">
        <f>I46</f>
        <v>15300</v>
      </c>
      <c r="W46" s="3705"/>
      <c r="X46" s="690"/>
      <c r="Y46" s="712"/>
      <c r="Z46" s="690"/>
      <c r="AA46" s="690"/>
      <c r="AB46" s="690"/>
      <c r="AC46" s="690"/>
    </row>
    <row r="47" spans="1:29" ht="15.75" thickBot="1">
      <c r="A47" s="437" t="s">
        <v>1792</v>
      </c>
      <c r="B47" s="631"/>
      <c r="C47" s="440">
        <f>R48</f>
        <v>9262</v>
      </c>
      <c r="D47" s="2316" t="s">
        <v>2136</v>
      </c>
      <c r="E47" s="440">
        <f>R47</f>
        <v>6074</v>
      </c>
      <c r="F47" s="2317"/>
      <c r="G47" s="439">
        <f>T47</f>
        <v>11129</v>
      </c>
      <c r="H47" s="2317"/>
      <c r="I47" s="440">
        <f>V47</f>
        <v>10582</v>
      </c>
      <c r="J47" s="2317"/>
      <c r="K47" s="2319">
        <f>F47+H47+J47</f>
        <v>0</v>
      </c>
      <c r="L47" s="2723"/>
      <c r="M47" s="2724"/>
      <c r="N47" s="2724"/>
      <c r="O47" s="2724"/>
      <c r="P47" s="3674" t="str">
        <f>A47</f>
        <v>比较价值（元/平方米）</v>
      </c>
      <c r="Q47" s="3674"/>
      <c r="R47" s="3734">
        <f>ROUND(PRODUCT(R46,AA7:AA45),0)</f>
        <v>6074</v>
      </c>
      <c r="S47" s="3734"/>
      <c r="T47" s="3734">
        <f>ROUND(PRODUCT(T46,AB7:AB45),0)</f>
        <v>11129</v>
      </c>
      <c r="U47" s="3734"/>
      <c r="V47" s="3734">
        <f>ROUND(PRODUCT(V46,AC7:AC45),0)</f>
        <v>10582</v>
      </c>
      <c r="W47" s="3734"/>
      <c r="X47" s="690"/>
      <c r="Y47" s="690"/>
      <c r="Z47" s="690"/>
      <c r="AA47" s="690"/>
      <c r="AB47" s="690"/>
      <c r="AC47" s="690"/>
    </row>
    <row r="48" spans="1:29" ht="15.75" thickBot="1">
      <c r="A48" s="441" t="s">
        <v>1878</v>
      </c>
      <c r="B48" s="442"/>
      <c r="C48" s="443">
        <f>R48</f>
        <v>9262</v>
      </c>
      <c r="D48" s="443"/>
      <c r="E48" s="443"/>
      <c r="F48" s="443"/>
      <c r="G48" s="443"/>
      <c r="H48" s="443"/>
      <c r="I48" s="443"/>
      <c r="J48" s="443"/>
      <c r="K48" s="715"/>
      <c r="L48" s="2723"/>
      <c r="M48" s="2724"/>
      <c r="N48" s="2724"/>
      <c r="O48" s="2724"/>
      <c r="P48" s="3671" t="str">
        <f>A48</f>
        <v>估价对象XX用房的比较价值（楼面单价，元/平方米）</v>
      </c>
      <c r="Q48" s="3672"/>
      <c r="R48" s="3735">
        <f>ROUND(IF(D47="简单平均",AVERAGE(R47:W47),R47*F47+T47*H47+V47*J47),0)</f>
        <v>9262</v>
      </c>
      <c r="S48" s="3735"/>
      <c r="T48" s="3735"/>
      <c r="U48" s="3735"/>
      <c r="V48" s="3735"/>
      <c r="W48" s="373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f>IF(E46&lt;E47,E47/E46-1,E46/E47-1)</f>
        <v>0.51745143233454072</v>
      </c>
      <c r="F51" s="449" t="str">
        <f>IF(OR(E51&gt;=0.3,E51&lt;=-0.3),"超过30%","")</f>
        <v>超过30%</v>
      </c>
      <c r="G51" s="448">
        <f>IF(G46&lt;G47,G47/G46-1,G46/G47-1)</f>
        <v>0.50193188965765123</v>
      </c>
      <c r="H51" s="449" t="str">
        <f>IF(OR(G51&gt;=0.3,G51&lt;=-0.3),"超过30%","")</f>
        <v>超过30%</v>
      </c>
      <c r="I51" s="448">
        <f>IF(I46&lt;I47,I47/I46-1,I46/I47-1)</f>
        <v>0.44585144585144576</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f>IF(E47&lt;G47,G47/E47-1,E47/G47-1)</f>
        <v>0.83223575897267033</v>
      </c>
      <c r="F52" s="449" t="str">
        <f>IF(OR(E52&gt;=0.2,E52&lt;=-0.2),"超过20%","")</f>
        <v>超过20%</v>
      </c>
      <c r="G52" s="448">
        <f>IF(G47&lt;I47,I47/G47-1,G47/I47-1)</f>
        <v>5.1691551691551707E-2</v>
      </c>
      <c r="H52" s="449" t="str">
        <f>IF(OR(G52&gt;=0.2,G52&lt;=-0.2),"超过20%","")</f>
        <v/>
      </c>
      <c r="I52" s="448">
        <f>IF(I47&lt;E47,E47/I47-1,I47/E47-1)</f>
        <v>0.74217978268027651</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f>IF(E46&lt;G46,G46/E46-1,E46/G46-1)</f>
        <v>0.81349679939242714</v>
      </c>
      <c r="F53" s="449" t="str">
        <f>IF(OR(E53&gt;=0.3,E53&lt;=-0.3),"超过30%","")</f>
        <v>超过30%</v>
      </c>
      <c r="G53" s="448">
        <f>IF(G46&lt;I46,I46/G46-1,G46/I46-1)</f>
        <v>9.2483660130718848E-2</v>
      </c>
      <c r="H53" s="449" t="str">
        <f>IF(OR(G53&gt;=0.3,G53&lt;=-0.3),"超过30%","")</f>
        <v/>
      </c>
      <c r="I53" s="448">
        <f>IF(I46&lt;E46,E46/I46-1,I46/E46-1)</f>
        <v>0.65997613106216768</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1879</v>
      </c>
      <c r="B55" s="633" t="s">
        <v>1880</v>
      </c>
      <c r="C55" s="1982" t="s">
        <v>1881</v>
      </c>
      <c r="D55" s="1983" t="s">
        <v>1882</v>
      </c>
      <c r="E55" s="634" t="s">
        <v>1883</v>
      </c>
      <c r="F55" s="890" t="s">
        <v>1884</v>
      </c>
      <c r="G55" s="3689" t="s">
        <v>1885</v>
      </c>
      <c r="H55" s="3736"/>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1888</v>
      </c>
      <c r="B56" s="637">
        <f>C48</f>
        <v>9262</v>
      </c>
      <c r="C56" s="638">
        <v>1</v>
      </c>
      <c r="D56" s="944">
        <v>1</v>
      </c>
      <c r="E56" s="638">
        <f>'数据-汇总表'!E8+'数据-汇总表'!E9</f>
        <v>32206.960000000006</v>
      </c>
      <c r="F56" s="886">
        <f t="shared" ref="F56:F64" si="15">ROUND(B56*E56/10000,0)</f>
        <v>29830</v>
      </c>
      <c r="G56" s="3685"/>
      <c r="H56" s="367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f>ROUND($C$48*C57*D57,0)</f>
        <v>0</v>
      </c>
      <c r="C57" s="171">
        <f t="shared" ref="C57:C64" si="16">IF($C$55="北京市系数",I57,J57)</f>
        <v>0</v>
      </c>
      <c r="D57" s="945">
        <v>0.25</v>
      </c>
      <c r="E57" s="642"/>
      <c r="F57" s="886">
        <f t="shared" si="15"/>
        <v>0</v>
      </c>
      <c r="G57" s="3005" t="s">
        <v>1890</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f t="shared" si="17"/>
        <v>0</v>
      </c>
      <c r="C60" s="171">
        <f t="shared" si="16"/>
        <v>0</v>
      </c>
      <c r="D60" s="945">
        <v>0.25</v>
      </c>
      <c r="E60" s="217">
        <f>'数据-汇总表'!E11</f>
        <v>0</v>
      </c>
      <c r="F60" s="886">
        <f t="shared" si="15"/>
        <v>0</v>
      </c>
      <c r="G60" s="1986" t="s">
        <v>1894</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f t="shared" si="17"/>
        <v>0</v>
      </c>
      <c r="C61" s="171">
        <f t="shared" si="16"/>
        <v>0</v>
      </c>
      <c r="D61" s="945">
        <v>0.25</v>
      </c>
      <c r="E61" s="217">
        <f>'数据-汇总表'!E12</f>
        <v>0</v>
      </c>
      <c r="F61" s="886">
        <f t="shared" si="15"/>
        <v>0</v>
      </c>
      <c r="G61" s="892" t="s">
        <v>1896</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f t="shared" si="17"/>
        <v>0</v>
      </c>
      <c r="C62" s="171">
        <f t="shared" si="16"/>
        <v>0</v>
      </c>
      <c r="D62" s="945">
        <v>0.25</v>
      </c>
      <c r="E62" s="217">
        <f>'数据-汇总表'!E13</f>
        <v>7219.03</v>
      </c>
      <c r="F62" s="886">
        <f t="shared" si="15"/>
        <v>0</v>
      </c>
      <c r="G62" s="892" t="s">
        <v>1898</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f t="shared" si="17"/>
        <v>0</v>
      </c>
      <c r="C63" s="171">
        <f t="shared" si="16"/>
        <v>0</v>
      </c>
      <c r="D63" s="945">
        <v>0.25</v>
      </c>
      <c r="E63" s="217">
        <f>'数据-汇总表'!E14</f>
        <v>0</v>
      </c>
      <c r="F63" s="886">
        <f t="shared" si="15"/>
        <v>0</v>
      </c>
      <c r="G63" s="1986" t="s">
        <v>1890</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1900</v>
      </c>
      <c r="B64" s="218">
        <f t="shared" si="17"/>
        <v>0</v>
      </c>
      <c r="C64" s="171">
        <f t="shared" si="16"/>
        <v>0</v>
      </c>
      <c r="D64" s="945">
        <v>0.25</v>
      </c>
      <c r="E64" s="217">
        <f>'数据-汇总表'!E15</f>
        <v>0</v>
      </c>
      <c r="F64" s="886">
        <f t="shared" si="15"/>
        <v>0</v>
      </c>
      <c r="G64" s="1987" t="s">
        <v>1894</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1901</v>
      </c>
      <c r="B65" s="644" t="s">
        <v>22</v>
      </c>
      <c r="C65" s="644" t="s">
        <v>23</v>
      </c>
      <c r="D65" s="644" t="s">
        <v>392</v>
      </c>
      <c r="E65" s="644">
        <f>IF(B46="楼面地价",SUM(E56:E64),'数据-汇总表'!D3)</f>
        <v>39425.990000000005</v>
      </c>
      <c r="F65" s="645">
        <f>IF(B46="楼面地价",SUM(F56:F64),ROUND(C48*E65/10000,0))</f>
        <v>29830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30">
        <v>44105</v>
      </c>
      <c r="Q67" s="2730">
        <v>44013</v>
      </c>
      <c r="R67" s="929">
        <v>43922</v>
      </c>
      <c r="S67" s="2730">
        <v>43831</v>
      </c>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1902</v>
      </c>
      <c r="B69" s="1109"/>
      <c r="C69" s="1181" t="str">
        <f>YEAR(C67)&amp;"-"&amp;ROUNDUP(MONTH(C67)/3,0)</f>
        <v>2024-1</v>
      </c>
      <c r="D69" s="1181" t="str">
        <f>YEAR(D67)&amp;"-"&amp;ROUNDUP(MONTH(D67)/3,0)</f>
        <v>2023-4</v>
      </c>
      <c r="E69" s="1181" t="str">
        <f t="shared" ref="E69:T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3802" t="str">
        <f>YEAR(P67)&amp;"-"&amp;ROUNDUP(MONTH(P67)/3,0)</f>
        <v>2020-4</v>
      </c>
      <c r="Q69" s="3802" t="str">
        <f t="shared" si="19"/>
        <v>2020-3</v>
      </c>
      <c r="R69" s="3802" t="str">
        <f t="shared" si="19"/>
        <v>2020-2</v>
      </c>
      <c r="S69" s="3802" t="str">
        <f t="shared" si="19"/>
        <v>2020-1</v>
      </c>
      <c r="T69" s="3802"/>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544">
        <v>100</v>
      </c>
      <c r="Q70" s="544">
        <v>100</v>
      </c>
      <c r="R70" s="544">
        <v>100</v>
      </c>
      <c r="S70" s="544">
        <v>100</v>
      </c>
      <c r="T70" s="544"/>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3800" t="s">
        <v>3583</v>
      </c>
      <c r="D74" s="3800" t="s">
        <v>3585</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5（含）-6</v>
      </c>
      <c r="I78" s="496" t="str">
        <f t="shared" si="20"/>
        <v>6（含）-7</v>
      </c>
      <c r="J78" s="496" t="str">
        <f t="shared" si="20"/>
        <v>7（含）-8</v>
      </c>
      <c r="K78" s="496" t="str">
        <f t="shared" si="20"/>
        <v>8（含）-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8">
        <v>8</v>
      </c>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99</v>
      </c>
      <c r="E80" s="493">
        <f t="shared" si="21"/>
        <v>98</v>
      </c>
      <c r="F80" s="493">
        <f t="shared" si="21"/>
        <v>97</v>
      </c>
      <c r="G80" s="493">
        <f t="shared" si="21"/>
        <v>96</v>
      </c>
      <c r="H80" s="493">
        <f t="shared" si="21"/>
        <v>95</v>
      </c>
      <c r="I80" s="493">
        <f t="shared" si="21"/>
        <v>94</v>
      </c>
      <c r="J80" s="493">
        <f t="shared" si="21"/>
        <v>93</v>
      </c>
      <c r="K80" s="493">
        <f t="shared" si="21"/>
        <v>92</v>
      </c>
      <c r="L80" s="493">
        <f t="shared" si="21"/>
        <v>91</v>
      </c>
      <c r="M80" s="493">
        <f t="shared" si="21"/>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是否自持</v>
      </c>
      <c r="C81" s="3801" t="s">
        <v>3599</v>
      </c>
      <c r="D81" s="503" t="s">
        <v>3588</v>
      </c>
      <c r="E81" s="503" t="s">
        <v>3586</v>
      </c>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v>90</v>
      </c>
      <c r="D82" s="485">
        <v>95</v>
      </c>
      <c r="E82" s="485">
        <v>100</v>
      </c>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3801"/>
      <c r="D83" s="3801"/>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1911</v>
      </c>
      <c r="C115" s="478" t="str">
        <f>C116&amp;"(含)"&amp;"-"&amp;D116</f>
        <v>0(含)-20000</v>
      </c>
      <c r="D115" s="478" t="str">
        <f t="shared" ref="D115:M115" si="25">D116&amp;"(含)"&amp;"-"&amp;E116</f>
        <v>20000(含)-40000</v>
      </c>
      <c r="E115" s="478" t="str">
        <f t="shared" si="25"/>
        <v>40000(含)-60000</v>
      </c>
      <c r="F115" s="478" t="str">
        <f t="shared" si="25"/>
        <v>60000(含)-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20000</v>
      </c>
      <c r="E116" s="544">
        <v>40000</v>
      </c>
      <c r="F116" s="544">
        <v>60000</v>
      </c>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v>102</v>
      </c>
      <c r="E117" s="540">
        <v>104</v>
      </c>
      <c r="F117" s="540">
        <v>106</v>
      </c>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t="s">
        <v>3589</v>
      </c>
      <c r="D122" s="503" t="s">
        <v>3590</v>
      </c>
      <c r="E122" s="503" t="s">
        <v>3591</v>
      </c>
      <c r="F122" s="503" t="s">
        <v>3592</v>
      </c>
      <c r="G122" s="503" t="s">
        <v>3593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97</v>
      </c>
      <c r="E123" s="493">
        <f t="shared" si="28"/>
        <v>94</v>
      </c>
      <c r="F123" s="493">
        <f t="shared" si="28"/>
        <v>91</v>
      </c>
      <c r="G123" s="493">
        <f t="shared" si="28"/>
        <v>88</v>
      </c>
      <c r="H123" s="493">
        <f t="shared" si="28"/>
        <v>85</v>
      </c>
      <c r="I123" s="493">
        <f t="shared" si="28"/>
        <v>82</v>
      </c>
      <c r="J123" s="493">
        <f t="shared" si="28"/>
        <v>79</v>
      </c>
      <c r="K123" s="493">
        <f t="shared" si="28"/>
        <v>76</v>
      </c>
      <c r="L123" s="493">
        <f t="shared" si="28"/>
        <v>73</v>
      </c>
      <c r="M123" s="494">
        <f t="shared" si="28"/>
        <v>70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2714"/>
      <c r="M4" s="2715"/>
      <c r="N4" s="2715"/>
      <c r="O4" s="2715"/>
      <c r="P4" s="3693" t="s">
        <v>1774</v>
      </c>
      <c r="Q4" s="3694"/>
      <c r="R4" s="3699" t="s">
        <v>1770</v>
      </c>
      <c r="S4" s="3700"/>
      <c r="T4" s="3699" t="s">
        <v>1771</v>
      </c>
      <c r="U4" s="3700"/>
      <c r="V4" s="3705" t="s">
        <v>1772</v>
      </c>
      <c r="W4" s="3705"/>
      <c r="X4" s="1354"/>
      <c r="Y4" s="3699" t="s">
        <v>1774</v>
      </c>
      <c r="Z4" s="3700"/>
      <c r="AA4" s="3686" t="s">
        <v>1770</v>
      </c>
      <c r="AB4" s="3687" t="s">
        <v>1771</v>
      </c>
      <c r="AC4" s="3686" t="s">
        <v>1772</v>
      </c>
    </row>
    <row r="5" spans="1:29" ht="15">
      <c r="A5" s="358"/>
      <c r="B5" s="359"/>
      <c r="C5" s="3708" t="s">
        <v>1672</v>
      </c>
      <c r="D5" s="3709"/>
      <c r="E5" s="3715" t="s">
        <v>1673</v>
      </c>
      <c r="F5" s="3716"/>
      <c r="G5" s="3708" t="s">
        <v>1674</v>
      </c>
      <c r="H5" s="3709"/>
      <c r="I5" s="3708" t="s">
        <v>1675</v>
      </c>
      <c r="J5" s="3709"/>
      <c r="K5" s="559"/>
      <c r="L5" s="2714"/>
      <c r="M5" s="2715"/>
      <c r="N5" s="2715"/>
      <c r="O5" s="2715"/>
      <c r="P5" s="3695"/>
      <c r="Q5" s="3696"/>
      <c r="R5" s="3701"/>
      <c r="S5" s="3702"/>
      <c r="T5" s="3701"/>
      <c r="U5" s="3702"/>
      <c r="V5" s="3705"/>
      <c r="W5" s="3705"/>
      <c r="X5" s="1354"/>
      <c r="Y5" s="3701"/>
      <c r="Z5" s="3702"/>
      <c r="AA5" s="3687"/>
      <c r="AB5" s="3687"/>
      <c r="AC5" s="3687"/>
    </row>
    <row r="6" spans="1:29" ht="15.75" thickBot="1">
      <c r="A6" s="360"/>
      <c r="B6" s="361"/>
      <c r="C6" s="3737" t="s">
        <v>1917</v>
      </c>
      <c r="D6" s="3738"/>
      <c r="E6" s="3739" t="s">
        <v>1917</v>
      </c>
      <c r="F6" s="3740"/>
      <c r="G6" s="3737" t="s">
        <v>1917</v>
      </c>
      <c r="H6" s="3738"/>
      <c r="I6" s="3737" t="s">
        <v>1917</v>
      </c>
      <c r="J6" s="3738"/>
      <c r="K6" s="559" t="s">
        <v>1677</v>
      </c>
      <c r="L6" s="2714"/>
      <c r="M6" s="2715"/>
      <c r="N6" s="2715"/>
      <c r="O6" s="2715"/>
      <c r="P6" s="3697"/>
      <c r="Q6" s="3698"/>
      <c r="R6" s="3701"/>
      <c r="S6" s="3702"/>
      <c r="T6" s="3703"/>
      <c r="U6" s="3704"/>
      <c r="V6" s="3705"/>
      <c r="W6" s="3705"/>
      <c r="X6" s="1354"/>
      <c r="Y6" s="3703"/>
      <c r="Z6" s="3704"/>
      <c r="AA6" s="3688"/>
      <c r="AB6" s="3688"/>
      <c r="AC6" s="3688"/>
    </row>
    <row r="7" spans="1:29" s="108" customFormat="1" ht="15.75" thickBot="1">
      <c r="A7" s="362" t="s">
        <v>1678</v>
      </c>
      <c r="B7" s="363"/>
      <c r="C7" s="364">
        <f>'数据-取费表'!B2</f>
        <v>45316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0" t="s">
        <v>1679</v>
      </c>
      <c r="Q7" s="3712"/>
      <c r="R7" s="701" t="s">
        <v>14</v>
      </c>
      <c r="S7" s="702">
        <f t="shared" ref="S7:S15" si="0">F7</f>
        <v>0</v>
      </c>
      <c r="T7" s="701" t="s">
        <v>14</v>
      </c>
      <c r="U7" s="702">
        <f t="shared" ref="U7:U15" si="1">H7</f>
        <v>0</v>
      </c>
      <c r="V7" s="701" t="s">
        <v>14</v>
      </c>
      <c r="W7" s="702">
        <f t="shared" ref="W7:W15" si="2">J7</f>
        <v>0</v>
      </c>
      <c r="X7" s="703"/>
      <c r="Y7" s="3710" t="s">
        <v>1679</v>
      </c>
      <c r="Z7" s="371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0" t="s">
        <v>1682</v>
      </c>
      <c r="Q8" s="3711"/>
      <c r="R8" s="701" t="s">
        <v>14</v>
      </c>
      <c r="S8" s="702">
        <f t="shared" si="0"/>
        <v>0</v>
      </c>
      <c r="T8" s="701" t="s">
        <v>14</v>
      </c>
      <c r="U8" s="702">
        <f t="shared" si="1"/>
        <v>0</v>
      </c>
      <c r="V8" s="701" t="s">
        <v>14</v>
      </c>
      <c r="W8" s="702">
        <f t="shared" si="2"/>
        <v>0</v>
      </c>
      <c r="X8" s="703"/>
      <c r="Y8" s="3710" t="s">
        <v>1682</v>
      </c>
      <c r="Z8" s="3711"/>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4" t="s">
        <v>1685</v>
      </c>
      <c r="Q9" s="1342"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74"/>
      <c r="Q10" s="1342" t="str">
        <f t="shared" si="6"/>
        <v>土地使用年限（年）</v>
      </c>
      <c r="R10" s="701" t="s">
        <v>14</v>
      </c>
      <c r="S10" s="702">
        <f t="shared" si="0"/>
        <v>115</v>
      </c>
      <c r="T10" s="701" t="s">
        <v>14</v>
      </c>
      <c r="U10" s="702">
        <f t="shared" si="1"/>
        <v>115</v>
      </c>
      <c r="V10" s="701" t="s">
        <v>14</v>
      </c>
      <c r="W10" s="702">
        <f t="shared" si="2"/>
        <v>115</v>
      </c>
      <c r="X10" s="703"/>
      <c r="Y10" s="3549"/>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4"/>
      <c r="Q11" s="1342"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4"/>
      <c r="Q12" s="1342">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4"/>
      <c r="Q13" s="1342">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4"/>
      <c r="Q14" s="1342">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1689</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6" t="s">
        <v>1690</v>
      </c>
      <c r="Q15" s="1351" t="str">
        <f t="shared" si="6"/>
        <v>产业集聚程度</v>
      </c>
      <c r="R15" s="705" t="s">
        <v>14</v>
      </c>
      <c r="S15" s="706">
        <f t="shared" si="0"/>
        <v>100</v>
      </c>
      <c r="T15" s="705" t="s">
        <v>14</v>
      </c>
      <c r="U15" s="706">
        <f t="shared" si="1"/>
        <v>100</v>
      </c>
      <c r="V15" s="705" t="s">
        <v>14</v>
      </c>
      <c r="W15" s="706">
        <f t="shared" si="2"/>
        <v>100</v>
      </c>
      <c r="X15" s="1354"/>
      <c r="Y15" s="3676"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7"/>
      <c r="Q16" s="1351"/>
      <c r="R16" s="705"/>
      <c r="S16" s="706"/>
      <c r="T16" s="705"/>
      <c r="U16" s="706"/>
      <c r="V16" s="705"/>
      <c r="W16" s="706"/>
      <c r="X16" s="1354"/>
      <c r="Y16" s="3677"/>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7"/>
      <c r="Q17" s="1351" t="str">
        <f>B17</f>
        <v>交通便捷度</v>
      </c>
      <c r="R17" s="705" t="s">
        <v>14</v>
      </c>
      <c r="S17" s="706">
        <f>F17</f>
        <v>100</v>
      </c>
      <c r="T17" s="705" t="s">
        <v>14</v>
      </c>
      <c r="U17" s="706">
        <f>H17</f>
        <v>100</v>
      </c>
      <c r="V17" s="705" t="s">
        <v>14</v>
      </c>
      <c r="W17" s="706">
        <f>J17</f>
        <v>100</v>
      </c>
      <c r="X17" s="1354"/>
      <c r="Y17" s="367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7"/>
      <c r="Q18" s="1351"/>
      <c r="R18" s="705"/>
      <c r="S18" s="706"/>
      <c r="T18" s="705"/>
      <c r="U18" s="706"/>
      <c r="V18" s="705"/>
      <c r="W18" s="706"/>
      <c r="X18" s="1354"/>
      <c r="Y18" s="3677"/>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7"/>
      <c r="Q19" s="1351" t="str">
        <f t="shared" ref="Q19:Q33" si="8">B19</f>
        <v>区域土地利用方向</v>
      </c>
      <c r="R19" s="705" t="s">
        <v>14</v>
      </c>
      <c r="S19" s="706">
        <f>F19</f>
        <v>100</v>
      </c>
      <c r="T19" s="705" t="s">
        <v>14</v>
      </c>
      <c r="U19" s="706">
        <f>H19</f>
        <v>100</v>
      </c>
      <c r="V19" s="705" t="s">
        <v>14</v>
      </c>
      <c r="W19" s="706">
        <f>J19</f>
        <v>100</v>
      </c>
      <c r="X19" s="1354"/>
      <c r="Y19" s="367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7"/>
      <c r="Q20" s="1351"/>
      <c r="R20" s="705"/>
      <c r="S20" s="706"/>
      <c r="T20" s="705"/>
      <c r="U20" s="706"/>
      <c r="V20" s="705"/>
      <c r="W20" s="706"/>
      <c r="X20" s="1354"/>
      <c r="Y20" s="3677"/>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7"/>
      <c r="Q21" s="1351" t="str">
        <f t="shared" si="8"/>
        <v>环境状况</v>
      </c>
      <c r="R21" s="705" t="s">
        <v>14</v>
      </c>
      <c r="S21" s="706">
        <f>F21</f>
        <v>100</v>
      </c>
      <c r="T21" s="705" t="s">
        <v>14</v>
      </c>
      <c r="U21" s="706">
        <f>H21</f>
        <v>100</v>
      </c>
      <c r="V21" s="705" t="s">
        <v>14</v>
      </c>
      <c r="W21" s="706">
        <f>J21</f>
        <v>100</v>
      </c>
      <c r="X21" s="1354"/>
      <c r="Y21" s="367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7"/>
      <c r="Q22" s="1351"/>
      <c r="R22" s="705"/>
      <c r="S22" s="706"/>
      <c r="T22" s="705"/>
      <c r="U22" s="706"/>
      <c r="V22" s="705"/>
      <c r="W22" s="706"/>
      <c r="X22" s="1354"/>
      <c r="Y22" s="3677"/>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7"/>
      <c r="Q23" s="1342" t="str">
        <f t="shared" si="8"/>
        <v>公共配套设施</v>
      </c>
      <c r="R23" s="701" t="s">
        <v>14</v>
      </c>
      <c r="S23" s="702">
        <f>F23</f>
        <v>100</v>
      </c>
      <c r="T23" s="701" t="s">
        <v>14</v>
      </c>
      <c r="U23" s="702">
        <f>H23</f>
        <v>100</v>
      </c>
      <c r="V23" s="701" t="s">
        <v>14</v>
      </c>
      <c r="W23" s="702">
        <f>J23</f>
        <v>100</v>
      </c>
      <c r="X23" s="703"/>
      <c r="Y23" s="367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7"/>
      <c r="Q24" s="1342"/>
      <c r="R24" s="701"/>
      <c r="S24" s="702"/>
      <c r="T24" s="701"/>
      <c r="U24" s="702"/>
      <c r="V24" s="701"/>
      <c r="W24" s="702"/>
      <c r="X24" s="703"/>
      <c r="Y24" s="3677"/>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7"/>
      <c r="Q25" s="1342"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7"/>
      <c r="Q26" s="1342"/>
      <c r="R26" s="701"/>
      <c r="S26" s="702"/>
      <c r="T26" s="701"/>
      <c r="U26" s="702"/>
      <c r="V26" s="701"/>
      <c r="W26" s="702"/>
      <c r="X26" s="703"/>
      <c r="Y26" s="367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7"/>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7"/>
      <c r="Q28" s="1351" t="str">
        <f t="shared" si="8"/>
        <v>毗邻道路的类型与等级</v>
      </c>
      <c r="R28" s="705" t="s">
        <v>14</v>
      </c>
      <c r="S28" s="706">
        <f t="shared" si="10"/>
        <v>100</v>
      </c>
      <c r="T28" s="705" t="s">
        <v>14</v>
      </c>
      <c r="U28" s="706">
        <f t="shared" si="11"/>
        <v>100</v>
      </c>
      <c r="V28" s="705" t="s">
        <v>14</v>
      </c>
      <c r="W28" s="706">
        <f t="shared" si="12"/>
        <v>100</v>
      </c>
      <c r="X28" s="1354"/>
      <c r="Y28" s="367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7"/>
      <c r="Q29" s="1351"/>
      <c r="R29" s="705"/>
      <c r="S29" s="706"/>
      <c r="T29" s="705"/>
      <c r="U29" s="706"/>
      <c r="V29" s="705"/>
      <c r="W29" s="706"/>
      <c r="X29" s="1354"/>
      <c r="Y29" s="3677"/>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7"/>
      <c r="Q30" s="1351" t="str">
        <f t="shared" si="8"/>
        <v>土地级别</v>
      </c>
      <c r="R30" s="705" t="s">
        <v>14</v>
      </c>
      <c r="S30" s="706">
        <f t="shared" si="10"/>
        <v>100</v>
      </c>
      <c r="T30" s="705" t="s">
        <v>14</v>
      </c>
      <c r="U30" s="706">
        <f t="shared" si="11"/>
        <v>100</v>
      </c>
      <c r="V30" s="705" t="s">
        <v>14</v>
      </c>
      <c r="W30" s="706">
        <f t="shared" si="12"/>
        <v>100</v>
      </c>
      <c r="X30" s="1354"/>
      <c r="Y30" s="367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7"/>
      <c r="Q31" s="1351">
        <f t="shared" si="8"/>
        <v>111</v>
      </c>
      <c r="R31" s="705" t="s">
        <v>14</v>
      </c>
      <c r="S31" s="706">
        <f t="shared" si="10"/>
        <v>100</v>
      </c>
      <c r="T31" s="705" t="s">
        <v>14</v>
      </c>
      <c r="U31" s="706">
        <f t="shared" si="11"/>
        <v>100</v>
      </c>
      <c r="V31" s="705" t="s">
        <v>14</v>
      </c>
      <c r="W31" s="706">
        <f t="shared" si="12"/>
        <v>100</v>
      </c>
      <c r="X31" s="1354"/>
      <c r="Y31" s="367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2" t="s">
        <v>1695</v>
      </c>
      <c r="Q32" s="1351">
        <f t="shared" si="8"/>
        <v>111</v>
      </c>
      <c r="R32" s="705" t="s">
        <v>14</v>
      </c>
      <c r="S32" s="706">
        <f t="shared" si="10"/>
        <v>100</v>
      </c>
      <c r="T32" s="705" t="s">
        <v>14</v>
      </c>
      <c r="U32" s="706">
        <f t="shared" si="11"/>
        <v>100</v>
      </c>
      <c r="V32" s="705" t="s">
        <v>14</v>
      </c>
      <c r="W32" s="706">
        <f t="shared" si="12"/>
        <v>100</v>
      </c>
      <c r="X32" s="1354"/>
      <c r="Y32" s="3681"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1"/>
      <c r="Q33" s="1351">
        <f t="shared" si="8"/>
        <v>111</v>
      </c>
      <c r="R33" s="708" t="s">
        <v>14</v>
      </c>
      <c r="S33" s="709">
        <f t="shared" si="10"/>
        <v>100</v>
      </c>
      <c r="T33" s="708" t="s">
        <v>14</v>
      </c>
      <c r="U33" s="709">
        <f t="shared" si="11"/>
        <v>100</v>
      </c>
      <c r="V33" s="708" t="s">
        <v>14</v>
      </c>
      <c r="W33" s="709">
        <f t="shared" si="12"/>
        <v>100</v>
      </c>
      <c r="X33" s="710"/>
      <c r="Y33" s="3681"/>
      <c r="Z33" s="711">
        <f t="shared" si="13"/>
        <v>111</v>
      </c>
      <c r="AA33" s="1352">
        <f t="shared" si="3"/>
        <v>1</v>
      </c>
      <c r="AB33" s="1352">
        <f t="shared" si="4"/>
        <v>1</v>
      </c>
      <c r="AC33" s="1352">
        <f t="shared" si="5"/>
        <v>1</v>
      </c>
    </row>
    <row r="34" spans="1:31" ht="15">
      <c r="A34" s="391" t="s">
        <v>1693</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1"/>
      <c r="Q34" s="1351" t="str">
        <f>B34</f>
        <v>宗地面积</v>
      </c>
      <c r="R34" s="705" t="s">
        <v>14</v>
      </c>
      <c r="S34" s="706" t="e">
        <f t="shared" si="10"/>
        <v>#N/A</v>
      </c>
      <c r="T34" s="705" t="s">
        <v>14</v>
      </c>
      <c r="U34" s="706" t="e">
        <f t="shared" si="11"/>
        <v>#N/A</v>
      </c>
      <c r="V34" s="705" t="s">
        <v>14</v>
      </c>
      <c r="W34" s="706" t="e">
        <f t="shared" si="12"/>
        <v>#N/A</v>
      </c>
      <c r="X34" s="1354"/>
      <c r="Y34" s="3681"/>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1"/>
      <c r="Q35" s="1351" t="str">
        <f t="shared" ref="Q35:Q40" si="14">B35</f>
        <v>宗地形状</v>
      </c>
      <c r="R35" s="705" t="s">
        <v>14</v>
      </c>
      <c r="S35" s="706">
        <f t="shared" si="10"/>
        <v>100</v>
      </c>
      <c r="T35" s="705" t="s">
        <v>14</v>
      </c>
      <c r="U35" s="706">
        <f t="shared" si="11"/>
        <v>100</v>
      </c>
      <c r="V35" s="705" t="s">
        <v>14</v>
      </c>
      <c r="W35" s="706">
        <f t="shared" si="12"/>
        <v>100</v>
      </c>
      <c r="X35" s="1354"/>
      <c r="Y35" s="3681"/>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1"/>
      <c r="Q36" s="1351"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1" t="s">
        <v>1695</v>
      </c>
      <c r="Q37" s="1351" t="str">
        <f t="shared" si="14"/>
        <v>工程地质条件</v>
      </c>
      <c r="R37" s="705" t="s">
        <v>14</v>
      </c>
      <c r="S37" s="706">
        <f t="shared" si="10"/>
        <v>100</v>
      </c>
      <c r="T37" s="705" t="s">
        <v>14</v>
      </c>
      <c r="U37" s="706">
        <f t="shared" si="11"/>
        <v>100</v>
      </c>
      <c r="V37" s="705" t="s">
        <v>14</v>
      </c>
      <c r="W37" s="706">
        <f t="shared" si="12"/>
        <v>100</v>
      </c>
      <c r="X37" s="1354"/>
      <c r="Y37" s="3681"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1"/>
      <c r="Q38" s="1351">
        <f t="shared" si="14"/>
        <v>111</v>
      </c>
      <c r="R38" s="705" t="s">
        <v>14</v>
      </c>
      <c r="S38" s="706">
        <f t="shared" si="10"/>
        <v>100</v>
      </c>
      <c r="T38" s="705" t="s">
        <v>14</v>
      </c>
      <c r="U38" s="706">
        <f t="shared" si="11"/>
        <v>100</v>
      </c>
      <c r="V38" s="705" t="s">
        <v>14</v>
      </c>
      <c r="W38" s="706">
        <f t="shared" si="12"/>
        <v>100</v>
      </c>
      <c r="X38" s="1354"/>
      <c r="Y38" s="368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1"/>
      <c r="Q39" s="1351">
        <f t="shared" si="14"/>
        <v>111</v>
      </c>
      <c r="R39" s="705" t="s">
        <v>14</v>
      </c>
      <c r="S39" s="706">
        <f t="shared" si="10"/>
        <v>100</v>
      </c>
      <c r="T39" s="705" t="s">
        <v>14</v>
      </c>
      <c r="U39" s="706">
        <f t="shared" si="11"/>
        <v>100</v>
      </c>
      <c r="V39" s="705" t="s">
        <v>14</v>
      </c>
      <c r="W39" s="706">
        <f t="shared" si="12"/>
        <v>100</v>
      </c>
      <c r="X39" s="1354"/>
      <c r="Y39" s="368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1"/>
      <c r="Q40" s="1351">
        <f t="shared" si="14"/>
        <v>111</v>
      </c>
      <c r="R40" s="708" t="s">
        <v>14</v>
      </c>
      <c r="S40" s="709">
        <f t="shared" si="10"/>
        <v>100</v>
      </c>
      <c r="T40" s="708" t="s">
        <v>14</v>
      </c>
      <c r="U40" s="709">
        <f t="shared" si="11"/>
        <v>100</v>
      </c>
      <c r="V40" s="708" t="s">
        <v>14</v>
      </c>
      <c r="W40" s="709">
        <f t="shared" si="12"/>
        <v>100</v>
      </c>
      <c r="X40" s="710"/>
      <c r="Y40" s="3681"/>
      <c r="Z40" s="711">
        <f t="shared" si="13"/>
        <v>111</v>
      </c>
      <c r="AA40" s="1352">
        <f t="shared" si="3"/>
        <v>1</v>
      </c>
      <c r="AB40" s="1352">
        <f t="shared" si="4"/>
        <v>1</v>
      </c>
      <c r="AC40" s="1352">
        <f t="shared" si="5"/>
        <v>1</v>
      </c>
    </row>
    <row r="41" spans="1:31" ht="15">
      <c r="A41" s="430" t="s">
        <v>1843</v>
      </c>
      <c r="B41" s="1981" t="s">
        <v>1920</v>
      </c>
      <c r="C41" s="630" t="s">
        <v>0</v>
      </c>
      <c r="D41" s="432"/>
      <c r="E41" s="433"/>
      <c r="F41" s="434"/>
      <c r="G41" s="435"/>
      <c r="H41" s="436"/>
      <c r="I41" s="433"/>
      <c r="J41" s="436"/>
      <c r="K41" s="714"/>
      <c r="L41" s="2723"/>
      <c r="M41" s="2715"/>
      <c r="N41" s="2715"/>
      <c r="O41" s="2724"/>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23"/>
      <c r="M42" s="2715"/>
      <c r="N42" s="2715"/>
      <c r="O42" s="2724"/>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1879</v>
      </c>
      <c r="B50" s="633" t="s">
        <v>1880</v>
      </c>
      <c r="C50" s="1982" t="s">
        <v>1881</v>
      </c>
      <c r="D50" s="1983" t="s">
        <v>1882</v>
      </c>
      <c r="E50" s="634" t="s">
        <v>1883</v>
      </c>
      <c r="F50" s="635" t="s">
        <v>1884</v>
      </c>
      <c r="G50" s="3689" t="s">
        <v>1885</v>
      </c>
      <c r="H50" s="3736"/>
      <c r="I50" s="1355" t="s">
        <v>1921</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1888</v>
      </c>
      <c r="B51" s="637" t="e">
        <f>C43</f>
        <v>#DIV/0!</v>
      </c>
      <c r="C51" s="638">
        <v>1</v>
      </c>
      <c r="D51" s="944">
        <v>1</v>
      </c>
      <c r="E51" s="638">
        <f>'数据-汇总表'!E8+'数据-汇总表'!E9</f>
        <v>32206.960000000006</v>
      </c>
      <c r="F51" s="639" t="e">
        <f t="shared" ref="F51:F60" si="15">ROUND(B51*E51/10000,0)</f>
        <v>#DIV/0!</v>
      </c>
      <c r="G51" s="3685"/>
      <c r="H51" s="367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t="e">
        <f>ROUND($C$43*C52*D52,0)</f>
        <v>#DIV/0!</v>
      </c>
      <c r="C52" s="171">
        <f t="shared" ref="C52:C60" si="16">IF($C$50="北京市系数",I52,J52)</f>
        <v>0</v>
      </c>
      <c r="D52" s="945">
        <v>0.25</v>
      </c>
      <c r="E52" s="642"/>
      <c r="F52" s="639" t="e">
        <f t="shared" si="15"/>
        <v>#DIV/0!</v>
      </c>
      <c r="G52" s="3005" t="s">
        <v>1890</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t="e">
        <f t="shared" si="17"/>
        <v>#DIV/0!</v>
      </c>
      <c r="C56" s="171">
        <f t="shared" si="16"/>
        <v>0</v>
      </c>
      <c r="D56" s="945">
        <v>0.25</v>
      </c>
      <c r="E56" s="217">
        <f>'数据-汇总表'!E11</f>
        <v>0</v>
      </c>
      <c r="F56" s="639" t="e">
        <f t="shared" si="15"/>
        <v>#DIV/0!</v>
      </c>
      <c r="G56" s="1986" t="s">
        <v>1894</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t="e">
        <f t="shared" si="17"/>
        <v>#DIV/0!</v>
      </c>
      <c r="C58" s="171">
        <f t="shared" si="16"/>
        <v>0</v>
      </c>
      <c r="D58" s="945">
        <v>0.25</v>
      </c>
      <c r="E58" s="217">
        <f>'数据-汇总表'!E13</f>
        <v>7219.03</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t="e">
        <f t="shared" si="17"/>
        <v>#DIV/0!</v>
      </c>
      <c r="C59" s="171">
        <f t="shared" si="16"/>
        <v>0</v>
      </c>
      <c r="D59" s="945">
        <v>0.25</v>
      </c>
      <c r="E59" s="217">
        <f>'数据-汇总表'!E14</f>
        <v>0</v>
      </c>
      <c r="F59" s="639" t="e">
        <f t="shared" si="15"/>
        <v>#DIV/0!</v>
      </c>
      <c r="G59" s="1986" t="s">
        <v>1890</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1900</v>
      </c>
      <c r="B60" s="218" t="e">
        <f t="shared" si="17"/>
        <v>#DIV/0!</v>
      </c>
      <c r="C60" s="171">
        <f t="shared" si="16"/>
        <v>0</v>
      </c>
      <c r="D60" s="945">
        <v>0.25</v>
      </c>
      <c r="E60" s="217">
        <f>'数据-汇总表'!E15</f>
        <v>0</v>
      </c>
      <c r="F60" s="639" t="e">
        <f t="shared" si="15"/>
        <v>#DIV/0!</v>
      </c>
      <c r="G60" s="1987" t="s">
        <v>1894</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1901</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4" t="s">
        <v>2082</v>
      </c>
      <c r="D1" s="3745"/>
      <c r="E1" s="3745"/>
      <c r="F1" s="3745"/>
      <c r="G1" s="3745"/>
      <c r="H1" s="3745"/>
      <c r="I1" s="3745"/>
      <c r="J1" s="3745"/>
      <c r="K1" s="3745"/>
      <c r="L1" s="3745"/>
      <c r="M1" s="3745"/>
      <c r="N1" s="3745"/>
      <c r="O1" s="3745"/>
      <c r="P1" s="3745"/>
      <c r="Q1" s="3745"/>
      <c r="R1" s="3745"/>
      <c r="S1" s="374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11432</v>
      </c>
      <c r="C2" s="2144" t="s">
        <v>2072</v>
      </c>
      <c r="D2" s="2144" t="s">
        <v>2073</v>
      </c>
      <c r="E2" s="2611">
        <f ca="1">SUMIF(E6:E13,"&lt;&gt;#ref!",E6:E13)</f>
        <v>39425.990000000005</v>
      </c>
      <c r="F2" s="2792"/>
      <c r="G2" s="2792"/>
      <c r="H2" s="2792"/>
      <c r="I2" s="2792"/>
      <c r="J2" s="2792"/>
      <c r="K2" s="2792"/>
      <c r="L2" s="2792"/>
      <c r="M2" s="2792"/>
      <c r="N2" s="2792"/>
      <c r="O2" s="2792"/>
      <c r="P2" s="2792"/>
    </row>
    <row r="3" spans="1:16" ht="15.75">
      <c r="A3" s="2144" t="s">
        <v>2074</v>
      </c>
      <c r="B3" s="2601">
        <f ca="1">ROUND(B2*10000/E2,0)</f>
        <v>2900</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11432</v>
      </c>
      <c r="C6" s="2144" t="s">
        <v>2072</v>
      </c>
      <c r="D6" s="2792"/>
      <c r="E6" s="2611">
        <f ca="1">SUMIF(INDIRECT("'"&amp;A6&amp;"'"&amp;"!C:C"),"建筑面积",INDIRECT("'"&amp;A6&amp;"'"&amp;"!D:D"))</f>
        <v>39425.990000000005</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101" sqref="C10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39425.990000000005</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11432</v>
      </c>
      <c r="C2" s="1998" t="s">
        <v>1933</v>
      </c>
      <c r="D2" s="1999" t="s">
        <v>1934</v>
      </c>
      <c r="E2" s="3421" t="s">
        <v>3606</v>
      </c>
      <c r="F2" s="1999" t="s">
        <v>1935</v>
      </c>
      <c r="G2" s="2000" t="str">
        <f>IF(E2="商业",项目基本情况!B37,IF(E2="办公",项目基本情况!C37,IF(E2="住宅",项目基本情况!D37,IF(E2="工业",项目基本情况!E37,项目基本情况!F37))))</f>
        <v>七级</v>
      </c>
      <c r="H2" s="1999" t="s">
        <v>1936</v>
      </c>
      <c r="I2" s="2000" t="str">
        <f>IF(E2="商业",项目基本情况!B38,IF(E2="办公",项目基本情况!C38,IF(E2="住宅",项目基本情况!D38,IF(E2="工业",项目基本情况!E38,项目基本情况!F38))))</f>
        <v>Ⅶ-门1</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6066</v>
      </c>
      <c r="U2" s="1212"/>
      <c r="V2" s="3360">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2900</v>
      </c>
      <c r="C3" s="1998" t="s">
        <v>1939</v>
      </c>
      <c r="D3" s="1999" t="s">
        <v>1940</v>
      </c>
      <c r="E3" s="3419" t="s">
        <v>2460</v>
      </c>
      <c r="F3" s="2003" t="s">
        <v>3430</v>
      </c>
      <c r="G3" s="752">
        <f>IF(F3="宗地容积率",'数据-汇总表'!I4,IF(F3="估价对象容积率",'数据-汇总表'!I6,'数据-汇总表'!I7))</f>
        <v>5.16</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4781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4041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5450</v>
      </c>
      <c r="D5" s="1338">
        <f>ROUND(C6*C17+C20,0)</f>
        <v>5450</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3564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5450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3425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1950</v>
      </c>
      <c r="C7" s="755">
        <f>IF(C8="不临65条商业街",1,ROUND(1+(1.6*E8+1.2*E9+0.8*E10+0.4*E11)*C9,4))</f>
        <v>1</v>
      </c>
      <c r="D7" s="2021" t="s">
        <v>1951</v>
      </c>
      <c r="E7" s="776"/>
      <c r="F7" s="2022"/>
      <c r="G7" s="2023"/>
      <c r="H7" s="2023"/>
      <c r="I7" s="2023"/>
      <c r="J7" s="2024"/>
      <c r="K7" s="1383"/>
      <c r="L7" s="2002" t="s">
        <v>1952</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1953</v>
      </c>
      <c r="X7" s="1213" t="str">
        <f>G2</f>
        <v>七级</v>
      </c>
      <c r="Y7" s="1213" t="s">
        <v>1954</v>
      </c>
      <c r="Z7" s="1214">
        <f>G3</f>
        <v>5.16</v>
      </c>
      <c r="AA7" s="1215"/>
      <c r="AB7" s="1215"/>
      <c r="AC7" s="1216"/>
      <c r="AD7" s="1217"/>
      <c r="AE7" s="1217"/>
      <c r="AF7" s="1217"/>
      <c r="AG7" s="1217"/>
      <c r="AH7" s="1217"/>
      <c r="AI7" s="1217"/>
      <c r="AJ7" s="1218"/>
    </row>
    <row r="8" spans="1:36" ht="25.5">
      <c r="A8" s="3298"/>
      <c r="B8" s="170" t="s">
        <v>1955</v>
      </c>
      <c r="C8" s="2025" t="s">
        <v>3431</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51" t="s">
        <v>1958</v>
      </c>
      <c r="X8" s="3752"/>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8"/>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5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v>1</v>
      </c>
      <c r="D12" s="3306" t="s">
        <v>3242</v>
      </c>
      <c r="E12" s="3307" t="s">
        <v>3243</v>
      </c>
      <c r="F12" s="3308"/>
      <c r="G12" s="3309"/>
      <c r="H12" s="3309"/>
      <c r="I12" s="3309"/>
      <c r="J12" s="3310"/>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1980</v>
      </c>
      <c r="C13" s="755">
        <f>ROUND(C16*D16*E16*F16*G16*H16*I16*J16,4)</f>
        <v>0</v>
      </c>
      <c r="D13" s="2034" t="s">
        <v>1981</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1983</v>
      </c>
      <c r="C14" s="2040" t="s">
        <v>1984</v>
      </c>
      <c r="D14" s="1349" t="s">
        <v>1985</v>
      </c>
      <c r="E14" s="27" t="s">
        <v>1986</v>
      </c>
      <c r="F14" s="3311" t="s">
        <v>3245</v>
      </c>
      <c r="G14" s="3311" t="s">
        <v>3245</v>
      </c>
      <c r="H14" s="3311" t="s">
        <v>3245</v>
      </c>
      <c r="I14" s="3311" t="s">
        <v>3245</v>
      </c>
      <c r="J14" s="3311" t="s">
        <v>3245</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 ca="1">ROUND(G18/I18,2)</f>
        <v>0.87</v>
      </c>
      <c r="F17" s="3321" t="s">
        <v>3252</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3250</v>
      </c>
      <c r="E18" s="3328">
        <f ca="1">'数据-取费表'!AE6</f>
        <v>32.049999999999997</v>
      </c>
      <c r="F18" s="3323" t="s">
        <v>3253</v>
      </c>
      <c r="G18" s="3327">
        <f ca="1">ROUND(1-(1/(POWER(1+G24,E18))),4)</f>
        <v>0.79059999999999997</v>
      </c>
      <c r="H18" s="3323" t="s">
        <v>3255</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3251</v>
      </c>
      <c r="E19" s="3337">
        <f>'数据-取费表'!K16</f>
        <v>39707.960000000006</v>
      </c>
      <c r="F19" s="3338" t="s">
        <v>3254</v>
      </c>
      <c r="G19" s="3337">
        <f>E19</f>
        <v>39707.960000000006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8" t="s">
        <v>3256</v>
      </c>
      <c r="B20" s="167" t="s">
        <v>1992</v>
      </c>
      <c r="C20" s="3324">
        <f>ROUND(IF(F21="与级别开发程度一致",0,(G21-E21)/C21),0)</f>
        <v>0</v>
      </c>
      <c r="D20" s="3340" t="s">
        <v>1996</v>
      </c>
      <c r="E20" s="3341"/>
      <c r="F20" s="3764" t="s">
        <v>1993</v>
      </c>
      <c r="G20" s="3765"/>
      <c r="H20" s="3325" t="s">
        <v>3403</v>
      </c>
      <c r="I20" s="3325" t="s">
        <v>3403</v>
      </c>
      <c r="J20" s="3326" t="s">
        <v>3405</v>
      </c>
      <c r="K20" s="2046" t="s">
        <v>3406</v>
      </c>
      <c r="L20" s="2046" t="s">
        <v>3407</v>
      </c>
      <c r="M20" s="2046" t="s">
        <v>3408</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59"/>
      <c r="B21" s="2163" t="s">
        <v>1995</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3607</v>
      </c>
      <c r="G21" s="2156">
        <f>SUM(H21:O21)</f>
        <v>235</v>
      </c>
      <c r="H21" s="2164">
        <f>SUMPRODUCT((七通一平=H20)*(修正!B1:M1=G2)*(修正!B8:M16))</f>
        <v>70</v>
      </c>
      <c r="I21" s="2164">
        <f>SUMPRODUCT((七通一平=I20)*(修正!B1:M1=G2)*(修正!B8:M16))</f>
        <v>70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3" t="s">
        <v>2000</v>
      </c>
      <c r="E23" s="761">
        <v>44197</v>
      </c>
      <c r="F23" s="2053" t="s">
        <v>2001</v>
      </c>
      <c r="G23" s="762">
        <f>'数据-取费表'!B2</f>
        <v>45316</v>
      </c>
      <c r="H23" s="3342" t="s">
        <v>3258</v>
      </c>
      <c r="I23" s="3343" t="str">
        <f>IF(H23="季度增幅（自定义）",SUMIF(N25:N28,E2,O25:O28),"")</f>
        <v/>
      </c>
      <c r="J23" s="3445" t="s">
        <v>3257</v>
      </c>
      <c r="K23" s="1125"/>
      <c r="L23" s="2054" t="s">
        <v>2002</v>
      </c>
      <c r="M23" s="1327">
        <f>ROUND(SUMIF(地价!B2:G2,E2,地价!B16:G16),0)</f>
        <v>0</v>
      </c>
      <c r="N23" s="2055" t="s">
        <v>2003</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0.86619999999999997</v>
      </c>
      <c r="D24" s="2059" t="s">
        <v>2005</v>
      </c>
      <c r="E24" s="1334">
        <f>存贷款利率!E24/100</f>
        <v>4.3499999999999997E-2</v>
      </c>
      <c r="F24" s="2059" t="s">
        <v>1997</v>
      </c>
      <c r="G24" s="768">
        <f>SUMIF(M30:Q30,E2,M33:Q33)</f>
        <v>0.05</v>
      </c>
      <c r="H24" s="2059" t="s">
        <v>2006</v>
      </c>
      <c r="I24" s="769">
        <f>SUMIF('数据-取费表'!C6:C15,E2,'数据-取费表'!F6:F15)/COUNTIF('数据-取费表'!C6:C15,E2)</f>
        <v>32.049999999999997</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3337</v>
      </c>
      <c r="C25" s="771">
        <f>IF(B25="容积率修正",IF(G3&lt;10,D26,J26),C27)</f>
        <v>0.84540000000000004</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4" t="s">
        <v>3259</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3260</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1.0401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11432</v>
      </c>
      <c r="D30" s="2082"/>
      <c r="E30" s="2045"/>
      <c r="F30" s="2083"/>
      <c r="G30" s="2045"/>
      <c r="H30" s="2045"/>
      <c r="I30" s="2045"/>
      <c r="J30" s="2084"/>
      <c r="K30" s="1119"/>
      <c r="L30" s="3350" t="s">
        <v>1934</v>
      </c>
      <c r="M30" s="3351" t="s">
        <v>1988</v>
      </c>
      <c r="N30" s="3351" t="s">
        <v>1989</v>
      </c>
      <c r="O30" s="3351" t="s">
        <v>1990</v>
      </c>
      <c r="P30" s="3351" t="s">
        <v>1991</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110</v>
      </c>
      <c r="D31" s="2086"/>
      <c r="E31" s="2087"/>
      <c r="F31" s="2088"/>
      <c r="G31" s="2087"/>
      <c r="H31" s="2087"/>
      <c r="I31" s="2087"/>
      <c r="J31" s="2089"/>
      <c r="K31" s="1119"/>
      <c r="L31" s="3352" t="s">
        <v>1994</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3414</v>
      </c>
      <c r="D33" s="2097">
        <f>'数据-取费表'!K6</f>
        <v>32206.960000000006</v>
      </c>
      <c r="E33" s="773">
        <f>ROUND(C33*D33/10000,0)</f>
        <v>10995</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854</v>
      </c>
      <c r="D34" s="2102"/>
      <c r="E34" s="773">
        <f>ROUND(IF(B25="楼层修正",SUM(V2:V16)*M40,C34*D34/10000),0)</f>
        <v>0</v>
      </c>
      <c r="F34" s="2103" t="s">
        <v>2030</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6" t="s">
        <v>3263</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2"/>
      <c r="B37" s="2112" t="s">
        <v>2034</v>
      </c>
      <c r="C37" s="175">
        <f>ROUND(D5*C22*C23*C24*C28*F37,0)</f>
        <v>2423</v>
      </c>
      <c r="D37" s="2097"/>
      <c r="E37" s="171">
        <f>ROUND(C37*D37/10000,0)</f>
        <v>0</v>
      </c>
      <c r="F37" s="171">
        <f>SUMIF(修正!A57:A68,G2,修正!B57:B68)</f>
        <v>0.6</v>
      </c>
      <c r="G37" s="171">
        <f>ROUND(IF(E2="工业",C37*$M$42,C37*$M$41),0)</f>
        <v>606</v>
      </c>
      <c r="H37" s="171">
        <f>D37</f>
        <v>0</v>
      </c>
      <c r="I37" s="171">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3"/>
      <c r="B38" s="2040" t="s">
        <v>2035</v>
      </c>
      <c r="C38" s="175">
        <f>ROUND(D5*C22*C23*C24*C28*F38,0)</f>
        <v>1212</v>
      </c>
      <c r="D38" s="2097"/>
      <c r="E38" s="171">
        <f t="shared" ref="E38:E42" si="4">ROUND(C38*D38/10000,0)</f>
        <v>0</v>
      </c>
      <c r="F38" s="171">
        <f>SUMIF(修正!A57:A68,G2,修正!C57:C68)</f>
        <v>0.3</v>
      </c>
      <c r="G38" s="171">
        <f>ROUND(IF(E2="工业",C38*$M$42,C38*$M$41),0)</f>
        <v>303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3"/>
      <c r="B39" s="2040" t="s">
        <v>3261</v>
      </c>
      <c r="C39" s="175">
        <f>ROUND(D5*C22*C23*C24*C28*F39,0)</f>
        <v>1010</v>
      </c>
      <c r="D39" s="2097"/>
      <c r="E39" s="171">
        <f t="shared" si="4"/>
        <v>0</v>
      </c>
      <c r="F39" s="171">
        <f>SUMIF(修正!A57:A68,G2,修正!D57:D68)</f>
        <v>0.25</v>
      </c>
      <c r="G39" s="171">
        <f>ROUND(IF(E2="工业",C39*$M$42,C39*$M$41),0)</f>
        <v>253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1010</v>
      </c>
      <c r="D40" s="2097"/>
      <c r="E40" s="171">
        <f t="shared" si="4"/>
        <v>0</v>
      </c>
      <c r="F40" s="175">
        <f>SUMIF(修正!A57:A68,G2,修正!E57:E68)</f>
        <v>0.25</v>
      </c>
      <c r="G40" s="171">
        <f>ROUND(IF(E2="工业",C40*$M$42,C40*$M$41),0)</f>
        <v>253</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1010</v>
      </c>
      <c r="D41" s="2097"/>
      <c r="E41" s="171">
        <f t="shared" si="4"/>
        <v>0</v>
      </c>
      <c r="F41" s="175">
        <f>SUMIF(修正!A57:A68,G2,修正!F57:F68)</f>
        <v>0.25</v>
      </c>
      <c r="G41" s="171">
        <f>ROUND(IF(E2="工业",C41*$M$42,C41*$M$41),0)</f>
        <v>253</v>
      </c>
      <c r="H41" s="171">
        <f t="shared" si="5"/>
        <v>0</v>
      </c>
      <c r="I41" s="171">
        <f t="shared" si="6"/>
        <v>0</v>
      </c>
      <c r="J41" s="2113"/>
      <c r="L41" s="3359" t="s">
        <v>3269</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606</v>
      </c>
      <c r="D42" s="2102">
        <f>'数据-汇总表'!G20</f>
        <v>7219.03</v>
      </c>
      <c r="E42" s="187">
        <f t="shared" si="4"/>
        <v>437</v>
      </c>
      <c r="F42" s="767">
        <f>SUMIF(修正!A57:A68,G2,修正!G57:G68)</f>
        <v>0.15</v>
      </c>
      <c r="G42" s="187">
        <f>ROUND(IF(E2="工业",C42*$M$42,C42*$M$41),0)</f>
        <v>152</v>
      </c>
      <c r="H42" s="187">
        <f t="shared" si="5"/>
        <v>7219.03</v>
      </c>
      <c r="I42" s="187">
        <f t="shared" si="6"/>
        <v>110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0.86619999999999997</v>
      </c>
      <c r="D44" s="171" t="s">
        <v>1997</v>
      </c>
      <c r="E44" s="2152">
        <f>G24</f>
        <v>0.05</v>
      </c>
      <c r="F44" s="171" t="s">
        <v>2006</v>
      </c>
      <c r="G44" s="183">
        <f>项目基本情况!F15</f>
        <v>32.049999999999997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3271</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3271</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3271</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t="s">
        <v>3595</v>
      </c>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3594</v>
      </c>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3272</v>
      </c>
      <c r="B85" s="2133">
        <f>估价对象房地状况!G17</f>
        <v>0</v>
      </c>
      <c r="C85" s="2043" t="s">
        <v>3595</v>
      </c>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t="s">
        <v>3608</v>
      </c>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5" t="str">
        <f>估价对象房地状况!G19</f>
        <v>估价对象所在区域公共配套设施齐备情况</v>
      </c>
      <c r="C87" s="2043" t="s">
        <v>3594</v>
      </c>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2058</v>
      </c>
      <c r="B88" s="1325" t="str">
        <f>估价对象房地状况!G20</f>
        <v>估价对象所在区域基础设施水平</v>
      </c>
      <c r="C88" s="2043" t="s">
        <v>3609</v>
      </c>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2055</v>
      </c>
      <c r="B89" s="2135" t="s">
        <v>2069</v>
      </c>
      <c r="C89" s="2043" t="s">
        <v>3595</v>
      </c>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t="s">
        <v>3595</v>
      </c>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1.0401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t="s">
        <v>3595</v>
      </c>
      <c r="D93" s="3365">
        <f>SUMIF($J$92:$N$92,C93,J93:N93)</f>
        <v>1.6199999999999999E-2</v>
      </c>
      <c r="E93" s="3381">
        <f>ROUND(SUM(D93:D101),4)</f>
        <v>4.0099999999999997E-2</v>
      </c>
      <c r="F93" s="1813">
        <f>IF(E2="公共服务",SUMIF(L1:L12,G2,N1:N12),"——")</f>
        <v>0.13</v>
      </c>
      <c r="G93" s="3372">
        <v>1.6199999999999999E-2</v>
      </c>
      <c r="H93" s="3420">
        <f>IFERROR(ROUNDDOWN($F$93*I93/2,4),"——")</f>
        <v>1.6199999999999999E-2</v>
      </c>
      <c r="I93" s="3366">
        <v>0.25</v>
      </c>
      <c r="J93" s="3344">
        <f t="shared" ref="J93:J101" si="27">K93+$G93</f>
        <v>3.2399999999999998E-2</v>
      </c>
      <c r="K93" s="3344">
        <f t="shared" ref="K93:K101" si="28">$L93+$G93</f>
        <v>1.6199999999999999E-2</v>
      </c>
      <c r="L93" s="3344">
        <v>0</v>
      </c>
      <c r="M93" s="3344">
        <f t="shared" ref="M93:N101" si="29">L93-$G93</f>
        <v>-1.6199999999999999E-2</v>
      </c>
      <c r="N93" s="3344">
        <f t="shared" si="29"/>
        <v>-3.2399999999999998E-2</v>
      </c>
    </row>
    <row r="94" spans="1:37" ht="38.25">
      <c r="A94" s="3378" t="s">
        <v>3275</v>
      </c>
      <c r="B94" s="3369" t="str">
        <f>估价对象房地状况!C18</f>
        <v>估价对象周边道路状况、公共交通通达情况、停车便捷程度，综合评价交通便捷度较好</v>
      </c>
      <c r="C94" s="2043" t="s">
        <v>3594</v>
      </c>
      <c r="D94" s="3365">
        <f t="shared" ref="D94:D101" si="30">SUMIF($J$60:$N$60,C94,J94:N94)</f>
        <v>0</v>
      </c>
      <c r="E94" s="3382"/>
      <c r="F94" s="1813"/>
      <c r="G94" s="3372">
        <v>1.6899999999999998E-2</v>
      </c>
      <c r="H94" s="3420">
        <f>IFERROR(ROUNDDOWN($F$93*I94/2,4),"——")</f>
        <v>1.6899999999999998E-2</v>
      </c>
      <c r="I94" s="3366">
        <v>0.26</v>
      </c>
      <c r="J94" s="3344">
        <f t="shared" si="27"/>
        <v>3.3799999999999997E-2</v>
      </c>
      <c r="K94" s="3344">
        <f t="shared" si="28"/>
        <v>1.6899999999999998E-2</v>
      </c>
      <c r="L94" s="3344">
        <v>0</v>
      </c>
      <c r="M94" s="3344">
        <f t="shared" si="29"/>
        <v>-1.6899999999999998E-2</v>
      </c>
      <c r="N94" s="3344">
        <f t="shared" si="29"/>
        <v>-3.3799999999999997E-2</v>
      </c>
    </row>
    <row r="95" spans="1:37" ht="36">
      <c r="A95" s="3368" t="s">
        <v>3271</v>
      </c>
      <c r="B95" s="3369">
        <f>估价对象房地状况!C19</f>
        <v>0</v>
      </c>
      <c r="C95" s="2043" t="s">
        <v>3595</v>
      </c>
      <c r="D95" s="3365">
        <f t="shared" si="30"/>
        <v>7.1000000000000004E-3</v>
      </c>
      <c r="E95" s="3382"/>
      <c r="F95" s="1813"/>
      <c r="G95" s="3372">
        <v>7.1000000000000004E-3</v>
      </c>
      <c r="H95" s="3420">
        <f t="shared" ref="H95:H101" si="31">IFERROR(ROUNDDOWN($F$93*I95/2,4),"——")</f>
        <v>7.1000000000000004E-3</v>
      </c>
      <c r="I95" s="3366">
        <v>0.11</v>
      </c>
      <c r="J95" s="3344">
        <f t="shared" si="27"/>
        <v>1.4200000000000001E-2</v>
      </c>
      <c r="K95" s="3344">
        <f t="shared" si="28"/>
        <v>7.1000000000000004E-3</v>
      </c>
      <c r="L95" s="3344">
        <v>0</v>
      </c>
      <c r="M95" s="3344">
        <f t="shared" si="29"/>
        <v>-7.1000000000000004E-3</v>
      </c>
      <c r="N95" s="3344">
        <f t="shared" si="29"/>
        <v>-1.4200000000000001E-2</v>
      </c>
    </row>
    <row r="96" spans="1:37" ht="36.75">
      <c r="A96" s="3378" t="s">
        <v>3276</v>
      </c>
      <c r="B96" s="3384" t="s">
        <v>3287</v>
      </c>
      <c r="C96" s="2043" t="s">
        <v>3594</v>
      </c>
      <c r="D96" s="3365">
        <f t="shared" si="30"/>
        <v>0</v>
      </c>
      <c r="E96" s="3382"/>
      <c r="F96" s="1813"/>
      <c r="G96" s="3372">
        <v>3.2000000000000002E-3</v>
      </c>
      <c r="H96" s="3420">
        <f t="shared" si="31"/>
        <v>3.2000000000000002E-3</v>
      </c>
      <c r="I96" s="3366">
        <v>0.05</v>
      </c>
      <c r="J96" s="3344">
        <f t="shared" si="27"/>
        <v>6.4000000000000003E-3</v>
      </c>
      <c r="K96" s="3344">
        <f t="shared" si="28"/>
        <v>3.2000000000000002E-3</v>
      </c>
      <c r="L96" s="3344">
        <v>0</v>
      </c>
      <c r="M96" s="3344">
        <f t="shared" si="29"/>
        <v>-3.2000000000000002E-3</v>
      </c>
      <c r="N96" s="3344">
        <f t="shared" si="29"/>
        <v>-6.4000000000000003E-3</v>
      </c>
    </row>
    <row r="97" spans="1:14" ht="24">
      <c r="A97" s="3378" t="s">
        <v>3277</v>
      </c>
      <c r="B97" s="3369">
        <f>估价对象房地状况!C24</f>
        <v>0</v>
      </c>
      <c r="C97" s="2043" t="s">
        <v>3608</v>
      </c>
      <c r="D97" s="3365">
        <f t="shared" si="30"/>
        <v>-3.2000000000000002E-3</v>
      </c>
      <c r="E97" s="3382"/>
      <c r="F97" s="1813"/>
      <c r="G97" s="3372">
        <v>3.2000000000000002E-3</v>
      </c>
      <c r="H97" s="3420">
        <f t="shared" si="31"/>
        <v>3.2000000000000002E-3</v>
      </c>
      <c r="I97" s="3366">
        <v>0.05</v>
      </c>
      <c r="J97" s="3344">
        <f t="shared" si="27"/>
        <v>6.4000000000000003E-3</v>
      </c>
      <c r="K97" s="3344">
        <f t="shared" si="28"/>
        <v>3.2000000000000002E-3</v>
      </c>
      <c r="L97" s="3344">
        <v>0</v>
      </c>
      <c r="M97" s="3344">
        <f t="shared" si="29"/>
        <v>-3.2000000000000002E-3</v>
      </c>
      <c r="N97" s="3344">
        <f t="shared" si="29"/>
        <v>-6.4000000000000003E-3</v>
      </c>
    </row>
    <row r="98" spans="1:14" ht="24">
      <c r="A98" s="3378" t="s">
        <v>3278</v>
      </c>
      <c r="B98" s="3385" t="s">
        <v>3288</v>
      </c>
      <c r="C98" s="2043" t="s">
        <v>3595</v>
      </c>
      <c r="D98" s="3365">
        <f t="shared" si="30"/>
        <v>3.8999999999999998E-3</v>
      </c>
      <c r="E98" s="3382"/>
      <c r="F98" s="1813"/>
      <c r="G98" s="3372">
        <v>3.8999999999999998E-3</v>
      </c>
      <c r="H98" s="3420">
        <f t="shared" si="31"/>
        <v>3.8999999999999998E-3</v>
      </c>
      <c r="I98" s="3366">
        <v>0.06</v>
      </c>
      <c r="J98" s="3344">
        <f t="shared" si="27"/>
        <v>7.7999999999999996E-3</v>
      </c>
      <c r="K98" s="3344">
        <f t="shared" si="28"/>
        <v>3.8999999999999998E-3</v>
      </c>
      <c r="L98" s="3344">
        <v>0</v>
      </c>
      <c r="M98" s="3344">
        <f t="shared" si="29"/>
        <v>-3.8999999999999998E-3</v>
      </c>
      <c r="N98" s="3344">
        <f t="shared" si="29"/>
        <v>-7.7999999999999996E-3</v>
      </c>
    </row>
    <row r="99" spans="1:14" ht="25.5">
      <c r="A99" s="3378" t="s">
        <v>3279</v>
      </c>
      <c r="B99" s="3369" t="str">
        <f>估价对象房地状况!C21</f>
        <v>估价对象所在区域公共配套设施齐备情况</v>
      </c>
      <c r="C99" s="2043" t="s">
        <v>3594</v>
      </c>
      <c r="D99" s="3365">
        <f t="shared" si="30"/>
        <v>0</v>
      </c>
      <c r="E99" s="3382"/>
      <c r="F99" s="1813"/>
      <c r="G99" s="3372">
        <v>3.8999999999999998E-3</v>
      </c>
      <c r="H99" s="3420">
        <f t="shared" si="31"/>
        <v>3.8999999999999998E-3</v>
      </c>
      <c r="I99" s="3366">
        <v>0.06</v>
      </c>
      <c r="J99" s="3344">
        <f t="shared" si="27"/>
        <v>7.7999999999999996E-3</v>
      </c>
      <c r="K99" s="3344">
        <f t="shared" si="28"/>
        <v>3.8999999999999998E-3</v>
      </c>
      <c r="L99" s="3344">
        <v>0</v>
      </c>
      <c r="M99" s="3344">
        <f t="shared" si="29"/>
        <v>-3.8999999999999998E-3</v>
      </c>
      <c r="N99" s="3344">
        <f t="shared" si="29"/>
        <v>-7.7999999999999996E-3</v>
      </c>
    </row>
    <row r="100" spans="1:14" ht="25.5">
      <c r="A100" s="3378" t="s">
        <v>3280</v>
      </c>
      <c r="B100" s="3369" t="str">
        <f>估价对象房地状况!C22</f>
        <v>估价对象所在区域基础设施水平</v>
      </c>
      <c r="C100" s="2043" t="s">
        <v>3609</v>
      </c>
      <c r="D100" s="3365">
        <f t="shared" si="30"/>
        <v>1.1599999999999999E-2</v>
      </c>
      <c r="E100" s="3382"/>
      <c r="F100" s="1813"/>
      <c r="G100" s="3372">
        <v>5.7999999999999996E-3</v>
      </c>
      <c r="H100" s="3420">
        <f t="shared" si="31"/>
        <v>5.7999999999999996E-3</v>
      </c>
      <c r="I100" s="3366">
        <v>0.09</v>
      </c>
      <c r="J100" s="3344">
        <f t="shared" si="27"/>
        <v>1.1599999999999999E-2</v>
      </c>
      <c r="K100" s="3344">
        <f t="shared" si="28"/>
        <v>5.7999999999999996E-3</v>
      </c>
      <c r="L100" s="3344">
        <v>0</v>
      </c>
      <c r="M100" s="3344">
        <f t="shared" si="29"/>
        <v>-5.7999999999999996E-3</v>
      </c>
      <c r="N100" s="3344">
        <f t="shared" si="29"/>
        <v>-1.1599999999999999E-2</v>
      </c>
    </row>
    <row r="101" spans="1:14" ht="26.25" thickBot="1">
      <c r="A101" s="3379" t="s">
        <v>3281</v>
      </c>
      <c r="B101" s="3386" t="str">
        <f>估价对象房地状况!C20</f>
        <v>区域自然环境：；人文环境；综合评价环境状况一般</v>
      </c>
      <c r="C101" s="2043" t="s">
        <v>3595</v>
      </c>
      <c r="D101" s="3365">
        <f t="shared" si="30"/>
        <v>4.4999999999999997E-3</v>
      </c>
      <c r="E101" s="3383"/>
      <c r="F101" s="1813"/>
      <c r="G101" s="3372">
        <v>4.4999999999999997E-3</v>
      </c>
      <c r="H101" s="3420">
        <f t="shared" si="31"/>
        <v>4.4999999999999997E-3</v>
      </c>
      <c r="I101" s="3367">
        <v>7.0000000000000007E-2</v>
      </c>
      <c r="J101" s="3344">
        <f t="shared" si="27"/>
        <v>8.9999999999999993E-3</v>
      </c>
      <c r="K101" s="3344">
        <f t="shared" si="28"/>
        <v>4.4999999999999997E-3</v>
      </c>
      <c r="L101" s="3344">
        <v>0</v>
      </c>
      <c r="M101" s="3344">
        <f t="shared" si="29"/>
        <v>-4.4999999999999997E-3</v>
      </c>
      <c r="N101" s="3344">
        <f t="shared" si="29"/>
        <v>-8.9999999999999993E-3</v>
      </c>
    </row>
    <row r="103" spans="1:14">
      <c r="A103" s="3760" t="s">
        <v>3296</v>
      </c>
      <c r="B103" s="3760"/>
      <c r="C103" s="3760"/>
      <c r="D103" s="3760"/>
      <c r="E103" s="3760"/>
      <c r="F103" s="3760"/>
      <c r="G103" s="3760"/>
      <c r="H103" s="3760"/>
      <c r="I103" s="3760"/>
      <c r="J103" s="3760"/>
      <c r="K103" s="3389"/>
      <c r="L103" s="3389"/>
      <c r="M103" s="3389"/>
      <c r="N103" s="3389"/>
    </row>
    <row r="104" spans="1:14">
      <c r="A104" s="3761" t="s">
        <v>3297</v>
      </c>
      <c r="B104" s="3761" t="s">
        <v>3298</v>
      </c>
      <c r="C104" s="3390" t="s">
        <v>3299</v>
      </c>
      <c r="D104" s="3391"/>
      <c r="E104" s="3391"/>
      <c r="F104" s="3391"/>
      <c r="G104" s="3391"/>
      <c r="H104" s="3391"/>
      <c r="I104" s="3391"/>
      <c r="J104" s="3392"/>
      <c r="K104" s="3393"/>
      <c r="L104" s="3393"/>
      <c r="M104" s="3393"/>
      <c r="N104" s="3393"/>
    </row>
    <row r="105" spans="1:14">
      <c r="A105" s="3761"/>
      <c r="B105" s="376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0" t="s">
        <v>3313</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5.16</v>
      </c>
      <c r="C116" s="3399" t="s">
        <v>3315</v>
      </c>
      <c r="D116" s="3400">
        <f>SUMPRODUCT((A118:A122=F116)*(B117:M117=H116)*B118:M122)</f>
        <v>0.82579999999999998</v>
      </c>
      <c r="E116" s="1999" t="s">
        <v>3316</v>
      </c>
      <c r="F116" s="3401" t="str">
        <f>E2</f>
        <v>公共服务</v>
      </c>
      <c r="G116" s="1999" t="s">
        <v>3317</v>
      </c>
      <c r="H116" s="3401" t="str">
        <f>G2</f>
        <v>七级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5">I118</f>
        <v>0.75570000000000004</v>
      </c>
      <c r="K118" s="3387">
        <f t="shared" si="35"/>
        <v>0.75570000000000004</v>
      </c>
      <c r="L118" s="3387">
        <f t="shared" si="35"/>
        <v>0.75570000000000004</v>
      </c>
      <c r="M118" s="3410">
        <f t="shared" si="35"/>
        <v>0.75570000000000004</v>
      </c>
      <c r="N118" s="3397"/>
    </row>
    <row r="119" spans="1:14">
      <c r="A119" s="3409" t="s">
        <v>3331</v>
      </c>
      <c r="B119" s="3387">
        <f>ROUND(0.993-0.0112*B116,4)</f>
        <v>0.93520000000000003</v>
      </c>
      <c r="C119" s="3387">
        <f>B119</f>
        <v>0.93520000000000003</v>
      </c>
      <c r="D119" s="3387">
        <f>ROUND(0.9415-0.0142*B116,4)</f>
        <v>0.86819999999999997</v>
      </c>
      <c r="E119" s="3387">
        <f t="shared" ref="E119:H120" si="36">D119</f>
        <v>0.86819999999999997</v>
      </c>
      <c r="F119" s="3387">
        <f t="shared" si="36"/>
        <v>0.86819999999999997</v>
      </c>
      <c r="G119" s="3387">
        <f t="shared" si="36"/>
        <v>0.86819999999999997</v>
      </c>
      <c r="H119" s="3387">
        <f t="shared" si="36"/>
        <v>0.86819999999999997</v>
      </c>
      <c r="I119" s="3387">
        <f>ROUND(0.838-0.0182*B116,4)</f>
        <v>0.74409999999999998</v>
      </c>
      <c r="J119" s="3387">
        <f t="shared" si="35"/>
        <v>0.74409999999999998</v>
      </c>
      <c r="K119" s="3387">
        <f t="shared" si="35"/>
        <v>0.74409999999999998</v>
      </c>
      <c r="L119" s="3387">
        <f t="shared" si="35"/>
        <v>0.74409999999999998</v>
      </c>
      <c r="M119" s="3410">
        <f t="shared" si="35"/>
        <v>0.74409999999999998</v>
      </c>
      <c r="N119" s="3397"/>
    </row>
    <row r="120" spans="1:14">
      <c r="A120" s="3409" t="s">
        <v>3332</v>
      </c>
      <c r="B120" s="3387">
        <f>ROUND(0.9448-0.0115*B116,4)</f>
        <v>0.88549999999999995</v>
      </c>
      <c r="C120" s="3387">
        <f>B120</f>
        <v>0.88549999999999995</v>
      </c>
      <c r="D120" s="3387">
        <f>ROUND(0.937-0.0145*B116,4)</f>
        <v>0.86219999999999997</v>
      </c>
      <c r="E120" s="3387">
        <f t="shared" si="36"/>
        <v>0.86219999999999997</v>
      </c>
      <c r="F120" s="3387">
        <f t="shared" si="36"/>
        <v>0.86219999999999997</v>
      </c>
      <c r="G120" s="3387">
        <f t="shared" si="36"/>
        <v>0.86219999999999997</v>
      </c>
      <c r="H120" s="3387">
        <f t="shared" si="36"/>
        <v>0.86219999999999997</v>
      </c>
      <c r="I120" s="3387">
        <f>ROUND(0.7965-0.0185*B116,4)</f>
        <v>0.70099999999999996</v>
      </c>
      <c r="J120" s="3387">
        <f t="shared" si="35"/>
        <v>0.70099999999999996</v>
      </c>
      <c r="K120" s="3387">
        <f t="shared" si="35"/>
        <v>0.70099999999999996</v>
      </c>
      <c r="L120" s="3387">
        <f t="shared" si="35"/>
        <v>0.70099999999999996</v>
      </c>
      <c r="M120" s="3410">
        <f t="shared" si="35"/>
        <v>0.70099999999999996</v>
      </c>
      <c r="N120" s="3397"/>
    </row>
    <row r="121" spans="1:14" ht="13.5" thickBot="1">
      <c r="A121" s="3411" t="s">
        <v>3333</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5"/>
        <v>0.49249999999999999</v>
      </c>
      <c r="K121" s="3412">
        <f t="shared" si="35"/>
        <v>0.49249999999999999</v>
      </c>
      <c r="L121" s="3412">
        <f t="shared" si="35"/>
        <v>0.49249999999999999</v>
      </c>
      <c r="M121" s="3413">
        <f t="shared" si="35"/>
        <v>0.49249999999999999</v>
      </c>
      <c r="N121" s="3397"/>
    </row>
    <row r="122" spans="1:14">
      <c r="A122" s="3414" t="s">
        <v>2614</v>
      </c>
      <c r="B122" s="3387">
        <f>ROUND(0.9404-0.0106*B116,4)</f>
        <v>0.88570000000000004</v>
      </c>
      <c r="C122" s="3387">
        <f>B122</f>
        <v>0.88570000000000004</v>
      </c>
      <c r="D122" s="3387">
        <f>ROUND(0.8955-0.0135*B116,4)</f>
        <v>0.82579999999999998</v>
      </c>
      <c r="E122" s="3387">
        <f t="shared" ref="E122:H122" si="37">D122</f>
        <v>0.82579999999999998</v>
      </c>
      <c r="F122" s="3387">
        <f t="shared" si="37"/>
        <v>0.82579999999999998</v>
      </c>
      <c r="G122" s="3387">
        <f t="shared" si="37"/>
        <v>0.82579999999999998</v>
      </c>
      <c r="H122" s="3387">
        <f t="shared" si="37"/>
        <v>0.82579999999999998</v>
      </c>
      <c r="I122" s="3387">
        <f>ROUND(0.7632-0.0166*B116,4)</f>
        <v>0.67749999999999999</v>
      </c>
      <c r="J122" s="3387">
        <f t="shared" si="35"/>
        <v>0.67749999999999999</v>
      </c>
      <c r="K122" s="3387">
        <f t="shared" si="35"/>
        <v>0.67749999999999999</v>
      </c>
      <c r="L122" s="3387">
        <f t="shared" si="35"/>
        <v>0.67749999999999999</v>
      </c>
      <c r="M122" s="3410">
        <f t="shared" si="35"/>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5" t="s">
        <v>2609</v>
      </c>
      <c r="B20" s="3770" t="s">
        <v>2630</v>
      </c>
      <c r="C20" s="3102" t="s">
        <v>2441</v>
      </c>
      <c r="D20" s="3103"/>
      <c r="E20" s="3104">
        <v>1</v>
      </c>
      <c r="F20" s="3105" t="s">
        <v>2442</v>
      </c>
      <c r="G20" s="3105"/>
    </row>
    <row r="21" spans="1:13" ht="19.5" customHeight="1">
      <c r="A21" s="3776"/>
      <c r="B21" s="3769"/>
      <c r="C21" s="3106" t="s">
        <v>2443</v>
      </c>
      <c r="D21" s="3107"/>
      <c r="E21" s="3108">
        <v>1</v>
      </c>
      <c r="F21" s="3105" t="s">
        <v>2444</v>
      </c>
      <c r="G21" s="3105"/>
    </row>
    <row r="22" spans="1:13" ht="19.5" customHeight="1">
      <c r="A22" s="3776"/>
      <c r="B22" s="3769"/>
      <c r="C22" s="3106" t="s">
        <v>2445</v>
      </c>
      <c r="D22" s="3107"/>
      <c r="E22" s="3108">
        <v>0.9</v>
      </c>
      <c r="F22" s="3105" t="s">
        <v>2446</v>
      </c>
      <c r="G22" s="3105"/>
    </row>
    <row r="23" spans="1:13" ht="19.5" customHeight="1">
      <c r="A23" s="3776"/>
      <c r="B23" s="3769"/>
      <c r="C23" s="3106" t="s">
        <v>2447</v>
      </c>
      <c r="D23" s="3107"/>
      <c r="E23" s="3108">
        <v>0.9</v>
      </c>
      <c r="F23" s="3105" t="s">
        <v>2448</v>
      </c>
      <c r="G23" s="3105"/>
    </row>
    <row r="24" spans="1:13" ht="19.5" customHeight="1">
      <c r="A24" s="3776"/>
      <c r="B24" s="3769"/>
      <c r="C24" s="3106" t="s">
        <v>2449</v>
      </c>
      <c r="D24" s="3107"/>
      <c r="E24" s="3108">
        <v>0.8</v>
      </c>
      <c r="F24" s="3105" t="s">
        <v>2450</v>
      </c>
      <c r="G24" s="3105"/>
    </row>
    <row r="25" spans="1:13" ht="19.5" customHeight="1" thickBot="1">
      <c r="A25" s="3777"/>
      <c r="B25" s="377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2" t="s">
        <v>2633</v>
      </c>
      <c r="B27" s="3770" t="s">
        <v>2614</v>
      </c>
      <c r="C27" s="3102" t="s">
        <v>2454</v>
      </c>
      <c r="D27" s="3103"/>
      <c r="E27" s="3104">
        <v>1</v>
      </c>
      <c r="F27" s="3105" t="s">
        <v>2455</v>
      </c>
      <c r="G27" s="3105"/>
    </row>
    <row r="28" spans="1:13" ht="19.5" customHeight="1">
      <c r="A28" s="3773"/>
      <c r="B28" s="3769"/>
      <c r="C28" s="3106" t="s">
        <v>2456</v>
      </c>
      <c r="D28" s="3107"/>
      <c r="E28" s="3108">
        <v>1</v>
      </c>
      <c r="F28" s="3105" t="s">
        <v>2457</v>
      </c>
      <c r="G28" s="3105"/>
    </row>
    <row r="29" spans="1:13" ht="19.5" customHeight="1">
      <c r="A29" s="3773"/>
      <c r="B29" s="3769"/>
      <c r="C29" s="3106" t="s">
        <v>2458</v>
      </c>
      <c r="D29" s="3107"/>
      <c r="E29" s="3108">
        <v>0.8</v>
      </c>
      <c r="F29" s="3105" t="s">
        <v>2459</v>
      </c>
      <c r="G29" s="3105"/>
    </row>
    <row r="30" spans="1:13" ht="19.5" customHeight="1">
      <c r="A30" s="3773"/>
      <c r="B30" s="3769"/>
      <c r="C30" s="3106" t="s">
        <v>2460</v>
      </c>
      <c r="D30" s="3107"/>
      <c r="E30" s="3108">
        <v>0.8</v>
      </c>
      <c r="F30" s="3105" t="s">
        <v>2461</v>
      </c>
      <c r="G30" s="3105"/>
    </row>
    <row r="31" spans="1:13" ht="19.5" customHeight="1">
      <c r="A31" s="3773"/>
      <c r="B31" s="3769"/>
      <c r="C31" s="3106" t="s">
        <v>2462</v>
      </c>
      <c r="D31" s="3107"/>
      <c r="E31" s="3108">
        <v>0.8</v>
      </c>
      <c r="F31" s="3105" t="s">
        <v>2463</v>
      </c>
      <c r="G31" s="3105"/>
    </row>
    <row r="32" spans="1:13" ht="19.5" customHeight="1">
      <c r="A32" s="3773"/>
      <c r="B32" s="3769"/>
      <c r="C32" s="3106" t="s">
        <v>2464</v>
      </c>
      <c r="D32" s="3107"/>
      <c r="E32" s="3108">
        <v>0.7</v>
      </c>
      <c r="F32" s="3105" t="s">
        <v>2465</v>
      </c>
      <c r="G32" s="3105"/>
    </row>
    <row r="33" spans="1:7" ht="19.5" customHeight="1">
      <c r="A33" s="3773"/>
      <c r="B33" s="3769"/>
      <c r="C33" s="3106" t="s">
        <v>2466</v>
      </c>
      <c r="D33" s="3107"/>
      <c r="E33" s="3108">
        <v>0.8</v>
      </c>
      <c r="F33" s="3105" t="s">
        <v>2467</v>
      </c>
      <c r="G33" s="3105"/>
    </row>
    <row r="34" spans="1:7" ht="19.5" customHeight="1">
      <c r="A34" s="3773"/>
      <c r="B34" s="3769"/>
      <c r="C34" s="3106" t="s">
        <v>2468</v>
      </c>
      <c r="D34" s="3107"/>
      <c r="E34" s="3108">
        <v>0.6</v>
      </c>
      <c r="F34" s="3105" t="s">
        <v>2469</v>
      </c>
      <c r="G34" s="3105"/>
    </row>
    <row r="35" spans="1:7" ht="19.5" customHeight="1">
      <c r="A35" s="3773"/>
      <c r="B35" s="3769"/>
      <c r="C35" s="3106" t="s">
        <v>2470</v>
      </c>
      <c r="D35" s="3107"/>
      <c r="E35" s="3108">
        <v>0.2</v>
      </c>
      <c r="F35" s="3105" t="s">
        <v>2471</v>
      </c>
      <c r="G35" s="3105"/>
    </row>
    <row r="36" spans="1:7" ht="19.5" customHeight="1">
      <c r="A36" s="3773"/>
      <c r="B36" s="3769"/>
      <c r="C36" s="3106" t="s">
        <v>2472</v>
      </c>
      <c r="D36" s="3107"/>
      <c r="E36" s="3108">
        <v>0.2</v>
      </c>
      <c r="F36" s="3105" t="s">
        <v>2473</v>
      </c>
      <c r="G36" s="3105"/>
    </row>
    <row r="37" spans="1:7" ht="19.5" customHeight="1">
      <c r="A37" s="3773"/>
      <c r="B37" s="3767" t="s">
        <v>2634</v>
      </c>
      <c r="C37" s="3106" t="s">
        <v>2474</v>
      </c>
      <c r="D37" s="3107"/>
      <c r="E37" s="3108">
        <v>0.6</v>
      </c>
      <c r="F37" s="3105" t="s">
        <v>2475</v>
      </c>
      <c r="G37" s="3105"/>
    </row>
    <row r="38" spans="1:7" ht="19.5" customHeight="1">
      <c r="A38" s="3773"/>
      <c r="B38" s="3769"/>
      <c r="C38" s="3106" t="s">
        <v>2476</v>
      </c>
      <c r="D38" s="3107"/>
      <c r="E38" s="3108">
        <v>0.6</v>
      </c>
      <c r="F38" s="3105" t="s">
        <v>2477</v>
      </c>
      <c r="G38" s="3105"/>
    </row>
    <row r="39" spans="1:7" ht="19.5" customHeight="1" thickBot="1">
      <c r="A39" s="3774"/>
      <c r="B39" s="377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5" t="s">
        <v>2612</v>
      </c>
      <c r="B41" s="3770" t="s">
        <v>2636</v>
      </c>
      <c r="C41" s="3102" t="s">
        <v>2481</v>
      </c>
      <c r="D41" s="3103"/>
      <c r="E41" s="3104">
        <v>1</v>
      </c>
      <c r="F41" s="3105" t="s">
        <v>2482</v>
      </c>
      <c r="G41" s="3105"/>
    </row>
    <row r="42" spans="1:7" ht="19.5" customHeight="1">
      <c r="A42" s="3776"/>
      <c r="B42" s="3769"/>
      <c r="C42" s="3106" t="s">
        <v>2483</v>
      </c>
      <c r="D42" s="3107"/>
      <c r="E42" s="3108">
        <v>1</v>
      </c>
      <c r="F42" s="3105" t="s">
        <v>2484</v>
      </c>
      <c r="G42" s="3105"/>
    </row>
    <row r="43" spans="1:7" ht="19.5" customHeight="1">
      <c r="A43" s="3776"/>
      <c r="B43" s="3768"/>
      <c r="C43" s="3106" t="s">
        <v>2485</v>
      </c>
      <c r="D43" s="3107"/>
      <c r="E43" s="3108">
        <v>1.5</v>
      </c>
      <c r="F43" s="3105" t="s">
        <v>2486</v>
      </c>
      <c r="G43" s="3105"/>
    </row>
    <row r="44" spans="1:7" ht="19.5" customHeight="1">
      <c r="A44" s="3776"/>
      <c r="B44" s="3117" t="s">
        <v>2637</v>
      </c>
      <c r="C44" s="3106" t="s">
        <v>2638</v>
      </c>
      <c r="D44" s="3107"/>
      <c r="E44" s="3108">
        <v>2</v>
      </c>
      <c r="F44" s="3105" t="s">
        <v>2487</v>
      </c>
      <c r="G44" s="3105"/>
    </row>
    <row r="45" spans="1:7" ht="19.5" customHeight="1">
      <c r="A45" s="3776"/>
      <c r="B45" s="3767" t="s">
        <v>2639</v>
      </c>
      <c r="C45" s="3106" t="s">
        <v>2488</v>
      </c>
      <c r="D45" s="3107"/>
      <c r="E45" s="3108">
        <v>1</v>
      </c>
      <c r="F45" s="3105" t="s">
        <v>2489</v>
      </c>
      <c r="G45" s="3105"/>
    </row>
    <row r="46" spans="1:7" ht="19.5" customHeight="1">
      <c r="A46" s="3776"/>
      <c r="B46" s="3769"/>
      <c r="C46" s="3106" t="s">
        <v>2490</v>
      </c>
      <c r="D46" s="3107"/>
      <c r="E46" s="3108">
        <v>1</v>
      </c>
      <c r="F46" s="3105" t="s">
        <v>2491</v>
      </c>
      <c r="G46" s="3105"/>
    </row>
    <row r="47" spans="1:7" ht="19.5" customHeight="1">
      <c r="A47" s="3776"/>
      <c r="B47" s="3769"/>
      <c r="C47" s="3106" t="s">
        <v>2492</v>
      </c>
      <c r="D47" s="3107"/>
      <c r="E47" s="3108">
        <v>1</v>
      </c>
      <c r="F47" s="3105" t="s">
        <v>2493</v>
      </c>
      <c r="G47" s="3105"/>
    </row>
    <row r="48" spans="1:7" ht="19.5" customHeight="1">
      <c r="A48" s="3776"/>
      <c r="B48" s="3769"/>
      <c r="C48" s="3106" t="s">
        <v>2494</v>
      </c>
      <c r="D48" s="3107"/>
      <c r="E48" s="3108">
        <v>1</v>
      </c>
      <c r="F48" s="3105" t="s">
        <v>2495</v>
      </c>
      <c r="G48" s="3105"/>
    </row>
    <row r="49" spans="1:7" ht="19.5" customHeight="1">
      <c r="A49" s="3776"/>
      <c r="B49" s="3769"/>
      <c r="C49" s="3106" t="s">
        <v>2496</v>
      </c>
      <c r="D49" s="3107"/>
      <c r="E49" s="3108">
        <v>1</v>
      </c>
      <c r="F49" s="3105" t="s">
        <v>2497</v>
      </c>
      <c r="G49" s="3105"/>
    </row>
    <row r="50" spans="1:7" ht="19.5" customHeight="1">
      <c r="A50" s="3776"/>
      <c r="B50" s="3769"/>
      <c r="C50" s="3106" t="s">
        <v>2498</v>
      </c>
      <c r="D50" s="3107"/>
      <c r="E50" s="3108">
        <v>1</v>
      </c>
      <c r="F50" s="3105" t="s">
        <v>2499</v>
      </c>
      <c r="G50" s="3105"/>
    </row>
    <row r="51" spans="1:7" ht="19.5" customHeight="1" thickBot="1">
      <c r="A51" s="3777"/>
      <c r="B51" s="377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7" t="s">
        <v>2653</v>
      </c>
      <c r="C73" s="3091" t="s">
        <v>2654</v>
      </c>
      <c r="D73" s="3091" t="s">
        <v>2655</v>
      </c>
      <c r="E73" s="3117">
        <v>0.2</v>
      </c>
      <c r="F73" s="3117">
        <v>25</v>
      </c>
    </row>
    <row r="74" spans="1:7" ht="24">
      <c r="A74" s="3117">
        <v>2</v>
      </c>
      <c r="B74" s="3769"/>
      <c r="C74" s="3091" t="s">
        <v>2656</v>
      </c>
      <c r="D74" s="3091" t="s">
        <v>2657</v>
      </c>
      <c r="E74" s="3117">
        <v>0.2</v>
      </c>
      <c r="F74" s="3117">
        <v>25</v>
      </c>
    </row>
    <row r="75" spans="1:7" ht="24">
      <c r="A75" s="3117">
        <v>3</v>
      </c>
      <c r="B75" s="3769"/>
      <c r="C75" s="3091" t="s">
        <v>2658</v>
      </c>
      <c r="D75" s="3091" t="s">
        <v>2659</v>
      </c>
      <c r="E75" s="3117">
        <v>0.2</v>
      </c>
      <c r="F75" s="3117">
        <v>25</v>
      </c>
    </row>
    <row r="76" spans="1:7" ht="13.5">
      <c r="A76" s="3117">
        <v>4</v>
      </c>
      <c r="B76" s="3769"/>
      <c r="C76" s="3091" t="s">
        <v>2660</v>
      </c>
      <c r="D76" s="3091" t="s">
        <v>2661</v>
      </c>
      <c r="E76" s="3117">
        <v>0.15</v>
      </c>
      <c r="F76" s="3117">
        <v>20</v>
      </c>
    </row>
    <row r="77" spans="1:7" ht="24">
      <c r="A77" s="3117">
        <v>5</v>
      </c>
      <c r="B77" s="3769"/>
      <c r="C77" s="3091" t="s">
        <v>2662</v>
      </c>
      <c r="D77" s="3091" t="s">
        <v>2663</v>
      </c>
      <c r="E77" s="3117">
        <v>0.15</v>
      </c>
      <c r="F77" s="3117">
        <v>20</v>
      </c>
    </row>
    <row r="78" spans="1:7" ht="24">
      <c r="A78" s="3117">
        <v>6</v>
      </c>
      <c r="B78" s="3769"/>
      <c r="C78" s="3091" t="s">
        <v>2664</v>
      </c>
      <c r="D78" s="3091" t="s">
        <v>2665</v>
      </c>
      <c r="E78" s="3117">
        <v>0.15</v>
      </c>
      <c r="F78" s="3117">
        <v>20</v>
      </c>
    </row>
    <row r="79" spans="1:7" ht="24">
      <c r="A79" s="3117">
        <v>7</v>
      </c>
      <c r="B79" s="3769"/>
      <c r="C79" s="3091" t="s">
        <v>2666</v>
      </c>
      <c r="D79" s="3091" t="s">
        <v>2667</v>
      </c>
      <c r="E79" s="3117">
        <v>0.15</v>
      </c>
      <c r="F79" s="3117">
        <v>20</v>
      </c>
    </row>
    <row r="80" spans="1:7" ht="24">
      <c r="A80" s="3117">
        <v>8</v>
      </c>
      <c r="B80" s="3769"/>
      <c r="C80" s="3091" t="s">
        <v>2668</v>
      </c>
      <c r="D80" s="3091" t="s">
        <v>2669</v>
      </c>
      <c r="E80" s="3117">
        <v>0.1</v>
      </c>
      <c r="F80" s="3117">
        <v>15</v>
      </c>
    </row>
    <row r="81" spans="1:6" ht="24">
      <c r="A81" s="3117">
        <v>9</v>
      </c>
      <c r="B81" s="3769"/>
      <c r="C81" s="3091" t="s">
        <v>2670</v>
      </c>
      <c r="D81" s="3091" t="s">
        <v>2671</v>
      </c>
      <c r="E81" s="3117">
        <v>0.1</v>
      </c>
      <c r="F81" s="3117">
        <v>15</v>
      </c>
    </row>
    <row r="82" spans="1:6" ht="24">
      <c r="A82" s="3117">
        <v>10</v>
      </c>
      <c r="B82" s="3769"/>
      <c r="C82" s="3091" t="s">
        <v>2672</v>
      </c>
      <c r="D82" s="3091" t="s">
        <v>2673</v>
      </c>
      <c r="E82" s="3117">
        <v>0.1</v>
      </c>
      <c r="F82" s="3117">
        <v>15</v>
      </c>
    </row>
    <row r="83" spans="1:6" ht="24">
      <c r="A83" s="3117">
        <v>11</v>
      </c>
      <c r="B83" s="3769"/>
      <c r="C83" s="3091" t="s">
        <v>2674</v>
      </c>
      <c r="D83" s="3091" t="s">
        <v>2675</v>
      </c>
      <c r="E83" s="3117">
        <v>0.1</v>
      </c>
      <c r="F83" s="3117">
        <v>15</v>
      </c>
    </row>
    <row r="84" spans="1:6" ht="24">
      <c r="A84" s="3117">
        <v>12</v>
      </c>
      <c r="B84" s="3769"/>
      <c r="C84" s="3091" t="s">
        <v>2676</v>
      </c>
      <c r="D84" s="3091" t="s">
        <v>2677</v>
      </c>
      <c r="E84" s="3117">
        <v>0.1</v>
      </c>
      <c r="F84" s="3117">
        <v>15</v>
      </c>
    </row>
    <row r="85" spans="1:6" ht="13.5">
      <c r="A85" s="3117">
        <v>13</v>
      </c>
      <c r="B85" s="3769"/>
      <c r="C85" s="3091" t="s">
        <v>2678</v>
      </c>
      <c r="D85" s="3091" t="s">
        <v>2679</v>
      </c>
      <c r="E85" s="3117">
        <v>0.1</v>
      </c>
      <c r="F85" s="3117">
        <v>15</v>
      </c>
    </row>
    <row r="86" spans="1:6" ht="13.5">
      <c r="A86" s="3117">
        <v>14</v>
      </c>
      <c r="B86" s="3769"/>
      <c r="C86" s="3091" t="s">
        <v>2680</v>
      </c>
      <c r="D86" s="3091" t="s">
        <v>2681</v>
      </c>
      <c r="E86" s="3117">
        <v>0.1</v>
      </c>
      <c r="F86" s="3117">
        <v>15</v>
      </c>
    </row>
    <row r="87" spans="1:6" ht="13.5">
      <c r="A87" s="3117">
        <v>15</v>
      </c>
      <c r="B87" s="3769"/>
      <c r="C87" s="3091" t="s">
        <v>2682</v>
      </c>
      <c r="D87" s="3091" t="s">
        <v>2683</v>
      </c>
      <c r="E87" s="3117">
        <v>0.1</v>
      </c>
      <c r="F87" s="3117">
        <v>15</v>
      </c>
    </row>
    <row r="88" spans="1:6" ht="24">
      <c r="A88" s="3117">
        <v>16</v>
      </c>
      <c r="B88" s="3769"/>
      <c r="C88" s="3091" t="s">
        <v>2684</v>
      </c>
      <c r="D88" s="3091" t="s">
        <v>2685</v>
      </c>
      <c r="E88" s="3117">
        <v>0.1</v>
      </c>
      <c r="F88" s="3117">
        <v>15</v>
      </c>
    </row>
    <row r="89" spans="1:6" ht="24">
      <c r="A89" s="3117">
        <v>17</v>
      </c>
      <c r="B89" s="3768"/>
      <c r="C89" s="3091" t="s">
        <v>2686</v>
      </c>
      <c r="D89" s="3091" t="s">
        <v>2687</v>
      </c>
      <c r="E89" s="3117">
        <v>0.1</v>
      </c>
      <c r="F89" s="3117">
        <v>15</v>
      </c>
    </row>
    <row r="90" spans="1:6" ht="13.5">
      <c r="A90" s="3117">
        <v>18</v>
      </c>
      <c r="B90" s="3767" t="s">
        <v>2688</v>
      </c>
      <c r="C90" s="3091" t="s">
        <v>2689</v>
      </c>
      <c r="D90" s="3091" t="s">
        <v>2690</v>
      </c>
      <c r="E90" s="3117">
        <v>0.2</v>
      </c>
      <c r="F90" s="3117">
        <v>25</v>
      </c>
    </row>
    <row r="91" spans="1:6" ht="24">
      <c r="A91" s="3117">
        <v>19</v>
      </c>
      <c r="B91" s="3769"/>
      <c r="C91" s="3091" t="s">
        <v>2691</v>
      </c>
      <c r="D91" s="3091" t="s">
        <v>2692</v>
      </c>
      <c r="E91" s="3117">
        <v>0.2</v>
      </c>
      <c r="F91" s="3117">
        <v>25</v>
      </c>
    </row>
    <row r="92" spans="1:6" ht="13.5">
      <c r="A92" s="3117">
        <v>20</v>
      </c>
      <c r="B92" s="3769"/>
      <c r="C92" s="3091" t="s">
        <v>2693</v>
      </c>
      <c r="D92" s="3091" t="s">
        <v>2694</v>
      </c>
      <c r="E92" s="3117">
        <v>0.15</v>
      </c>
      <c r="F92" s="3117">
        <v>20</v>
      </c>
    </row>
    <row r="93" spans="1:6" ht="13.5">
      <c r="A93" s="3117">
        <v>21</v>
      </c>
      <c r="B93" s="3769"/>
      <c r="C93" s="3091" t="s">
        <v>2695</v>
      </c>
      <c r="D93" s="3091" t="s">
        <v>2696</v>
      </c>
      <c r="E93" s="3117">
        <v>0.15</v>
      </c>
      <c r="F93" s="3117">
        <v>20</v>
      </c>
    </row>
    <row r="94" spans="1:6" ht="13.5">
      <c r="A94" s="3117">
        <v>22</v>
      </c>
      <c r="B94" s="3769"/>
      <c r="C94" s="3091" t="s">
        <v>2697</v>
      </c>
      <c r="D94" s="3091" t="s">
        <v>2698</v>
      </c>
      <c r="E94" s="3117">
        <v>0.15</v>
      </c>
      <c r="F94" s="3117">
        <v>20</v>
      </c>
    </row>
    <row r="95" spans="1:6" ht="36">
      <c r="A95" s="3117">
        <v>23</v>
      </c>
      <c r="B95" s="3769"/>
      <c r="C95" s="3091" t="s">
        <v>2699</v>
      </c>
      <c r="D95" s="3091" t="s">
        <v>2700</v>
      </c>
      <c r="E95" s="3117">
        <v>0.15</v>
      </c>
      <c r="F95" s="3117">
        <v>20</v>
      </c>
    </row>
    <row r="96" spans="1:6" ht="13.5">
      <c r="A96" s="3117">
        <v>24</v>
      </c>
      <c r="B96" s="3769"/>
      <c r="C96" s="3091" t="s">
        <v>2701</v>
      </c>
      <c r="D96" s="3091" t="s">
        <v>2702</v>
      </c>
      <c r="E96" s="3117">
        <v>0.1</v>
      </c>
      <c r="F96" s="3117">
        <v>15</v>
      </c>
    </row>
    <row r="97" spans="1:6" ht="13.5">
      <c r="A97" s="3117">
        <v>25</v>
      </c>
      <c r="B97" s="3769"/>
      <c r="C97" s="3091" t="s">
        <v>2703</v>
      </c>
      <c r="D97" s="3091" t="s">
        <v>2704</v>
      </c>
      <c r="E97" s="3117">
        <v>0.1</v>
      </c>
      <c r="F97" s="3117">
        <v>15</v>
      </c>
    </row>
    <row r="98" spans="1:6" ht="24">
      <c r="A98" s="3117">
        <v>26</v>
      </c>
      <c r="B98" s="3769"/>
      <c r="C98" s="3091" t="s">
        <v>2705</v>
      </c>
      <c r="D98" s="3091" t="s">
        <v>2706</v>
      </c>
      <c r="E98" s="3117">
        <v>0.1</v>
      </c>
      <c r="F98" s="3117">
        <v>15</v>
      </c>
    </row>
    <row r="99" spans="1:6" ht="24">
      <c r="A99" s="3117">
        <v>27</v>
      </c>
      <c r="B99" s="3769"/>
      <c r="C99" s="3091" t="s">
        <v>2707</v>
      </c>
      <c r="D99" s="3091" t="s">
        <v>2708</v>
      </c>
      <c r="E99" s="3117">
        <v>0.1</v>
      </c>
      <c r="F99" s="3117">
        <v>15</v>
      </c>
    </row>
    <row r="100" spans="1:6" ht="13.5">
      <c r="A100" s="3117">
        <v>28</v>
      </c>
      <c r="B100" s="3769"/>
      <c r="C100" s="3091" t="s">
        <v>2709</v>
      </c>
      <c r="D100" s="3091" t="s">
        <v>2710</v>
      </c>
      <c r="E100" s="3117">
        <v>0.1</v>
      </c>
      <c r="F100" s="3117">
        <v>15</v>
      </c>
    </row>
    <row r="101" spans="1:6" ht="13.5">
      <c r="A101" s="3117">
        <v>29</v>
      </c>
      <c r="B101" s="3769"/>
      <c r="C101" s="3091" t="s">
        <v>2711</v>
      </c>
      <c r="D101" s="3091" t="s">
        <v>2712</v>
      </c>
      <c r="E101" s="3117">
        <v>0.1</v>
      </c>
      <c r="F101" s="3117">
        <v>15</v>
      </c>
    </row>
    <row r="102" spans="1:6" ht="13.5">
      <c r="A102" s="3117">
        <v>30</v>
      </c>
      <c r="B102" s="3769"/>
      <c r="C102" s="3091" t="s">
        <v>2713</v>
      </c>
      <c r="D102" s="3091" t="s">
        <v>2714</v>
      </c>
      <c r="E102" s="3117">
        <v>0.1</v>
      </c>
      <c r="F102" s="3117">
        <v>15</v>
      </c>
    </row>
    <row r="103" spans="1:6" ht="24">
      <c r="A103" s="3117">
        <v>31</v>
      </c>
      <c r="B103" s="3769"/>
      <c r="C103" s="3091" t="s">
        <v>2715</v>
      </c>
      <c r="D103" s="3091" t="s">
        <v>2716</v>
      </c>
      <c r="E103" s="3117">
        <v>0.1</v>
      </c>
      <c r="F103" s="3117">
        <v>15</v>
      </c>
    </row>
    <row r="104" spans="1:6" ht="24">
      <c r="A104" s="3117">
        <v>32</v>
      </c>
      <c r="B104" s="3769"/>
      <c r="C104" s="3091" t="s">
        <v>2717</v>
      </c>
      <c r="D104" s="3091" t="s">
        <v>2718</v>
      </c>
      <c r="E104" s="3117">
        <v>0.1</v>
      </c>
      <c r="F104" s="3117">
        <v>15</v>
      </c>
    </row>
    <row r="105" spans="1:6" ht="24">
      <c r="A105" s="3117">
        <v>33</v>
      </c>
      <c r="B105" s="3769"/>
      <c r="C105" s="3091" t="s">
        <v>2719</v>
      </c>
      <c r="D105" s="3091" t="s">
        <v>2720</v>
      </c>
      <c r="E105" s="3117">
        <v>0.1</v>
      </c>
      <c r="F105" s="3117">
        <v>15</v>
      </c>
    </row>
    <row r="106" spans="1:6" ht="24">
      <c r="A106" s="3117">
        <v>34</v>
      </c>
      <c r="B106" s="3768"/>
      <c r="C106" s="3091" t="s">
        <v>2721</v>
      </c>
      <c r="D106" s="3091" t="s">
        <v>2722</v>
      </c>
      <c r="E106" s="3117">
        <v>0.1</v>
      </c>
      <c r="F106" s="3117">
        <v>15</v>
      </c>
    </row>
    <row r="107" spans="1:6" ht="24">
      <c r="A107" s="3117">
        <v>35</v>
      </c>
      <c r="B107" s="3767" t="s">
        <v>2723</v>
      </c>
      <c r="C107" s="3117" t="s">
        <v>2724</v>
      </c>
      <c r="D107" s="3091" t="s">
        <v>2725</v>
      </c>
      <c r="E107" s="3117">
        <v>0.15</v>
      </c>
      <c r="F107" s="3117">
        <v>20</v>
      </c>
    </row>
    <row r="108" spans="1:6" ht="13.5">
      <c r="A108" s="3117">
        <v>36</v>
      </c>
      <c r="B108" s="3769"/>
      <c r="C108" s="3117" t="s">
        <v>2726</v>
      </c>
      <c r="D108" s="3091" t="s">
        <v>2727</v>
      </c>
      <c r="E108" s="3117">
        <v>0.15</v>
      </c>
      <c r="F108" s="3117">
        <v>20</v>
      </c>
    </row>
    <row r="109" spans="1:6" ht="13.5">
      <c r="A109" s="3117">
        <v>37</v>
      </c>
      <c r="B109" s="3769"/>
      <c r="C109" s="3117" t="s">
        <v>2728</v>
      </c>
      <c r="D109" s="3091" t="s">
        <v>2729</v>
      </c>
      <c r="E109" s="3117">
        <v>0.15</v>
      </c>
      <c r="F109" s="3117">
        <v>20</v>
      </c>
    </row>
    <row r="110" spans="1:6" ht="13.5">
      <c r="A110" s="3117">
        <v>38</v>
      </c>
      <c r="B110" s="3769"/>
      <c r="C110" s="3117" t="s">
        <v>2730</v>
      </c>
      <c r="D110" s="3091" t="s">
        <v>2731</v>
      </c>
      <c r="E110" s="3117">
        <v>0.1</v>
      </c>
      <c r="F110" s="3117">
        <v>15</v>
      </c>
    </row>
    <row r="111" spans="1:6" ht="24">
      <c r="A111" s="3117">
        <v>39</v>
      </c>
      <c r="B111" s="3769"/>
      <c r="C111" s="3117" t="s">
        <v>2732</v>
      </c>
      <c r="D111" s="3091" t="s">
        <v>2733</v>
      </c>
      <c r="E111" s="3117">
        <v>0.1</v>
      </c>
      <c r="F111" s="3117">
        <v>15</v>
      </c>
    </row>
    <row r="112" spans="1:6" ht="24">
      <c r="A112" s="3117">
        <v>40</v>
      </c>
      <c r="B112" s="3768"/>
      <c r="C112" s="3117" t="s">
        <v>2734</v>
      </c>
      <c r="D112" s="3091" t="s">
        <v>2735</v>
      </c>
      <c r="E112" s="3117">
        <v>0.1</v>
      </c>
      <c r="F112" s="3117">
        <v>15</v>
      </c>
    </row>
    <row r="113" spans="1:6" ht="13.5">
      <c r="A113" s="3117">
        <v>41</v>
      </c>
      <c r="B113" s="3766" t="s">
        <v>2736</v>
      </c>
      <c r="C113" s="3117" t="s">
        <v>2737</v>
      </c>
      <c r="D113" s="3091" t="s">
        <v>2738</v>
      </c>
      <c r="E113" s="3117">
        <v>0.1</v>
      </c>
      <c r="F113" s="3117">
        <v>15</v>
      </c>
    </row>
    <row r="114" spans="1:6" ht="13.5">
      <c r="A114" s="3117">
        <v>42</v>
      </c>
      <c r="B114" s="3766"/>
      <c r="C114" s="3117" t="s">
        <v>2739</v>
      </c>
      <c r="D114" s="3091" t="s">
        <v>2740</v>
      </c>
      <c r="E114" s="3117">
        <v>0.1</v>
      </c>
      <c r="F114" s="3117">
        <v>15</v>
      </c>
    </row>
    <row r="115" spans="1:6" ht="24">
      <c r="A115" s="3117">
        <v>43</v>
      </c>
      <c r="B115" s="3766"/>
      <c r="C115" s="3117" t="s">
        <v>2741</v>
      </c>
      <c r="D115" s="3091" t="s">
        <v>2742</v>
      </c>
      <c r="E115" s="3117">
        <v>0.1</v>
      </c>
      <c r="F115" s="3117">
        <v>15</v>
      </c>
    </row>
    <row r="116" spans="1:6" ht="13.5">
      <c r="A116" s="3117">
        <v>44</v>
      </c>
      <c r="B116" s="3767" t="s">
        <v>2743</v>
      </c>
      <c r="C116" s="3117" t="s">
        <v>2744</v>
      </c>
      <c r="D116" s="3091" t="s">
        <v>2745</v>
      </c>
      <c r="E116" s="3117">
        <v>0.1</v>
      </c>
      <c r="F116" s="3117">
        <v>15</v>
      </c>
    </row>
    <row r="117" spans="1:6" ht="24">
      <c r="A117" s="3117">
        <v>45</v>
      </c>
      <c r="B117" s="3768"/>
      <c r="C117" s="3091" t="s">
        <v>2746</v>
      </c>
      <c r="D117" s="3091" t="s">
        <v>2747</v>
      </c>
      <c r="E117" s="3117">
        <v>0.1</v>
      </c>
      <c r="F117" s="3117">
        <v>15</v>
      </c>
    </row>
    <row r="118" spans="1:6" ht="24">
      <c r="A118" s="3117">
        <v>46</v>
      </c>
      <c r="B118" s="3767" t="s">
        <v>2748</v>
      </c>
      <c r="C118" s="3117" t="s">
        <v>2749</v>
      </c>
      <c r="D118" s="3091" t="s">
        <v>2750</v>
      </c>
      <c r="E118" s="3117">
        <v>0.1</v>
      </c>
      <c r="F118" s="3117">
        <v>15</v>
      </c>
    </row>
    <row r="119" spans="1:6" ht="24">
      <c r="A119" s="3117">
        <v>47</v>
      </c>
      <c r="B119" s="3768"/>
      <c r="C119" s="3117" t="s">
        <v>2751</v>
      </c>
      <c r="D119" s="3091" t="s">
        <v>2752</v>
      </c>
      <c r="E119" s="3117">
        <v>0.1</v>
      </c>
      <c r="F119" s="3117">
        <v>15</v>
      </c>
    </row>
    <row r="120" spans="1:6" ht="13.5">
      <c r="A120" s="3117">
        <v>48</v>
      </c>
      <c r="B120" s="3767" t="s">
        <v>2753</v>
      </c>
      <c r="C120" s="3117" t="s">
        <v>2754</v>
      </c>
      <c r="D120" s="3091" t="s">
        <v>2755</v>
      </c>
      <c r="E120" s="3117">
        <v>0.1</v>
      </c>
      <c r="F120" s="3117">
        <v>15</v>
      </c>
    </row>
    <row r="121" spans="1:6" ht="13.5">
      <c r="A121" s="3117">
        <v>49</v>
      </c>
      <c r="B121" s="3768"/>
      <c r="C121" s="3117" t="s">
        <v>2756</v>
      </c>
      <c r="D121" s="3091" t="s">
        <v>2757</v>
      </c>
      <c r="E121" s="3117">
        <v>0.1</v>
      </c>
      <c r="F121" s="3117">
        <v>15</v>
      </c>
    </row>
    <row r="122" spans="1:6" ht="24">
      <c r="A122" s="3117">
        <v>50</v>
      </c>
      <c r="B122" s="3766" t="s">
        <v>2758</v>
      </c>
      <c r="C122" s="3117" t="s">
        <v>2759</v>
      </c>
      <c r="D122" s="3091" t="s">
        <v>2760</v>
      </c>
      <c r="E122" s="3117">
        <v>0.1</v>
      </c>
      <c r="F122" s="3117">
        <v>15</v>
      </c>
    </row>
    <row r="123" spans="1:6" ht="24">
      <c r="A123" s="3117">
        <v>51</v>
      </c>
      <c r="B123" s="3766"/>
      <c r="C123" s="3117" t="s">
        <v>2761</v>
      </c>
      <c r="D123" s="3091" t="s">
        <v>2762</v>
      </c>
      <c r="E123" s="3117">
        <v>0.1</v>
      </c>
      <c r="F123" s="3117">
        <v>15</v>
      </c>
    </row>
    <row r="124" spans="1:6" ht="24">
      <c r="A124" s="3117">
        <v>52</v>
      </c>
      <c r="B124" s="3766" t="s">
        <v>2763</v>
      </c>
      <c r="C124" s="3117" t="s">
        <v>2764</v>
      </c>
      <c r="D124" s="3091" t="s">
        <v>2765</v>
      </c>
      <c r="E124" s="3117">
        <v>0.1</v>
      </c>
      <c r="F124" s="3117">
        <v>15</v>
      </c>
    </row>
    <row r="125" spans="1:6" ht="24">
      <c r="A125" s="3117">
        <v>53</v>
      </c>
      <c r="B125" s="376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6" t="s">
        <v>2771</v>
      </c>
      <c r="C127" s="3117" t="s">
        <v>2772</v>
      </c>
      <c r="D127" s="3091" t="s">
        <v>2773</v>
      </c>
      <c r="E127" s="3117">
        <v>0.1</v>
      </c>
      <c r="F127" s="3117">
        <v>15</v>
      </c>
    </row>
    <row r="128" spans="1:6" ht="13.5">
      <c r="A128" s="3117">
        <v>56</v>
      </c>
      <c r="B128" s="3766"/>
      <c r="C128" s="3117" t="s">
        <v>2774</v>
      </c>
      <c r="D128" s="3091" t="s">
        <v>2775</v>
      </c>
      <c r="E128" s="3117">
        <v>0.1</v>
      </c>
      <c r="F128" s="3117">
        <v>15</v>
      </c>
    </row>
    <row r="129" spans="1:6" ht="24">
      <c r="A129" s="3117">
        <v>57</v>
      </c>
      <c r="B129" s="3766"/>
      <c r="C129" s="3117" t="s">
        <v>2776</v>
      </c>
      <c r="D129" s="3091" t="s">
        <v>2777</v>
      </c>
      <c r="E129" s="3117">
        <v>0.1</v>
      </c>
      <c r="F129" s="3117">
        <v>15</v>
      </c>
    </row>
    <row r="130" spans="1:6" ht="24">
      <c r="A130" s="3117">
        <v>58</v>
      </c>
      <c r="B130" s="3766" t="s">
        <v>2778</v>
      </c>
      <c r="C130" s="3117" t="s">
        <v>2779</v>
      </c>
      <c r="D130" s="3091" t="s">
        <v>2780</v>
      </c>
      <c r="E130" s="3117">
        <v>0.1</v>
      </c>
      <c r="F130" s="3117">
        <v>15</v>
      </c>
    </row>
    <row r="131" spans="1:6" ht="13.5">
      <c r="A131" s="3117">
        <v>59</v>
      </c>
      <c r="B131" s="3766"/>
      <c r="C131" s="3117" t="s">
        <v>2781</v>
      </c>
      <c r="D131" s="3091" t="s">
        <v>2782</v>
      </c>
      <c r="E131" s="3117">
        <v>0.1</v>
      </c>
      <c r="F131" s="3117">
        <v>15</v>
      </c>
    </row>
    <row r="132" spans="1:6" ht="13.5">
      <c r="A132" s="3117">
        <v>60</v>
      </c>
      <c r="B132" s="3767" t="s">
        <v>2783</v>
      </c>
      <c r="C132" s="3117" t="s">
        <v>2784</v>
      </c>
      <c r="D132" s="3091" t="s">
        <v>2785</v>
      </c>
      <c r="E132" s="3117">
        <v>0.1</v>
      </c>
      <c r="F132" s="3117">
        <v>15</v>
      </c>
    </row>
    <row r="133" spans="1:6" ht="13.5">
      <c r="A133" s="3117">
        <v>61</v>
      </c>
      <c r="B133" s="376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6" t="s">
        <v>2791</v>
      </c>
      <c r="C135" s="3117" t="s">
        <v>2792</v>
      </c>
      <c r="D135" s="3091" t="s">
        <v>2793</v>
      </c>
      <c r="E135" s="3117">
        <v>0.1</v>
      </c>
      <c r="F135" s="3117">
        <v>15</v>
      </c>
    </row>
    <row r="136" spans="1:6" ht="13.5">
      <c r="A136" s="3117">
        <v>64</v>
      </c>
      <c r="B136" s="376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50">
        <f ca="1">结果表!H101</f>
        <v>67475</v>
      </c>
      <c r="E5" s="1490"/>
    </row>
    <row r="6" spans="1:5" ht="15.75">
      <c r="A6" s="1490"/>
      <c r="B6" s="3461"/>
      <c r="C6" s="1493" t="s">
        <v>911</v>
      </c>
      <c r="D6" s="850" t="str">
        <f ca="1">NUMBERSTRING(INT(D5*10000),2)&amp;"元整"</f>
        <v>陆亿柒仟肆佰柒拾伍万元整</v>
      </c>
      <c r="E6" s="1490"/>
    </row>
    <row r="7" spans="1:5" ht="15.75">
      <c r="A7" s="1490"/>
      <c r="B7" s="3466"/>
      <c r="C7" s="1494" t="s">
        <v>912</v>
      </c>
      <c r="D7" s="851">
        <f ca="1">结果表!H102</f>
        <v>16993</v>
      </c>
      <c r="E7" s="1490"/>
    </row>
    <row r="8" spans="1:5" ht="15.75">
      <c r="A8" s="1490"/>
      <c r="B8" s="3467" t="str">
        <f>结果表!E103</f>
        <v>2.估价师知悉的法定优先受偿款</v>
      </c>
      <c r="C8" s="1495" t="s">
        <v>913</v>
      </c>
      <c r="D8" s="851">
        <f>结果表!H103</f>
        <v>0</v>
      </c>
      <c r="E8" s="1490"/>
    </row>
    <row r="9" spans="1:5" ht="15.75">
      <c r="A9" s="1490"/>
      <c r="B9" s="346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0" t="str">
        <f>结果表!E107</f>
        <v>3.房地产抵押价值</v>
      </c>
      <c r="C13" s="1498" t="s">
        <v>910</v>
      </c>
      <c r="D13" s="853">
        <f ca="1">结果表!H107</f>
        <v>67475</v>
      </c>
      <c r="E13" s="1490"/>
    </row>
    <row r="14" spans="1:5" ht="15.75">
      <c r="A14" s="1490"/>
      <c r="B14" s="3461"/>
      <c r="C14" s="1493" t="s">
        <v>911</v>
      </c>
      <c r="D14" s="850" t="str">
        <f ca="1">NUMBERSTRING(INT(D13*10000),2)&amp;"元整"</f>
        <v>陆亿柒仟肆佰柒拾伍万元整</v>
      </c>
      <c r="E14" s="1490"/>
    </row>
    <row r="15" spans="1:5" ht="15">
      <c r="A15" s="1490"/>
      <c r="B15" s="3466"/>
      <c r="C15" s="1494" t="s">
        <v>921</v>
      </c>
      <c r="D15" s="859">
        <f ca="1">结果表!H108</f>
        <v>16993</v>
      </c>
      <c r="E15" s="1490"/>
    </row>
    <row r="16" spans="1:5" ht="15">
      <c r="A16" s="1490"/>
      <c r="B16" s="3467" t="str">
        <f>结果表!E109</f>
        <v>——</v>
      </c>
      <c r="C16" s="1498" t="s">
        <v>922</v>
      </c>
      <c r="D16" s="1499" t="str">
        <f>结果表!H109</f>
        <v>——</v>
      </c>
      <c r="E16" s="1490"/>
    </row>
    <row r="17" spans="1:5" ht="15.75">
      <c r="A17" s="1490"/>
      <c r="B17" s="3468"/>
      <c r="C17" s="1493" t="s">
        <v>923</v>
      </c>
      <c r="D17" s="850" t="e">
        <f>NUMBERSTRING(INT(D16*10000),2)&amp;"元整"</f>
        <v>#VALUE!</v>
      </c>
      <c r="E17" s="1490"/>
    </row>
    <row r="18" spans="1:5" ht="15">
      <c r="A18" s="1490"/>
      <c r="B18" s="3469"/>
      <c r="C18" s="1494" t="s">
        <v>912</v>
      </c>
      <c r="D18" s="859" t="str">
        <f>结果表!H110</f>
        <v>——</v>
      </c>
      <c r="E18" s="1490"/>
    </row>
    <row r="19" spans="1:5" ht="15.75">
      <c r="A19" s="1490"/>
      <c r="B19" s="3460" t="str">
        <f>结果表!E111</f>
        <v>——</v>
      </c>
      <c r="C19" s="1498" t="s">
        <v>910</v>
      </c>
      <c r="D19" s="851" t="str">
        <f>结果表!H111</f>
        <v>——</v>
      </c>
      <c r="E19" s="1490"/>
    </row>
    <row r="20" spans="1:5" ht="15.75">
      <c r="A20" s="1490"/>
      <c r="B20" s="3461"/>
      <c r="C20" s="1493" t="s">
        <v>923</v>
      </c>
      <c r="D20" s="850" t="e">
        <f>NUMBERSTRING(INT(D19*10000),2)&amp;"元整"</f>
        <v>#VALUE!</v>
      </c>
      <c r="E20" s="1490"/>
    </row>
    <row r="21" spans="1:5" ht="15.75" thickBot="1">
      <c r="A21" s="1490"/>
      <c r="B21" s="346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0.8901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0.84670000000000001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58225</v>
      </c>
      <c r="C2" s="2" t="s">
        <v>106</v>
      </c>
      <c r="D2" s="199"/>
      <c r="E2" s="199"/>
      <c r="F2" s="199"/>
      <c r="G2" s="199"/>
    </row>
    <row r="3" spans="1:7" s="200" customFormat="1" ht="18" customHeight="1" thickBot="1">
      <c r="A3" s="203" t="s">
        <v>58</v>
      </c>
      <c r="B3" s="204">
        <f ca="1">ROUND(B2*10000/'数据-汇总表'!E3,0)</f>
        <v>14663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39707.960000000006</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1518</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56</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3056</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3056</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28574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24861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23031</v>
      </c>
      <c r="D34" s="217"/>
      <c r="E34" s="220"/>
      <c r="F34" s="257">
        <f>IF('数据-取费表'!B24=0,1,'数据-取费表'!N16)</f>
        <v>1</v>
      </c>
      <c r="G34" s="219" t="s">
        <v>89</v>
      </c>
    </row>
    <row r="35" spans="1:7" ht="13.5" customHeight="1">
      <c r="A35" s="780" t="s">
        <v>351</v>
      </c>
      <c r="B35" s="215" t="s">
        <v>33</v>
      </c>
      <c r="C35" s="220">
        <f>ROUND(C34*F35,0)</f>
        <v>691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39707.960000000006</v>
      </c>
      <c r="E37" s="249">
        <f>'数据-取费表'!B35</f>
        <v>200</v>
      </c>
      <c r="F37" s="259"/>
      <c r="G37" s="261" t="s">
        <v>92</v>
      </c>
    </row>
    <row r="38" spans="1:7" ht="13.5" customHeight="1">
      <c r="A38" s="780" t="s">
        <v>354</v>
      </c>
      <c r="B38" s="215" t="s">
        <v>36</v>
      </c>
      <c r="C38" s="220">
        <f>ROUND(C34*F38,0)</f>
        <v>345</v>
      </c>
      <c r="D38" s="220"/>
      <c r="E38" s="220"/>
      <c r="F38" s="259">
        <f>'数据-取费表'!B36</f>
        <v>1.4999999999999999E-2</v>
      </c>
      <c r="G38" s="219" t="s">
        <v>90</v>
      </c>
    </row>
    <row r="39" spans="1:7" s="214" customFormat="1" ht="13.5" customHeight="1">
      <c r="A39" s="777" t="s">
        <v>338</v>
      </c>
      <c r="B39" s="210" t="s">
        <v>77</v>
      </c>
      <c r="C39" s="232">
        <f>ROUND(C33*F20,0)</f>
        <v>497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875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858</v>
      </c>
      <c r="D42" s="238"/>
      <c r="E42" s="238"/>
      <c r="F42" s="239"/>
      <c r="G42" s="3642" t="s">
        <v>94</v>
      </c>
    </row>
    <row r="43" spans="1:7" ht="13.5" customHeight="1">
      <c r="A43" s="780" t="s">
        <v>347</v>
      </c>
      <c r="B43" s="215" t="s">
        <v>426</v>
      </c>
      <c r="C43" s="238">
        <f ca="1">ROUND(IF('数据-取费表'!B22&lt;=1,C39*F22*'数据-取费表'!B21/2,C39*(POWER((1+F22),'数据-取费表'!B21/2)-1)),0)</f>
        <v>17</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3550</v>
      </c>
      <c r="D45" s="235">
        <f>C47</f>
        <v>2.8E-3</v>
      </c>
      <c r="E45" s="236" t="s">
        <v>102</v>
      </c>
      <c r="F45" s="246"/>
      <c r="G45" s="247" t="s">
        <v>434</v>
      </c>
    </row>
    <row r="46" spans="1:7" s="214" customFormat="1" ht="13.5" customHeight="1">
      <c r="A46" s="780" t="s">
        <v>349</v>
      </c>
      <c r="B46" s="248" t="s">
        <v>427</v>
      </c>
      <c r="C46" s="249">
        <f>ROUND((C33+C39)*F27,0)</f>
        <v>3550</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32229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29651</v>
      </c>
      <c r="D51" s="232"/>
      <c r="E51" s="232"/>
      <c r="F51" s="264"/>
      <c r="G51" s="234" t="s">
        <v>37</v>
      </c>
    </row>
    <row r="52" spans="1:7" s="208" customFormat="1" ht="16.5" thickBot="1">
      <c r="A52" s="265" t="s">
        <v>38</v>
      </c>
      <c r="B52" s="266"/>
      <c r="C52" s="267">
        <f ca="1">C31+C51</f>
        <v>58225</v>
      </c>
      <c r="D52" s="266"/>
      <c r="E52" s="266"/>
      <c r="F52" s="266"/>
      <c r="G52" s="268"/>
    </row>
    <row r="55" spans="1:7" ht="15">
      <c r="B55" s="270" t="s">
        <v>39</v>
      </c>
      <c r="C55" s="271"/>
    </row>
    <row r="56" spans="1:7">
      <c r="B56" s="273" t="s">
        <v>40</v>
      </c>
      <c r="C56" s="274">
        <f ca="1">ROUND(C51/C52,3)</f>
        <v>0.50900000000000001</v>
      </c>
    </row>
    <row r="57" spans="1:7">
      <c r="B57" s="273" t="s">
        <v>41</v>
      </c>
      <c r="C57" s="275">
        <f ca="1">1-C56</f>
        <v>0.49099999999999999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31"/>
  <sheetViews>
    <sheetView topLeftCell="G1" zoomScaleNormal="100" workbookViewId="0">
      <selection activeCell="G7" sqref="A7:XFD8"/>
    </sheetView>
  </sheetViews>
  <sheetFormatPr defaultRowHeight="13.5"/>
  <cols>
    <col min="1" max="1" width="37.125" customWidth="1"/>
    <col min="11" max="12" width="11.625" style="3807" bestFit="1" customWidth="1"/>
  </cols>
  <sheetData>
    <row r="1" spans="1:23">
      <c r="A1" t="s">
        <v>3437</v>
      </c>
      <c r="B1" t="s">
        <v>3438</v>
      </c>
      <c r="C1" t="s">
        <v>3439</v>
      </c>
      <c r="D1" t="s">
        <v>3440</v>
      </c>
      <c r="E1" t="s">
        <v>3441</v>
      </c>
      <c r="F1" t="s">
        <v>3442</v>
      </c>
      <c r="G1" t="s">
        <v>3443</v>
      </c>
      <c r="H1" t="s">
        <v>3444</v>
      </c>
      <c r="I1" t="s">
        <v>3445</v>
      </c>
      <c r="J1" t="s">
        <v>3446</v>
      </c>
      <c r="K1" s="3807" t="s">
        <v>3447</v>
      </c>
      <c r="L1" s="3807" t="s">
        <v>3448</v>
      </c>
      <c r="M1" t="s">
        <v>3449</v>
      </c>
      <c r="N1" t="s">
        <v>3450</v>
      </c>
      <c r="O1" t="s">
        <v>3451</v>
      </c>
      <c r="P1" t="s">
        <v>3452</v>
      </c>
      <c r="Q1" t="s">
        <v>3453</v>
      </c>
      <c r="R1" t="s">
        <v>3454</v>
      </c>
      <c r="S1" t="s">
        <v>3455</v>
      </c>
      <c r="T1" t="s">
        <v>3456</v>
      </c>
      <c r="U1" t="s">
        <v>3457</v>
      </c>
      <c r="V1" t="s">
        <v>3458</v>
      </c>
      <c r="W1" t="s">
        <v>3459</v>
      </c>
    </row>
    <row r="2" spans="1:23">
      <c r="A2" t="s">
        <v>3460</v>
      </c>
      <c r="B2" t="s">
        <v>3461</v>
      </c>
      <c r="C2" t="s">
        <v>3462</v>
      </c>
      <c r="D2" t="s">
        <v>3463</v>
      </c>
      <c r="E2">
        <v>64012.4</v>
      </c>
      <c r="F2">
        <v>192037.19</v>
      </c>
      <c r="G2">
        <v>3</v>
      </c>
      <c r="H2" t="s">
        <v>3464</v>
      </c>
      <c r="I2" t="s">
        <v>3465</v>
      </c>
      <c r="J2" t="s">
        <v>3466</v>
      </c>
      <c r="K2" s="3807">
        <v>44931.000497685185</v>
      </c>
      <c r="L2" s="3807">
        <v>44931.000497685185</v>
      </c>
      <c r="M2" t="s">
        <v>3467</v>
      </c>
      <c r="N2" t="s">
        <v>3468</v>
      </c>
      <c r="O2">
        <v>177000</v>
      </c>
      <c r="P2">
        <v>36000</v>
      </c>
      <c r="Q2" t="s">
        <v>3469</v>
      </c>
      <c r="R2">
        <v>177000</v>
      </c>
      <c r="S2">
        <v>27650.89</v>
      </c>
      <c r="T2">
        <v>1843.39</v>
      </c>
      <c r="U2">
        <v>9217</v>
      </c>
      <c r="V2">
        <v>0</v>
      </c>
      <c r="W2" t="s">
        <v>3470</v>
      </c>
    </row>
    <row r="3" spans="1:23">
      <c r="A3" t="s">
        <v>3471</v>
      </c>
      <c r="B3" t="s">
        <v>3461</v>
      </c>
      <c r="C3" t="s">
        <v>3472</v>
      </c>
      <c r="D3" t="s">
        <v>3463</v>
      </c>
      <c r="E3">
        <v>12136.3</v>
      </c>
      <c r="F3">
        <v>42477</v>
      </c>
      <c r="G3">
        <v>3.5</v>
      </c>
      <c r="H3" t="s">
        <v>3464</v>
      </c>
      <c r="I3" t="s">
        <v>3473</v>
      </c>
      <c r="J3" t="s">
        <v>3466</v>
      </c>
      <c r="K3" s="3807">
        <v>44495.000497685185</v>
      </c>
      <c r="L3" s="3807">
        <v>44495.000497685185</v>
      </c>
      <c r="M3" t="s">
        <v>3467</v>
      </c>
      <c r="N3" t="s">
        <v>3474</v>
      </c>
      <c r="O3">
        <v>71000</v>
      </c>
      <c r="P3">
        <v>14200</v>
      </c>
      <c r="Q3" t="s">
        <v>3475</v>
      </c>
      <c r="R3">
        <v>71000</v>
      </c>
      <c r="S3">
        <v>58502.18</v>
      </c>
      <c r="T3">
        <v>3900.15</v>
      </c>
      <c r="U3">
        <v>16715</v>
      </c>
      <c r="V3">
        <v>0</v>
      </c>
      <c r="W3" t="s">
        <v>3476</v>
      </c>
    </row>
    <row r="4" spans="1:23">
      <c r="A4" t="s">
        <v>3477</v>
      </c>
      <c r="B4" t="s">
        <v>3461</v>
      </c>
      <c r="C4" t="s">
        <v>3478</v>
      </c>
      <c r="D4" t="s">
        <v>3463</v>
      </c>
      <c r="E4">
        <v>28676.63</v>
      </c>
      <c r="F4">
        <v>114706.51</v>
      </c>
      <c r="G4" t="s">
        <v>3479</v>
      </c>
      <c r="H4" t="s">
        <v>3464</v>
      </c>
      <c r="I4" t="s">
        <v>3480</v>
      </c>
      <c r="J4" t="s">
        <v>3466</v>
      </c>
      <c r="K4" s="3807">
        <v>44179.000497685185</v>
      </c>
      <c r="L4" s="3807">
        <v>44179.000497685185</v>
      </c>
      <c r="M4" t="s">
        <v>3467</v>
      </c>
      <c r="N4" t="s">
        <v>3481</v>
      </c>
      <c r="O4">
        <v>175500</v>
      </c>
      <c r="P4">
        <v>35500</v>
      </c>
      <c r="Q4" t="s">
        <v>3482</v>
      </c>
      <c r="R4">
        <v>175500</v>
      </c>
      <c r="S4">
        <v>61199.66</v>
      </c>
      <c r="T4">
        <v>4079.98</v>
      </c>
      <c r="U4">
        <v>15300</v>
      </c>
      <c r="V4">
        <v>0</v>
      </c>
      <c r="W4" t="s">
        <v>3483</v>
      </c>
    </row>
    <row r="5" spans="1:23">
      <c r="A5" t="s">
        <v>3484</v>
      </c>
      <c r="B5" t="s">
        <v>3461</v>
      </c>
      <c r="C5" t="s">
        <v>3485</v>
      </c>
      <c r="D5" t="s">
        <v>3463</v>
      </c>
      <c r="E5">
        <v>30159.25</v>
      </c>
      <c r="F5">
        <v>138421</v>
      </c>
      <c r="G5" t="s">
        <v>3486</v>
      </c>
      <c r="H5" t="s">
        <v>3464</v>
      </c>
      <c r="I5" t="s">
        <v>3473</v>
      </c>
      <c r="J5" t="s">
        <v>3466</v>
      </c>
      <c r="K5" s="3807">
        <v>43811.000497685185</v>
      </c>
      <c r="L5" s="3807">
        <v>43811.000497685185</v>
      </c>
      <c r="M5" t="s">
        <v>3467</v>
      </c>
      <c r="N5" t="s">
        <v>3487</v>
      </c>
      <c r="O5">
        <v>230100</v>
      </c>
      <c r="P5">
        <v>46100</v>
      </c>
      <c r="Q5" t="s">
        <v>3488</v>
      </c>
      <c r="R5">
        <v>230100</v>
      </c>
      <c r="S5">
        <v>76295</v>
      </c>
      <c r="T5">
        <v>5086.33</v>
      </c>
      <c r="U5">
        <v>16623</v>
      </c>
      <c r="V5">
        <v>0</v>
      </c>
      <c r="W5" t="s">
        <v>3483</v>
      </c>
    </row>
    <row r="6" spans="1:23">
      <c r="A6" t="s">
        <v>3489</v>
      </c>
      <c r="B6" t="s">
        <v>3461</v>
      </c>
      <c r="C6" t="s">
        <v>3490</v>
      </c>
      <c r="D6" t="s">
        <v>3463</v>
      </c>
      <c r="E6">
        <v>35629.120000000003</v>
      </c>
      <c r="F6">
        <v>100429</v>
      </c>
      <c r="G6" t="s">
        <v>3491</v>
      </c>
      <c r="H6" t="s">
        <v>3464</v>
      </c>
      <c r="I6" t="s">
        <v>3492</v>
      </c>
      <c r="J6" t="s">
        <v>3466</v>
      </c>
      <c r="K6" s="3807">
        <v>43811.000497685185</v>
      </c>
      <c r="L6" s="3807">
        <v>43811.000497685185</v>
      </c>
      <c r="M6" t="s">
        <v>3467</v>
      </c>
      <c r="N6" t="s">
        <v>3487</v>
      </c>
      <c r="O6">
        <v>166700</v>
      </c>
      <c r="P6">
        <v>33400</v>
      </c>
      <c r="Q6" t="s">
        <v>3488</v>
      </c>
      <c r="R6">
        <v>166700</v>
      </c>
      <c r="S6">
        <v>46787.57</v>
      </c>
      <c r="T6">
        <v>3119.17</v>
      </c>
      <c r="U6">
        <v>16599</v>
      </c>
      <c r="V6">
        <v>0</v>
      </c>
      <c r="W6" t="s">
        <v>3483</v>
      </c>
    </row>
    <row r="7" spans="1:23">
      <c r="A7" t="s">
        <v>3493</v>
      </c>
      <c r="B7" t="s">
        <v>3461</v>
      </c>
      <c r="C7" t="s">
        <v>3494</v>
      </c>
      <c r="D7" t="s">
        <v>3463</v>
      </c>
      <c r="E7">
        <v>59747.77</v>
      </c>
      <c r="F7">
        <v>89622</v>
      </c>
      <c r="G7">
        <v>1.5</v>
      </c>
      <c r="H7" t="s">
        <v>3464</v>
      </c>
      <c r="I7" t="s">
        <v>3465</v>
      </c>
      <c r="J7" t="s">
        <v>3466</v>
      </c>
      <c r="K7" s="3807">
        <v>43109.000497685185</v>
      </c>
      <c r="L7" s="3807">
        <v>43109.000497685185</v>
      </c>
      <c r="M7" t="s">
        <v>3467</v>
      </c>
      <c r="N7" t="s">
        <v>3495</v>
      </c>
      <c r="O7">
        <v>146800</v>
      </c>
      <c r="P7">
        <v>44000</v>
      </c>
      <c r="Q7" t="s">
        <v>633</v>
      </c>
      <c r="R7">
        <v>146800</v>
      </c>
      <c r="S7">
        <v>24569.95</v>
      </c>
      <c r="T7">
        <v>1638</v>
      </c>
      <c r="U7">
        <v>16380</v>
      </c>
      <c r="V7">
        <v>0</v>
      </c>
      <c r="W7" t="s">
        <v>3496</v>
      </c>
    </row>
    <row r="8" spans="1:23">
      <c r="A8" t="s">
        <v>3497</v>
      </c>
      <c r="B8" t="s">
        <v>3461</v>
      </c>
      <c r="C8" t="s">
        <v>3498</v>
      </c>
      <c r="D8" t="s">
        <v>3463</v>
      </c>
      <c r="E8">
        <v>31420.65</v>
      </c>
      <c r="F8">
        <v>65983</v>
      </c>
      <c r="G8">
        <v>2.1</v>
      </c>
      <c r="H8" t="s">
        <v>3464</v>
      </c>
      <c r="I8" t="s">
        <v>3465</v>
      </c>
      <c r="J8" t="s">
        <v>3466</v>
      </c>
      <c r="K8" s="3807">
        <v>43109.000497685185</v>
      </c>
      <c r="L8" s="3807">
        <v>43109.000497685185</v>
      </c>
      <c r="M8" t="s">
        <v>3467</v>
      </c>
      <c r="N8" t="s">
        <v>3499</v>
      </c>
      <c r="O8">
        <v>108100</v>
      </c>
      <c r="P8">
        <v>33000</v>
      </c>
      <c r="Q8" t="s">
        <v>633</v>
      </c>
      <c r="R8">
        <v>108100</v>
      </c>
      <c r="S8">
        <v>34404.120000000003</v>
      </c>
      <c r="T8">
        <v>2293.61</v>
      </c>
      <c r="U8">
        <v>16383</v>
      </c>
      <c r="V8">
        <v>0</v>
      </c>
      <c r="W8" t="s">
        <v>3496</v>
      </c>
    </row>
    <row r="9" spans="1:23">
      <c r="A9" t="s">
        <v>3500</v>
      </c>
      <c r="B9" t="s">
        <v>3461</v>
      </c>
      <c r="C9" t="s">
        <v>3501</v>
      </c>
      <c r="D9" t="s">
        <v>3463</v>
      </c>
      <c r="E9">
        <v>16863.939999999999</v>
      </c>
      <c r="F9">
        <v>87923.61</v>
      </c>
      <c r="G9">
        <v>5.21</v>
      </c>
      <c r="H9" t="s">
        <v>3464</v>
      </c>
      <c r="I9" t="s">
        <v>3473</v>
      </c>
      <c r="J9" t="s">
        <v>3466</v>
      </c>
      <c r="K9" s="3807">
        <v>43053.000497685185</v>
      </c>
      <c r="L9" s="3807">
        <v>43053.000497685185</v>
      </c>
      <c r="M9" t="s">
        <v>3467</v>
      </c>
      <c r="N9" t="s">
        <v>3502</v>
      </c>
      <c r="O9">
        <v>211000</v>
      </c>
      <c r="P9">
        <v>64000</v>
      </c>
      <c r="Q9" t="s">
        <v>633</v>
      </c>
      <c r="R9">
        <v>211000</v>
      </c>
      <c r="S9">
        <v>125119.03999999999</v>
      </c>
      <c r="T9">
        <v>8341.27</v>
      </c>
      <c r="U9">
        <v>23998</v>
      </c>
      <c r="V9">
        <v>0</v>
      </c>
      <c r="W9" t="s">
        <v>3483</v>
      </c>
    </row>
    <row r="10" spans="1:23">
      <c r="A10" t="s">
        <v>3503</v>
      </c>
      <c r="B10" t="s">
        <v>3461</v>
      </c>
      <c r="C10" t="s">
        <v>3504</v>
      </c>
      <c r="D10" t="s">
        <v>3463</v>
      </c>
      <c r="E10">
        <v>69848.44</v>
      </c>
      <c r="F10">
        <v>146863</v>
      </c>
      <c r="G10">
        <v>2.1</v>
      </c>
      <c r="H10" t="s">
        <v>3464</v>
      </c>
      <c r="I10" t="s">
        <v>3465</v>
      </c>
      <c r="J10" t="s">
        <v>3466</v>
      </c>
      <c r="K10" s="3807">
        <v>42711.000497685185</v>
      </c>
      <c r="L10" s="3807">
        <v>42711.000497685185</v>
      </c>
      <c r="M10" t="s">
        <v>3467</v>
      </c>
      <c r="N10" t="s">
        <v>3505</v>
      </c>
      <c r="O10">
        <v>220000</v>
      </c>
      <c r="P10">
        <v>66000</v>
      </c>
      <c r="Q10" t="s">
        <v>633</v>
      </c>
      <c r="R10">
        <v>220000</v>
      </c>
      <c r="S10">
        <v>31496.76</v>
      </c>
      <c r="T10">
        <v>2099.7800000000002</v>
      </c>
      <c r="U10">
        <v>14980</v>
      </c>
      <c r="V10">
        <v>0</v>
      </c>
      <c r="W10" t="s">
        <v>3496</v>
      </c>
    </row>
    <row r="11" spans="1:23">
      <c r="A11" t="s">
        <v>3506</v>
      </c>
      <c r="B11" t="s">
        <v>3461</v>
      </c>
      <c r="C11" t="s">
        <v>3507</v>
      </c>
      <c r="D11" t="s">
        <v>3463</v>
      </c>
      <c r="E11">
        <v>66079.679999999993</v>
      </c>
      <c r="F11">
        <v>111429</v>
      </c>
      <c r="G11">
        <v>1.69</v>
      </c>
      <c r="H11" t="s">
        <v>3464</v>
      </c>
      <c r="I11" t="s">
        <v>3465</v>
      </c>
      <c r="J11" t="s">
        <v>3466</v>
      </c>
      <c r="K11" s="3807">
        <v>42711.000497685185</v>
      </c>
      <c r="L11" s="3807">
        <v>42711.000497685185</v>
      </c>
      <c r="M11" t="s">
        <v>3467</v>
      </c>
      <c r="N11" t="s">
        <v>3499</v>
      </c>
      <c r="O11">
        <v>135000</v>
      </c>
      <c r="P11">
        <v>40000</v>
      </c>
      <c r="Q11" t="s">
        <v>633</v>
      </c>
      <c r="R11">
        <v>135000</v>
      </c>
      <c r="S11">
        <v>20429.88</v>
      </c>
      <c r="T11">
        <v>1361.99</v>
      </c>
      <c r="U11">
        <v>12115</v>
      </c>
      <c r="V11">
        <v>0</v>
      </c>
      <c r="W11" t="s">
        <v>3496</v>
      </c>
    </row>
    <row r="12" spans="1:23">
      <c r="A12" t="s">
        <v>3508</v>
      </c>
      <c r="B12" t="s">
        <v>3461</v>
      </c>
      <c r="C12" t="s">
        <v>3509</v>
      </c>
      <c r="D12" t="s">
        <v>3463</v>
      </c>
      <c r="E12">
        <v>35244.94</v>
      </c>
      <c r="F12">
        <v>123357</v>
      </c>
      <c r="G12">
        <v>3.5</v>
      </c>
      <c r="H12" t="s">
        <v>3464</v>
      </c>
      <c r="I12" t="s">
        <v>3473</v>
      </c>
      <c r="J12" t="s">
        <v>3466</v>
      </c>
      <c r="K12" s="3807">
        <v>42331.000497685185</v>
      </c>
      <c r="L12" s="3807">
        <v>42331.000497685185</v>
      </c>
      <c r="M12" t="s">
        <v>3467</v>
      </c>
      <c r="N12" t="s">
        <v>3510</v>
      </c>
      <c r="O12">
        <v>160000</v>
      </c>
      <c r="P12">
        <v>48000</v>
      </c>
      <c r="Q12" t="s">
        <v>633</v>
      </c>
      <c r="R12">
        <v>354000</v>
      </c>
      <c r="S12">
        <v>100439.95</v>
      </c>
      <c r="T12">
        <v>6696</v>
      </c>
      <c r="U12">
        <v>28697</v>
      </c>
      <c r="V12">
        <v>121.25</v>
      </c>
      <c r="W12" t="s">
        <v>3483</v>
      </c>
    </row>
    <row r="13" spans="1:23">
      <c r="A13" t="s">
        <v>3511</v>
      </c>
      <c r="B13" t="s">
        <v>3461</v>
      </c>
      <c r="C13" t="s">
        <v>3512</v>
      </c>
      <c r="D13" t="s">
        <v>3463</v>
      </c>
      <c r="E13">
        <v>27377.24</v>
      </c>
      <c r="F13">
        <v>62968</v>
      </c>
      <c r="G13">
        <v>2.2999999999999998</v>
      </c>
      <c r="H13" t="s">
        <v>3464</v>
      </c>
      <c r="I13" t="s">
        <v>3465</v>
      </c>
      <c r="J13" t="s">
        <v>3466</v>
      </c>
      <c r="K13" s="3807">
        <v>42304.000497685185</v>
      </c>
      <c r="L13" s="3807">
        <v>42304.000497685185</v>
      </c>
      <c r="M13" t="s">
        <v>3467</v>
      </c>
      <c r="N13" t="s">
        <v>3505</v>
      </c>
      <c r="O13">
        <v>65000</v>
      </c>
      <c r="P13">
        <v>20000</v>
      </c>
      <c r="Q13" t="s">
        <v>633</v>
      </c>
      <c r="R13">
        <v>65000</v>
      </c>
      <c r="S13">
        <v>23742.35</v>
      </c>
      <c r="T13">
        <v>1582.82</v>
      </c>
      <c r="U13">
        <v>10323</v>
      </c>
      <c r="V13">
        <v>0</v>
      </c>
      <c r="W13" t="s">
        <v>3496</v>
      </c>
    </row>
    <row r="14" spans="1:23">
      <c r="A14" t="s">
        <v>3513</v>
      </c>
      <c r="B14" t="s">
        <v>3461</v>
      </c>
      <c r="C14" t="s">
        <v>3514</v>
      </c>
      <c r="D14" t="s">
        <v>3463</v>
      </c>
      <c r="E14">
        <v>23342.84</v>
      </c>
      <c r="F14">
        <v>91000</v>
      </c>
      <c r="G14">
        <v>3.9</v>
      </c>
      <c r="H14" t="s">
        <v>3464</v>
      </c>
      <c r="I14" t="s">
        <v>3515</v>
      </c>
      <c r="J14" t="s">
        <v>3466</v>
      </c>
      <c r="K14" s="3807">
        <v>41871.000497685185</v>
      </c>
      <c r="L14" s="3807">
        <v>41871.000497685185</v>
      </c>
      <c r="M14" t="s">
        <v>3467</v>
      </c>
      <c r="N14" t="s">
        <v>3516</v>
      </c>
      <c r="O14">
        <v>100000</v>
      </c>
      <c r="P14">
        <v>30000</v>
      </c>
      <c r="Q14" t="s">
        <v>633</v>
      </c>
      <c r="R14">
        <v>101000</v>
      </c>
      <c r="S14">
        <v>43268.08</v>
      </c>
      <c r="T14">
        <v>2884.54</v>
      </c>
      <c r="U14">
        <v>11099</v>
      </c>
      <c r="V14">
        <v>1</v>
      </c>
      <c r="W14" t="s">
        <v>3517</v>
      </c>
    </row>
    <row r="15" spans="1:23">
      <c r="A15" t="s">
        <v>3518</v>
      </c>
      <c r="B15" t="s">
        <v>3461</v>
      </c>
      <c r="C15" t="s">
        <v>3519</v>
      </c>
      <c r="D15" t="s">
        <v>3463</v>
      </c>
      <c r="E15">
        <v>28450.28</v>
      </c>
      <c r="F15">
        <v>80000</v>
      </c>
      <c r="G15">
        <v>2.81</v>
      </c>
      <c r="H15" t="s">
        <v>3464</v>
      </c>
      <c r="I15" t="s">
        <v>3520</v>
      </c>
      <c r="J15" t="s">
        <v>3466</v>
      </c>
      <c r="K15" s="3807">
        <v>41568.000497685185</v>
      </c>
      <c r="L15" s="3807">
        <v>41568.000497685185</v>
      </c>
      <c r="M15" t="s">
        <v>3467</v>
      </c>
      <c r="N15" t="s">
        <v>3521</v>
      </c>
      <c r="O15">
        <v>16000</v>
      </c>
      <c r="P15">
        <v>3200</v>
      </c>
      <c r="Q15" t="s">
        <v>633</v>
      </c>
      <c r="R15">
        <v>32200</v>
      </c>
      <c r="S15">
        <v>11317.99</v>
      </c>
      <c r="T15">
        <v>754.53</v>
      </c>
      <c r="U15">
        <v>4025</v>
      </c>
      <c r="V15">
        <v>101.25</v>
      </c>
      <c r="W15" t="s">
        <v>3517</v>
      </c>
    </row>
    <row r="16" spans="1:23">
      <c r="A16" t="s">
        <v>3522</v>
      </c>
      <c r="B16" t="s">
        <v>3461</v>
      </c>
      <c r="C16" t="s">
        <v>3523</v>
      </c>
      <c r="D16" t="s">
        <v>3463</v>
      </c>
      <c r="E16">
        <v>21071.040000000001</v>
      </c>
      <c r="F16">
        <v>105355</v>
      </c>
      <c r="G16">
        <v>5</v>
      </c>
      <c r="H16" t="s">
        <v>3524</v>
      </c>
      <c r="I16" t="s">
        <v>3515</v>
      </c>
      <c r="J16" t="s">
        <v>3466</v>
      </c>
      <c r="K16" s="3807">
        <v>41452.000497685185</v>
      </c>
      <c r="L16" s="3807">
        <v>41452.000497685185</v>
      </c>
      <c r="M16" t="s">
        <v>3467</v>
      </c>
      <c r="N16" t="s">
        <v>3525</v>
      </c>
      <c r="O16" t="s">
        <v>3526</v>
      </c>
      <c r="P16">
        <v>33000</v>
      </c>
      <c r="Q16" t="s">
        <v>633</v>
      </c>
      <c r="R16">
        <v>143000</v>
      </c>
      <c r="S16">
        <v>67865.66</v>
      </c>
      <c r="T16">
        <v>4524.38</v>
      </c>
      <c r="U16">
        <v>13573</v>
      </c>
      <c r="V16">
        <v>0</v>
      </c>
      <c r="W16" t="s">
        <v>3517</v>
      </c>
    </row>
    <row r="17" spans="1:23">
      <c r="A17" t="s">
        <v>3527</v>
      </c>
      <c r="B17" t="s">
        <v>3461</v>
      </c>
      <c r="C17" t="s">
        <v>3528</v>
      </c>
      <c r="D17" t="s">
        <v>3463</v>
      </c>
      <c r="E17">
        <v>11597.79</v>
      </c>
      <c r="F17">
        <v>54665.24</v>
      </c>
      <c r="G17">
        <v>4.71</v>
      </c>
      <c r="H17" t="s">
        <v>3464</v>
      </c>
      <c r="I17" t="s">
        <v>3515</v>
      </c>
      <c r="J17" t="s">
        <v>3466</v>
      </c>
      <c r="K17" s="3807">
        <v>41373.000497685185</v>
      </c>
      <c r="L17" s="3807">
        <v>41373.000497685185</v>
      </c>
      <c r="M17" t="s">
        <v>3467</v>
      </c>
      <c r="N17" t="s">
        <v>3529</v>
      </c>
      <c r="O17">
        <v>42500</v>
      </c>
      <c r="P17">
        <v>12000</v>
      </c>
      <c r="Q17" t="s">
        <v>633</v>
      </c>
      <c r="R17">
        <v>116500</v>
      </c>
      <c r="S17">
        <v>100450.17</v>
      </c>
      <c r="T17">
        <v>6696.68</v>
      </c>
      <c r="U17">
        <v>21312</v>
      </c>
      <c r="V17">
        <v>174.12</v>
      </c>
      <c r="W17" t="s">
        <v>3517</v>
      </c>
    </row>
    <row r="18" spans="1:23">
      <c r="A18" t="s">
        <v>3530</v>
      </c>
      <c r="B18" t="s">
        <v>3461</v>
      </c>
      <c r="C18" t="s">
        <v>3531</v>
      </c>
      <c r="D18" t="s">
        <v>3463</v>
      </c>
      <c r="E18">
        <v>7676</v>
      </c>
      <c r="F18">
        <v>30704</v>
      </c>
      <c r="G18">
        <v>4</v>
      </c>
      <c r="H18" t="s">
        <v>3464</v>
      </c>
      <c r="I18" t="s">
        <v>3532</v>
      </c>
      <c r="J18" t="s">
        <v>3466</v>
      </c>
      <c r="K18" s="3807">
        <v>40408.000497685185</v>
      </c>
      <c r="L18" s="3807">
        <v>40408.000497685185</v>
      </c>
      <c r="M18" t="s">
        <v>3467</v>
      </c>
      <c r="N18" t="s">
        <v>3533</v>
      </c>
      <c r="O18">
        <v>18427</v>
      </c>
      <c r="P18">
        <v>5600</v>
      </c>
      <c r="Q18" t="s">
        <v>633</v>
      </c>
      <c r="R18">
        <v>23000</v>
      </c>
      <c r="S18">
        <v>29963.52</v>
      </c>
      <c r="T18">
        <v>1997.57</v>
      </c>
      <c r="U18">
        <v>7491</v>
      </c>
      <c r="V18">
        <v>24.82</v>
      </c>
      <c r="W18" t="s">
        <v>3534</v>
      </c>
    </row>
    <row r="19" spans="1:23">
      <c r="A19" t="s">
        <v>3535</v>
      </c>
      <c r="B19" t="s">
        <v>3461</v>
      </c>
      <c r="C19" t="s">
        <v>3536</v>
      </c>
      <c r="D19" t="s">
        <v>3463</v>
      </c>
      <c r="E19">
        <v>52086.23</v>
      </c>
      <c r="F19">
        <v>208344.9</v>
      </c>
      <c r="G19">
        <v>4</v>
      </c>
      <c r="H19" t="s">
        <v>3524</v>
      </c>
      <c r="I19" t="s">
        <v>3537</v>
      </c>
      <c r="J19" t="s">
        <v>3466</v>
      </c>
      <c r="K19" s="3807">
        <v>39231.000497685185</v>
      </c>
      <c r="L19" s="3807">
        <v>39231.000497685185</v>
      </c>
      <c r="M19" t="s">
        <v>3467</v>
      </c>
      <c r="N19" t="s">
        <v>3538</v>
      </c>
      <c r="O19">
        <v>51000</v>
      </c>
      <c r="P19">
        <v>5000</v>
      </c>
      <c r="Q19" t="s">
        <v>633</v>
      </c>
      <c r="R19">
        <v>52000</v>
      </c>
      <c r="S19">
        <v>9983.44</v>
      </c>
      <c r="T19">
        <v>665.56</v>
      </c>
      <c r="U19">
        <v>2496</v>
      </c>
      <c r="V19">
        <v>1.96</v>
      </c>
      <c r="W19" t="s">
        <v>3539</v>
      </c>
    </row>
    <row r="20" spans="1:23">
      <c r="A20" t="s">
        <v>3540</v>
      </c>
      <c r="B20" t="s">
        <v>3461</v>
      </c>
      <c r="C20" t="s">
        <v>3541</v>
      </c>
      <c r="D20" t="s">
        <v>3463</v>
      </c>
      <c r="E20">
        <v>8285.0499999999993</v>
      </c>
      <c r="F20">
        <v>33140</v>
      </c>
      <c r="G20">
        <v>4</v>
      </c>
      <c r="H20" t="s">
        <v>3524</v>
      </c>
      <c r="I20" t="s">
        <v>3542</v>
      </c>
      <c r="J20" t="s">
        <v>3466</v>
      </c>
      <c r="K20" s="3807">
        <v>39413.000497685185</v>
      </c>
      <c r="L20" s="3807">
        <v>39413.000497685185</v>
      </c>
      <c r="M20" t="s">
        <v>3467</v>
      </c>
      <c r="N20" t="s">
        <v>3543</v>
      </c>
      <c r="O20">
        <v>10100</v>
      </c>
      <c r="P20">
        <v>1500</v>
      </c>
      <c r="Q20" t="s">
        <v>633</v>
      </c>
      <c r="R20">
        <v>10399.33</v>
      </c>
      <c r="S20">
        <v>12551.92</v>
      </c>
      <c r="T20">
        <v>836.79</v>
      </c>
      <c r="U20">
        <v>3138</v>
      </c>
      <c r="V20">
        <v>2.96</v>
      </c>
      <c r="W20" t="s">
        <v>3544</v>
      </c>
    </row>
    <row r="21" spans="1:23">
      <c r="A21" t="s">
        <v>3545</v>
      </c>
      <c r="B21" t="s">
        <v>3461</v>
      </c>
      <c r="C21" t="s">
        <v>3546</v>
      </c>
      <c r="D21" t="s">
        <v>3463</v>
      </c>
      <c r="E21">
        <v>19063</v>
      </c>
      <c r="F21">
        <v>82465</v>
      </c>
      <c r="G21">
        <v>4.33</v>
      </c>
      <c r="H21" t="s">
        <v>3524</v>
      </c>
      <c r="I21" t="s">
        <v>3542</v>
      </c>
      <c r="J21" t="s">
        <v>3466</v>
      </c>
      <c r="K21" s="3807">
        <v>40521.000497685185</v>
      </c>
      <c r="L21" s="3807">
        <v>40525.000497685185</v>
      </c>
      <c r="M21" t="s">
        <v>3467</v>
      </c>
      <c r="N21" t="s">
        <v>3547</v>
      </c>
      <c r="O21" t="s">
        <v>3526</v>
      </c>
      <c r="P21">
        <v>7000</v>
      </c>
      <c r="Q21" t="s">
        <v>633</v>
      </c>
      <c r="R21">
        <v>52612.67</v>
      </c>
      <c r="S21">
        <v>27599.360000000001</v>
      </c>
      <c r="T21">
        <v>1839.96</v>
      </c>
      <c r="U21">
        <v>6380</v>
      </c>
      <c r="V21">
        <v>0</v>
      </c>
      <c r="W21" t="s">
        <v>3517</v>
      </c>
    </row>
    <row r="22" spans="1:23">
      <c r="A22" t="s">
        <v>3548</v>
      </c>
      <c r="B22" t="s">
        <v>3461</v>
      </c>
      <c r="C22" t="s">
        <v>3549</v>
      </c>
      <c r="D22" t="s">
        <v>3463</v>
      </c>
      <c r="E22">
        <v>19749.66</v>
      </c>
      <c r="F22">
        <v>76348.47</v>
      </c>
      <c r="G22">
        <v>3.87</v>
      </c>
      <c r="H22" t="s">
        <v>3524</v>
      </c>
      <c r="I22" t="s">
        <v>3542</v>
      </c>
      <c r="J22" t="s">
        <v>3466</v>
      </c>
      <c r="K22" s="3807">
        <v>40122.000497685185</v>
      </c>
      <c r="L22" s="3807">
        <v>40128.000497685185</v>
      </c>
      <c r="M22" t="s">
        <v>3467</v>
      </c>
      <c r="N22" t="s">
        <v>3550</v>
      </c>
      <c r="O22">
        <v>26000</v>
      </c>
      <c r="P22">
        <v>2000</v>
      </c>
      <c r="Q22" t="s">
        <v>633</v>
      </c>
      <c r="R22">
        <v>31288</v>
      </c>
      <c r="S22">
        <v>15842.29</v>
      </c>
      <c r="T22">
        <v>1056.1500000000001</v>
      </c>
      <c r="U22">
        <v>4098</v>
      </c>
      <c r="V22">
        <v>20.34</v>
      </c>
      <c r="W22" t="s">
        <v>3551</v>
      </c>
    </row>
    <row r="23" spans="1:23">
      <c r="A23" t="s">
        <v>3552</v>
      </c>
      <c r="B23" t="s">
        <v>3461</v>
      </c>
      <c r="C23" t="s">
        <v>3553</v>
      </c>
      <c r="D23" t="s">
        <v>3463</v>
      </c>
      <c r="E23">
        <v>18904.669999999998</v>
      </c>
      <c r="F23">
        <v>85073</v>
      </c>
      <c r="G23">
        <v>4.5</v>
      </c>
      <c r="H23" t="s">
        <v>3524</v>
      </c>
      <c r="I23" t="s">
        <v>3542</v>
      </c>
      <c r="J23" t="s">
        <v>3466</v>
      </c>
      <c r="K23" s="3807">
        <v>39958.000497685185</v>
      </c>
      <c r="L23" s="3807">
        <v>39958.000497685185</v>
      </c>
      <c r="M23" t="s">
        <v>3467</v>
      </c>
      <c r="N23" t="s">
        <v>3554</v>
      </c>
      <c r="O23">
        <v>25395.89</v>
      </c>
      <c r="P23">
        <v>4000</v>
      </c>
      <c r="Q23" t="s">
        <v>633</v>
      </c>
      <c r="R23">
        <v>25395.89</v>
      </c>
      <c r="S23">
        <v>13433.65</v>
      </c>
      <c r="T23">
        <v>895.58</v>
      </c>
      <c r="U23">
        <v>2985</v>
      </c>
      <c r="V23">
        <v>0</v>
      </c>
      <c r="W23" t="s">
        <v>3526</v>
      </c>
    </row>
    <row r="24" spans="1:23">
      <c r="A24" t="s">
        <v>3555</v>
      </c>
      <c r="B24" t="s">
        <v>3461</v>
      </c>
      <c r="C24" t="s">
        <v>3556</v>
      </c>
      <c r="D24" t="s">
        <v>3463</v>
      </c>
      <c r="E24">
        <v>6586</v>
      </c>
      <c r="F24">
        <v>24500</v>
      </c>
      <c r="G24">
        <v>3.72</v>
      </c>
      <c r="H24" t="s">
        <v>3524</v>
      </c>
      <c r="I24" t="s">
        <v>3515</v>
      </c>
      <c r="J24" t="s">
        <v>3466</v>
      </c>
      <c r="K24" s="3807">
        <v>40540.000497685185</v>
      </c>
      <c r="L24" s="3807">
        <v>40542.000497685185</v>
      </c>
      <c r="M24" t="s">
        <v>3467</v>
      </c>
      <c r="N24" t="s">
        <v>3557</v>
      </c>
      <c r="O24">
        <v>14800</v>
      </c>
      <c r="P24" t="s">
        <v>3558</v>
      </c>
      <c r="Q24" t="s">
        <v>633</v>
      </c>
      <c r="R24">
        <v>15925</v>
      </c>
      <c r="S24">
        <v>24180.07</v>
      </c>
      <c r="T24">
        <v>1612.01</v>
      </c>
      <c r="U24">
        <v>6500</v>
      </c>
      <c r="V24">
        <v>7.6</v>
      </c>
      <c r="W24" t="s">
        <v>3517</v>
      </c>
    </row>
    <row r="25" spans="1:23">
      <c r="A25" t="s">
        <v>3559</v>
      </c>
      <c r="B25" t="s">
        <v>3461</v>
      </c>
      <c r="C25" t="s">
        <v>3560</v>
      </c>
      <c r="D25" t="s">
        <v>3463</v>
      </c>
      <c r="E25">
        <v>12658.06</v>
      </c>
      <c r="F25">
        <v>50632</v>
      </c>
      <c r="G25">
        <v>4</v>
      </c>
      <c r="H25" t="s">
        <v>3524</v>
      </c>
      <c r="I25" t="s">
        <v>3542</v>
      </c>
      <c r="J25" t="s">
        <v>3466</v>
      </c>
      <c r="K25" s="3807">
        <v>39415.000497685185</v>
      </c>
      <c r="L25" s="3807">
        <v>39415.000497685185</v>
      </c>
      <c r="M25" t="s">
        <v>3467</v>
      </c>
      <c r="N25" t="s">
        <v>3561</v>
      </c>
      <c r="O25">
        <v>15500</v>
      </c>
      <c r="P25">
        <v>2500</v>
      </c>
      <c r="Q25" t="s">
        <v>633</v>
      </c>
      <c r="R25">
        <v>15695.92</v>
      </c>
      <c r="S25">
        <v>12399.94</v>
      </c>
      <c r="T25">
        <v>826.66</v>
      </c>
      <c r="U25">
        <v>3100</v>
      </c>
      <c r="V25">
        <v>1.26</v>
      </c>
      <c r="W25" t="s">
        <v>3544</v>
      </c>
    </row>
    <row r="26" spans="1:23">
      <c r="A26" t="s">
        <v>3562</v>
      </c>
      <c r="B26" t="s">
        <v>3461</v>
      </c>
      <c r="C26" t="s">
        <v>3563</v>
      </c>
      <c r="D26" t="s">
        <v>3463</v>
      </c>
      <c r="E26">
        <v>11100</v>
      </c>
      <c r="F26">
        <v>38850</v>
      </c>
      <c r="G26">
        <v>3.5</v>
      </c>
      <c r="H26" t="s">
        <v>3524</v>
      </c>
      <c r="I26" t="s">
        <v>3515</v>
      </c>
      <c r="J26" t="s">
        <v>3466</v>
      </c>
      <c r="K26" s="3807">
        <v>41239.000497685185</v>
      </c>
      <c r="L26" s="3807">
        <v>41239.000497685185</v>
      </c>
      <c r="M26" t="s">
        <v>3467</v>
      </c>
      <c r="N26" t="s">
        <v>3564</v>
      </c>
      <c r="O26" t="s">
        <v>3526</v>
      </c>
      <c r="P26">
        <v>7500</v>
      </c>
      <c r="Q26" t="s">
        <v>633</v>
      </c>
      <c r="R26">
        <v>37249.39</v>
      </c>
      <c r="S26">
        <v>33558</v>
      </c>
      <c r="T26">
        <v>2237.1999999999998</v>
      </c>
      <c r="U26">
        <v>9588</v>
      </c>
      <c r="V26">
        <v>0</v>
      </c>
      <c r="W26" t="s">
        <v>3517</v>
      </c>
    </row>
    <row r="27" spans="1:23">
      <c r="A27" t="s">
        <v>3565</v>
      </c>
      <c r="B27" t="s">
        <v>3461</v>
      </c>
      <c r="C27" t="s">
        <v>3566</v>
      </c>
      <c r="D27" t="s">
        <v>3463</v>
      </c>
      <c r="E27">
        <v>10041.61</v>
      </c>
      <c r="F27">
        <v>25104.03</v>
      </c>
      <c r="G27">
        <v>2.5</v>
      </c>
      <c r="H27" t="s">
        <v>3464</v>
      </c>
      <c r="I27" t="s">
        <v>3532</v>
      </c>
      <c r="J27" t="s">
        <v>3466</v>
      </c>
      <c r="K27" s="3807">
        <v>40177.000497685185</v>
      </c>
      <c r="L27" s="3807">
        <v>40177.000497685185</v>
      </c>
      <c r="M27" t="s">
        <v>3467</v>
      </c>
      <c r="N27" t="s">
        <v>3567</v>
      </c>
      <c r="O27">
        <v>8663</v>
      </c>
      <c r="P27">
        <v>900</v>
      </c>
      <c r="Q27" t="s">
        <v>633</v>
      </c>
      <c r="R27">
        <v>17100</v>
      </c>
      <c r="S27">
        <v>17029.14</v>
      </c>
      <c r="T27">
        <v>1135.28</v>
      </c>
      <c r="U27">
        <v>6812</v>
      </c>
      <c r="V27">
        <v>97.39</v>
      </c>
      <c r="W27" t="s">
        <v>3544</v>
      </c>
    </row>
    <row r="28" spans="1:23">
      <c r="A28" t="s">
        <v>3568</v>
      </c>
      <c r="B28" t="s">
        <v>3461</v>
      </c>
      <c r="C28" t="s">
        <v>3569</v>
      </c>
      <c r="D28" t="s">
        <v>3463</v>
      </c>
      <c r="E28">
        <v>58374.87</v>
      </c>
      <c r="F28">
        <v>204312.1</v>
      </c>
      <c r="G28">
        <v>3.5</v>
      </c>
      <c r="H28" t="s">
        <v>3524</v>
      </c>
      <c r="I28" t="s">
        <v>3570</v>
      </c>
      <c r="J28" t="s">
        <v>3466</v>
      </c>
      <c r="K28" s="3807">
        <v>39976.000497685185</v>
      </c>
      <c r="L28" s="3807">
        <v>39976.000497685185</v>
      </c>
      <c r="M28" t="s">
        <v>3467</v>
      </c>
      <c r="N28" t="s">
        <v>3571</v>
      </c>
      <c r="O28" t="s">
        <v>3526</v>
      </c>
      <c r="P28" t="s">
        <v>3558</v>
      </c>
      <c r="Q28" t="s">
        <v>633</v>
      </c>
      <c r="R28">
        <v>67330</v>
      </c>
      <c r="S28">
        <v>11534.07</v>
      </c>
      <c r="T28">
        <v>768.94</v>
      </c>
      <c r="U28">
        <v>3295</v>
      </c>
      <c r="V28">
        <v>0</v>
      </c>
      <c r="W28" t="s">
        <v>3526</v>
      </c>
    </row>
    <row r="29" spans="1:23">
      <c r="A29" t="s">
        <v>3572</v>
      </c>
      <c r="B29" t="s">
        <v>3461</v>
      </c>
      <c r="C29" t="s">
        <v>3573</v>
      </c>
      <c r="D29" t="s">
        <v>3463</v>
      </c>
      <c r="E29">
        <v>177759</v>
      </c>
      <c r="F29">
        <v>257735</v>
      </c>
      <c r="G29">
        <v>1.45</v>
      </c>
      <c r="H29" t="s">
        <v>3524</v>
      </c>
      <c r="I29" t="s">
        <v>3574</v>
      </c>
      <c r="J29" t="s">
        <v>3466</v>
      </c>
      <c r="K29" s="3807">
        <v>38254.000497685185</v>
      </c>
      <c r="L29" s="3807">
        <v>38254.000497685185</v>
      </c>
      <c r="M29" t="s">
        <v>3467</v>
      </c>
      <c r="N29" t="s">
        <v>3575</v>
      </c>
      <c r="O29" t="s">
        <v>3526</v>
      </c>
      <c r="P29" t="s">
        <v>3558</v>
      </c>
      <c r="Q29" t="s">
        <v>633</v>
      </c>
      <c r="R29">
        <v>41990</v>
      </c>
      <c r="S29">
        <v>2362.1799999999998</v>
      </c>
      <c r="T29">
        <v>157.47999999999999</v>
      </c>
      <c r="U29">
        <v>1629</v>
      </c>
      <c r="V29">
        <v>0</v>
      </c>
      <c r="W29" t="s">
        <v>3526</v>
      </c>
    </row>
    <row r="30" spans="1:23">
      <c r="A30" t="s">
        <v>3576</v>
      </c>
      <c r="B30" t="s">
        <v>3461</v>
      </c>
      <c r="C30" t="s">
        <v>3577</v>
      </c>
      <c r="D30" t="s">
        <v>3463</v>
      </c>
      <c r="E30">
        <v>35436</v>
      </c>
      <c r="F30">
        <v>124026</v>
      </c>
      <c r="G30">
        <v>3.5</v>
      </c>
      <c r="H30" t="s">
        <v>3524</v>
      </c>
      <c r="I30" t="s">
        <v>3578</v>
      </c>
      <c r="J30" t="s">
        <v>3466</v>
      </c>
      <c r="K30" s="3807">
        <v>40632.000497685185</v>
      </c>
      <c r="L30" s="3807">
        <v>40634.000497685185</v>
      </c>
      <c r="M30" t="s">
        <v>3467</v>
      </c>
      <c r="N30" t="s">
        <v>3579</v>
      </c>
      <c r="O30" t="s">
        <v>3526</v>
      </c>
      <c r="P30">
        <v>10000</v>
      </c>
      <c r="Q30" t="s">
        <v>633</v>
      </c>
      <c r="R30">
        <v>67200</v>
      </c>
      <c r="S30">
        <v>18963.759999999998</v>
      </c>
      <c r="T30">
        <v>1264.25</v>
      </c>
      <c r="U30">
        <v>5418</v>
      </c>
      <c r="V30">
        <v>0</v>
      </c>
      <c r="W30" t="s">
        <v>3470</v>
      </c>
    </row>
    <row r="31" spans="1:23">
      <c r="A31" t="s">
        <v>3580</v>
      </c>
      <c r="B31" t="s">
        <v>3461</v>
      </c>
      <c r="C31" t="s">
        <v>3581</v>
      </c>
      <c r="D31" t="s">
        <v>3463</v>
      </c>
      <c r="E31">
        <v>13654</v>
      </c>
      <c r="F31">
        <v>47000</v>
      </c>
      <c r="G31">
        <v>3.44</v>
      </c>
      <c r="H31" t="s">
        <v>3464</v>
      </c>
      <c r="I31" t="s">
        <v>3574</v>
      </c>
      <c r="J31" t="s">
        <v>3466</v>
      </c>
      <c r="K31" s="3807">
        <v>38076.000497685185</v>
      </c>
      <c r="L31" s="3807">
        <v>38090.000497685185</v>
      </c>
      <c r="M31" t="s">
        <v>3467</v>
      </c>
      <c r="N31" t="s">
        <v>3582</v>
      </c>
      <c r="O31">
        <v>11881.6</v>
      </c>
      <c r="P31" t="s">
        <v>3558</v>
      </c>
      <c r="Q31" t="s">
        <v>633</v>
      </c>
      <c r="R31">
        <v>12200</v>
      </c>
      <c r="S31">
        <v>8935.11</v>
      </c>
      <c r="T31">
        <v>595.66999999999996</v>
      </c>
      <c r="U31">
        <v>2596</v>
      </c>
      <c r="V31">
        <v>2.68</v>
      </c>
      <c r="W31" t="s">
        <v>3526</v>
      </c>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2841</v>
      </c>
      <c r="B1" s="3780"/>
      <c r="C1" s="3780"/>
      <c r="D1" s="3780"/>
      <c r="E1" s="3780"/>
      <c r="F1" s="3780"/>
      <c r="G1" s="378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3183</v>
      </c>
      <c r="B1" s="3782"/>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3" t="s">
        <v>3234</v>
      </c>
      <c r="B1" s="3783"/>
      <c r="C1" s="3783"/>
      <c r="D1" s="3783"/>
      <c r="E1" s="3783"/>
      <c r="F1" s="378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45316</v>
      </c>
      <c r="B1" s="3209" t="s">
        <v>3374</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4" t="s">
        <v>3380</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3372</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2827</v>
      </c>
    </row>
    <row r="22" spans="1:30" s="3008" customFormat="1"/>
    <row r="23" spans="1:30" s="3208" customFormat="1" ht="12.75">
      <c r="B23" s="3209" t="s">
        <v>3375</v>
      </c>
      <c r="C23" s="3210"/>
      <c r="D23" s="3210"/>
      <c r="E23" s="3210"/>
      <c r="F23" s="3210"/>
      <c r="G23" s="3210"/>
      <c r="H23" s="3210"/>
      <c r="I23" s="3210"/>
      <c r="J23" s="3164"/>
      <c r="K23" s="3210" t="s">
        <v>2828</v>
      </c>
      <c r="L23" s="3210"/>
      <c r="M23" s="3210"/>
      <c r="N23" s="3210"/>
      <c r="O23" s="3210"/>
      <c r="P23" s="3210"/>
      <c r="Q23" s="3164"/>
      <c r="R23" s="3785" t="s">
        <v>2829</v>
      </c>
      <c r="S23" s="3786"/>
      <c r="T23" s="3786"/>
      <c r="U23" s="3786"/>
      <c r="V23" s="3786"/>
      <c r="W23" s="3786"/>
      <c r="X23" s="3164"/>
      <c r="Y23" s="3785" t="s">
        <v>2830</v>
      </c>
      <c r="Z23" s="3786"/>
      <c r="AA23" s="3786"/>
      <c r="AB23" s="3786"/>
      <c r="AC23" s="3786"/>
      <c r="AD23" s="3786"/>
    </row>
    <row r="24" spans="1:30" s="3142" customFormat="1" ht="14.2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2.75">
      <c r="A25" s="3148" t="s">
        <v>2836</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4" t="s">
        <v>3380</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3376</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45316</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4" t="str">
        <f>项目基本情况!S2</f>
        <v>房地产</v>
      </c>
      <c r="B4" s="854">
        <f>项目基本情况!C17</f>
        <v>39707.960000000006</v>
      </c>
      <c r="C4" s="854">
        <f>项目基本情况!C18</f>
        <v>6294.36</v>
      </c>
      <c r="D4" s="854">
        <f ca="1">结果表!D118</f>
        <v>39608</v>
      </c>
      <c r="E4" s="854">
        <f ca="1">结果表!E118</f>
        <v>9975</v>
      </c>
      <c r="F4" s="854">
        <f ca="1">结果表!F118</f>
        <v>27867</v>
      </c>
      <c r="G4" s="854">
        <f ca="1">结果表!G118</f>
        <v>7018</v>
      </c>
      <c r="H4" s="854">
        <f ca="1">结果表!H118</f>
        <v>67475</v>
      </c>
      <c r="I4" s="854">
        <f ca="1">结果表!I118</f>
        <v>16993</v>
      </c>
    </row>
    <row r="5" spans="1:9" ht="30" customHeight="1">
      <c r="A5" s="3473" t="s">
        <v>927</v>
      </c>
      <c r="B5" s="3473"/>
      <c r="C5" s="3473"/>
      <c r="D5" s="3473" t="str">
        <f ca="1">结果表!D119</f>
        <v>叁亿玖仟陆佰零捌万元整</v>
      </c>
      <c r="E5" s="3473"/>
      <c r="F5" s="3473" t="str">
        <f ca="1">结果表!F119</f>
        <v>贰亿柒仟捌佰陆拾柒万元整</v>
      </c>
      <c r="G5" s="3473"/>
      <c r="H5" s="3473" t="str">
        <f ca="1">结果表!H119</f>
        <v>陆亿柒仟肆佰柒拾伍万元整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67475</v>
      </c>
      <c r="E8" s="3472"/>
      <c r="F8" s="3472"/>
      <c r="G8" s="3472"/>
      <c r="H8" s="3472"/>
      <c r="I8" s="3472"/>
    </row>
    <row r="9" spans="1:9" ht="15">
      <c r="A9" s="3473" t="s">
        <v>927</v>
      </c>
      <c r="B9" s="3473"/>
      <c r="C9" s="3473"/>
      <c r="D9" s="3473" t="str">
        <f ca="1">结果表!D123</f>
        <v>陆亿柒仟肆佰柒拾伍万元整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45316</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42"/>
      <c r="E18" s="3498" t="s">
        <v>2160</v>
      </c>
      <c r="F18" s="3497"/>
      <c r="G18" s="349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成本法</vt:lpstr>
      <vt:lpstr>成本法 (元)</vt:lpstr>
      <vt:lpstr>假设开发法</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2024-01-25T07:30:16Z</dcterms:modified>
</cp:coreProperties>
</file>