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7" i="34" l="1"/>
  <c r="G37" i="34"/>
  <c r="E37" i="34"/>
  <c r="C37" i="34"/>
  <c r="H20" i="1"/>
  <c r="C34" i="34"/>
  <c r="J53" i="15"/>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V25" i="59" s="1"/>
  <c r="C25" i="59"/>
  <c r="C24" i="59" s="1"/>
  <c r="A2" i="50"/>
  <c r="D25" i="59"/>
  <c r="K60" i="15"/>
  <c r="P59" i="15" s="1"/>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D32" i="59"/>
  <c r="AE32" i="59"/>
  <c r="AF32" i="59"/>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0" i="43" s="1"/>
  <c r="AG12" i="43"/>
  <c r="AF9" i="43"/>
  <c r="AF12" i="43"/>
  <c r="AE9" i="43"/>
  <c r="AE10" i="43" s="1"/>
  <c r="AE12" i="43"/>
  <c r="AD9" i="43"/>
  <c r="AD12" i="43"/>
  <c r="AC9" i="43"/>
  <c r="AC12" i="43"/>
  <c r="AB9" i="43"/>
  <c r="AB12" i="43"/>
  <c r="AA9" i="43"/>
  <c r="AA12" i="43"/>
  <c r="Z9" i="43"/>
  <c r="Z12" i="43"/>
  <c r="AA10" i="43"/>
  <c r="AC10" i="43"/>
  <c r="AI10" i="43"/>
  <c r="Z10" i="43"/>
  <c r="AB10" i="43"/>
  <c r="AD10" i="43"/>
  <c r="AF10" i="43"/>
  <c r="AH10" i="43"/>
  <c r="AJ10" i="43"/>
  <c r="L51" i="57"/>
  <c r="L49" i="9"/>
  <c r="F112" i="57"/>
  <c r="A116" i="57"/>
  <c r="A129" i="57" s="1"/>
  <c r="A112" i="9"/>
  <c r="A125" i="9" s="1"/>
  <c r="A8" i="52" s="1"/>
  <c r="B65" i="60"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B88" i="59" s="1"/>
  <c r="B87" i="59" s="1"/>
  <c r="F88" i="59"/>
  <c r="F87" i="59" s="1"/>
  <c r="D86" i="59"/>
  <c r="F85" i="59"/>
  <c r="E85" i="59"/>
  <c r="E84" i="59"/>
  <c r="E83" i="59"/>
  <c r="C85" i="59"/>
  <c r="D85" i="59"/>
  <c r="B85" i="59"/>
  <c r="B84" i="59" s="1"/>
  <c r="B83" i="59" s="1"/>
  <c r="F84" i="59"/>
  <c r="F83" i="59" s="1"/>
  <c r="D82" i="59"/>
  <c r="Q81" i="59"/>
  <c r="P81" i="59"/>
  <c r="O81" i="59"/>
  <c r="N81" i="59"/>
  <c r="F81" i="59"/>
  <c r="F80" i="59" s="1"/>
  <c r="F79" i="59" s="1"/>
  <c r="V81" i="59"/>
  <c r="E81" i="59"/>
  <c r="U81" i="59" s="1"/>
  <c r="C81" i="59"/>
  <c r="T81" i="59"/>
  <c r="B81" i="59"/>
  <c r="Q80" i="59"/>
  <c r="P80" i="59"/>
  <c r="O80" i="59"/>
  <c r="N80" i="59"/>
  <c r="Q79" i="59"/>
  <c r="P79" i="59"/>
  <c r="O79" i="59"/>
  <c r="N79" i="59"/>
  <c r="Q78" i="59"/>
  <c r="P78" i="59"/>
  <c r="O78" i="59"/>
  <c r="N78" i="59"/>
  <c r="D78" i="59"/>
  <c r="S77" i="59"/>
  <c r="Q77" i="59"/>
  <c r="P77" i="59"/>
  <c r="O77" i="59"/>
  <c r="N77" i="59"/>
  <c r="F77" i="59"/>
  <c r="F76" i="59" s="1"/>
  <c r="F75" i="59" s="1"/>
  <c r="V77" i="59"/>
  <c r="E77" i="59"/>
  <c r="U77" i="59"/>
  <c r="C77" i="59"/>
  <c r="T77" i="59"/>
  <c r="B77" i="59"/>
  <c r="Q76" i="59"/>
  <c r="P76" i="59"/>
  <c r="O76" i="59"/>
  <c r="N76" i="59"/>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P69" i="59"/>
  <c r="F69" i="59"/>
  <c r="F68" i="59" s="1"/>
  <c r="F67" i="59" s="1"/>
  <c r="V69" i="59"/>
  <c r="E69" i="59"/>
  <c r="C69" i="59"/>
  <c r="D69" i="59" s="1"/>
  <c r="B69" i="59"/>
  <c r="B68" i="59" s="1"/>
  <c r="D66" i="59"/>
  <c r="Q65" i="59"/>
  <c r="P65" i="59"/>
  <c r="O65" i="59"/>
  <c r="N65" i="59"/>
  <c r="Q64" i="59"/>
  <c r="P64" i="59"/>
  <c r="O64" i="59"/>
  <c r="N64" i="59"/>
  <c r="F64" i="59"/>
  <c r="F65" i="59" s="1"/>
  <c r="V65" i="59" s="1"/>
  <c r="Q63" i="59"/>
  <c r="P63" i="59"/>
  <c r="O63" i="59"/>
  <c r="N63" i="59"/>
  <c r="Q62" i="59"/>
  <c r="F63" i="59"/>
  <c r="P62" i="59"/>
  <c r="E63" i="59" s="1"/>
  <c r="O62" i="59"/>
  <c r="C63" i="59" s="1"/>
  <c r="N62" i="59"/>
  <c r="B63" i="59"/>
  <c r="B64" i="59"/>
  <c r="B65" i="59"/>
  <c r="S65" i="59" s="1"/>
  <c r="D62" i="59"/>
  <c r="Q61" i="59"/>
  <c r="P61" i="59"/>
  <c r="O61" i="59"/>
  <c r="N61" i="59"/>
  <c r="Q60" i="59"/>
  <c r="P60" i="59"/>
  <c r="O60" i="59"/>
  <c r="N60" i="59"/>
  <c r="Q59" i="59"/>
  <c r="P59" i="59"/>
  <c r="O59" i="59"/>
  <c r="N59" i="59"/>
  <c r="C59" i="59"/>
  <c r="D59" i="59" s="1"/>
  <c r="Q58" i="59"/>
  <c r="F59" i="59" s="1"/>
  <c r="F60" i="59" s="1"/>
  <c r="F61" i="59" s="1"/>
  <c r="V61" i="59" s="1"/>
  <c r="P58" i="59"/>
  <c r="E59" i="59" s="1"/>
  <c r="O58" i="59"/>
  <c r="N58" i="59"/>
  <c r="B59" i="59" s="1"/>
  <c r="B60" i="59" s="1"/>
  <c r="B61" i="59" s="1"/>
  <c r="S61" i="59" s="1"/>
  <c r="D58" i="59"/>
  <c r="Q57" i="59"/>
  <c r="P57" i="59"/>
  <c r="O57" i="59"/>
  <c r="N57" i="59"/>
  <c r="Q56" i="59"/>
  <c r="P56" i="59"/>
  <c r="O56" i="59"/>
  <c r="N56" i="59"/>
  <c r="F57" i="59"/>
  <c r="V57" i="59" s="1"/>
  <c r="Q55" i="59"/>
  <c r="P55" i="59"/>
  <c r="O55" i="59"/>
  <c r="N55" i="59"/>
  <c r="Q54" i="59"/>
  <c r="F55" i="59"/>
  <c r="F56" i="59" s="1"/>
  <c r="P54" i="59"/>
  <c r="E55" i="59" s="1"/>
  <c r="O54" i="59"/>
  <c r="C55" i="59" s="1"/>
  <c r="N54" i="59"/>
  <c r="B55" i="59"/>
  <c r="D54" i="59"/>
  <c r="Q53" i="59"/>
  <c r="P53" i="59"/>
  <c r="O53" i="59"/>
  <c r="N53" i="59"/>
  <c r="Q52" i="59"/>
  <c r="P52" i="59"/>
  <c r="O52" i="59"/>
  <c r="N52" i="59"/>
  <c r="Q51" i="59"/>
  <c r="P51" i="59"/>
  <c r="O51" i="59"/>
  <c r="N51" i="59"/>
  <c r="Q50" i="59"/>
  <c r="F51" i="59"/>
  <c r="F52" i="59"/>
  <c r="F53" i="59"/>
  <c r="V53" i="59" s="1"/>
  <c r="P50" i="59"/>
  <c r="E51" i="59" s="1"/>
  <c r="E52" i="59" s="1"/>
  <c r="E53" i="59" s="1"/>
  <c r="U53" i="59" s="1"/>
  <c r="O50" i="59"/>
  <c r="C51" i="59" s="1"/>
  <c r="N50" i="59"/>
  <c r="B51" i="59"/>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c r="E49" i="59" s="1"/>
  <c r="U49" i="59" s="1"/>
  <c r="O46" i="59"/>
  <c r="C47" i="59" s="1"/>
  <c r="N46" i="59"/>
  <c r="B47" i="59"/>
  <c r="B48" i="59"/>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c r="N42" i="59"/>
  <c r="B43" i="59"/>
  <c r="B44" i="59" s="1"/>
  <c r="B45" i="59" s="1"/>
  <c r="S45" i="59" s="1"/>
  <c r="D42" i="59"/>
  <c r="Q41" i="59"/>
  <c r="P41" i="59"/>
  <c r="O41" i="59"/>
  <c r="N41" i="59"/>
  <c r="Q40" i="59"/>
  <c r="P40" i="59"/>
  <c r="AA40" i="59" s="1"/>
  <c r="O40" i="59"/>
  <c r="Y40" i="59"/>
  <c r="Z40" i="59"/>
  <c r="N40" i="59"/>
  <c r="Q39" i="59"/>
  <c r="AB39" i="59" s="1"/>
  <c r="P39" i="59"/>
  <c r="O39" i="59"/>
  <c r="Y39" i="59" s="1"/>
  <c r="Z39" i="59" s="1"/>
  <c r="N39" i="59"/>
  <c r="X39" i="59" s="1"/>
  <c r="Q38" i="59"/>
  <c r="AB38" i="59" s="1"/>
  <c r="P38" i="59"/>
  <c r="O38" i="59"/>
  <c r="Y38" i="59" s="1"/>
  <c r="Z38" i="59" s="1"/>
  <c r="C39" i="59"/>
  <c r="N38" i="59"/>
  <c r="B39" i="59"/>
  <c r="B40" i="59" s="1"/>
  <c r="D38" i="59"/>
  <c r="Q37" i="59"/>
  <c r="P37" i="59"/>
  <c r="O37" i="59"/>
  <c r="Y37" i="59" s="1"/>
  <c r="Z37" i="59" s="1"/>
  <c r="N37" i="59"/>
  <c r="X37" i="59" s="1"/>
  <c r="Q36" i="59"/>
  <c r="P36" i="59"/>
  <c r="O36" i="59"/>
  <c r="Y36" i="59" s="1"/>
  <c r="Z36" i="59" s="1"/>
  <c r="N36" i="59"/>
  <c r="X36" i="59" s="1"/>
  <c r="Q35" i="59"/>
  <c r="P35" i="59"/>
  <c r="O35" i="59"/>
  <c r="Y35" i="59" s="1"/>
  <c r="Z35" i="59" s="1"/>
  <c r="N35" i="59"/>
  <c r="X35" i="59" s="1"/>
  <c r="Q34" i="59"/>
  <c r="AB34" i="59" s="1"/>
  <c r="P34" i="59"/>
  <c r="AA34" i="59" s="1"/>
  <c r="E35" i="59"/>
  <c r="E36" i="59"/>
  <c r="E37" i="59" s="1"/>
  <c r="U37" i="59" s="1"/>
  <c r="O34" i="59"/>
  <c r="C35" i="59" s="1"/>
  <c r="N34" i="59"/>
  <c r="B35" i="59"/>
  <c r="B36" i="59"/>
  <c r="B37" i="59" s="1"/>
  <c r="S37" i="59" s="1"/>
  <c r="D34" i="59"/>
  <c r="Q33" i="59"/>
  <c r="P33" i="59"/>
  <c r="AA33" i="59" s="1"/>
  <c r="O33" i="59"/>
  <c r="N33" i="59"/>
  <c r="Q32" i="59"/>
  <c r="P32" i="59"/>
  <c r="AA32" i="59" s="1"/>
  <c r="O32" i="59"/>
  <c r="N32" i="59"/>
  <c r="Q31" i="59"/>
  <c r="P31" i="59"/>
  <c r="AA31" i="59" s="1"/>
  <c r="O31" i="59"/>
  <c r="N31" i="59"/>
  <c r="Q30" i="59"/>
  <c r="P30" i="59"/>
  <c r="O30" i="59"/>
  <c r="C31" i="59"/>
  <c r="N30" i="59"/>
  <c r="B31" i="59"/>
  <c r="B32" i="59" s="1"/>
  <c r="B33" i="59" s="1"/>
  <c r="S33" i="59" s="1"/>
  <c r="D30" i="59"/>
  <c r="O29" i="59"/>
  <c r="N29" i="59"/>
  <c r="C29" i="59"/>
  <c r="T29" i="59" s="1"/>
  <c r="B29" i="59"/>
  <c r="X28" i="59"/>
  <c r="X26" i="59"/>
  <c r="C32" i="59"/>
  <c r="D31" i="59"/>
  <c r="C40" i="59"/>
  <c r="D39" i="59"/>
  <c r="C44" i="59"/>
  <c r="D43" i="59"/>
  <c r="P29" i="59"/>
  <c r="E56" i="59"/>
  <c r="E57" i="59" s="1"/>
  <c r="U57" i="59" s="1"/>
  <c r="E60" i="59"/>
  <c r="E61" i="59" s="1"/>
  <c r="U61" i="59" s="1"/>
  <c r="U73" i="59"/>
  <c r="E72" i="59"/>
  <c r="E71" i="59" s="1"/>
  <c r="Q29" i="59"/>
  <c r="C56" i="59"/>
  <c r="C57" i="59" s="1"/>
  <c r="D55" i="59"/>
  <c r="T69" i="59"/>
  <c r="O69" i="59"/>
  <c r="C68" i="59"/>
  <c r="C67" i="59" s="1"/>
  <c r="T73" i="59"/>
  <c r="D73" i="59"/>
  <c r="C72" i="59"/>
  <c r="Q69" i="59"/>
  <c r="C76" i="59"/>
  <c r="E76" i="59"/>
  <c r="E75" i="59" s="1"/>
  <c r="D77" i="59"/>
  <c r="C80" i="59"/>
  <c r="E80" i="59"/>
  <c r="E79" i="59" s="1"/>
  <c r="D81" i="59"/>
  <c r="C84" i="59"/>
  <c r="D84" i="59" s="1"/>
  <c r="C88" i="59"/>
  <c r="C87" i="59" s="1"/>
  <c r="D87" i="59" s="1"/>
  <c r="B28" i="59"/>
  <c r="B27" i="59"/>
  <c r="S29" i="59"/>
  <c r="F29" i="59"/>
  <c r="V29" i="59" s="1"/>
  <c r="AB28" i="59"/>
  <c r="AB29" i="59"/>
  <c r="E29" i="59"/>
  <c r="AA28" i="59"/>
  <c r="AA29" i="59"/>
  <c r="C28" i="59"/>
  <c r="D28" i="59" s="1"/>
  <c r="D29" i="59"/>
  <c r="D76" i="59"/>
  <c r="C75" i="59"/>
  <c r="D75" i="59"/>
  <c r="C71" i="59"/>
  <c r="D71" i="59" s="1"/>
  <c r="D72" i="59"/>
  <c r="D88" i="59"/>
  <c r="D80" i="59"/>
  <c r="C79" i="59"/>
  <c r="D79" i="59" s="1"/>
  <c r="O68" i="59"/>
  <c r="D68" i="59"/>
  <c r="C45" i="59"/>
  <c r="D44" i="59"/>
  <c r="C41" i="59"/>
  <c r="D41" i="59" s="1"/>
  <c r="D40" i="59"/>
  <c r="C33" i="59"/>
  <c r="D33" i="59" s="1"/>
  <c r="D32" i="59"/>
  <c r="E28" i="59"/>
  <c r="E27" i="59" s="1"/>
  <c r="U29" i="59"/>
  <c r="F28" i="59"/>
  <c r="F27" i="59" s="1"/>
  <c r="T33" i="59"/>
  <c r="T41" i="59"/>
  <c r="T45" i="59"/>
  <c r="D45"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Z18" i="35"/>
  <c r="Q18" i="35"/>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s="1"/>
  <c r="C21" i="34"/>
  <c r="Q21" i="33"/>
  <c r="Z21" i="33" s="1"/>
  <c r="D83" i="33"/>
  <c r="E83" i="33" s="1"/>
  <c r="F83" i="33" s="1"/>
  <c r="G83" i="33" s="1"/>
  <c r="H21" i="33"/>
  <c r="U21" i="33" s="1"/>
  <c r="F21" i="33"/>
  <c r="AA21" i="33"/>
  <c r="C21" i="33"/>
  <c r="Z21" i="21"/>
  <c r="Q21" i="21"/>
  <c r="D83" i="21"/>
  <c r="E83" i="21"/>
  <c r="F83" i="21" s="1"/>
  <c r="F21" i="21"/>
  <c r="AA21" i="21" s="1"/>
  <c r="C21" i="21"/>
  <c r="G20" i="20"/>
  <c r="B86" i="43" s="1"/>
  <c r="C22" i="20"/>
  <c r="C29" i="39" s="1"/>
  <c r="AB25" i="40"/>
  <c r="S18" i="36"/>
  <c r="W18" i="35"/>
  <c r="U18" i="35"/>
  <c r="S18" i="35"/>
  <c r="U21" i="37"/>
  <c r="S21" i="37"/>
  <c r="S21" i="33"/>
  <c r="S21" i="21"/>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0" i="43" s="1"/>
  <c r="L108" i="43"/>
  <c r="K99" i="43"/>
  <c r="K108" i="43"/>
  <c r="J99" i="43"/>
  <c r="J108" i="43"/>
  <c r="I99" i="43"/>
  <c r="I108" i="43"/>
  <c r="H99" i="43"/>
  <c r="H108" i="43"/>
  <c r="G99" i="43"/>
  <c r="G108" i="43"/>
  <c r="F99" i="43"/>
  <c r="F108" i="43"/>
  <c r="E99" i="43"/>
  <c r="E108" i="43"/>
  <c r="D99" i="43"/>
  <c r="D100" i="43" s="1"/>
  <c r="D108" i="43"/>
  <c r="C99" i="43"/>
  <c r="C108" i="43"/>
  <c r="C100" i="43"/>
  <c r="E100" i="43"/>
  <c r="G100" i="43"/>
  <c r="I100" i="43"/>
  <c r="K100" i="43"/>
  <c r="M100" i="43"/>
  <c r="F100" i="43"/>
  <c r="H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c r="L43" i="47"/>
  <c r="M43" i="47" s="1"/>
  <c r="J43" i="47"/>
  <c r="I43" i="47" s="1"/>
  <c r="L42" i="47"/>
  <c r="M42" i="47" s="1"/>
  <c r="J42" i="47"/>
  <c r="I42" i="47"/>
  <c r="L41" i="47"/>
  <c r="M41" i="47" s="1"/>
  <c r="J41" i="47"/>
  <c r="I41" i="47" s="1"/>
  <c r="L40" i="47"/>
  <c r="M40" i="47" s="1"/>
  <c r="J40" i="47"/>
  <c r="I40" i="47"/>
  <c r="L39" i="47"/>
  <c r="M39" i="47" s="1"/>
  <c r="J39" i="47"/>
  <c r="I39" i="47" s="1"/>
  <c r="L38" i="47"/>
  <c r="M38" i="47" s="1"/>
  <c r="J38" i="47"/>
  <c r="I38" i="47"/>
  <c r="L37" i="47"/>
  <c r="M37" i="47" s="1"/>
  <c r="J37" i="47"/>
  <c r="I37" i="47" s="1"/>
  <c r="L34" i="47"/>
  <c r="M34" i="47" s="1"/>
  <c r="J34" i="47"/>
  <c r="I34" i="47"/>
  <c r="L33" i="47"/>
  <c r="M33" i="47" s="1"/>
  <c r="J33" i="47"/>
  <c r="I33" i="47" s="1"/>
  <c r="L32" i="47"/>
  <c r="M32" i="47" s="1"/>
  <c r="J32" i="47"/>
  <c r="I32" i="47"/>
  <c r="L31" i="47"/>
  <c r="M31" i="47" s="1"/>
  <c r="J31" i="47"/>
  <c r="I31" i="47" s="1"/>
  <c r="D31" i="47" s="1"/>
  <c r="L30" i="47"/>
  <c r="M30" i="47"/>
  <c r="J30" i="47"/>
  <c r="I30" i="47"/>
  <c r="L29" i="47"/>
  <c r="M29" i="47"/>
  <c r="J29" i="47"/>
  <c r="I29" i="47"/>
  <c r="D29" i="47" s="1"/>
  <c r="L28" i="47"/>
  <c r="M28" i="47"/>
  <c r="J28" i="47"/>
  <c r="I28" i="47" s="1"/>
  <c r="L27" i="47"/>
  <c r="M27" i="47" s="1"/>
  <c r="J27" i="47"/>
  <c r="I27" i="47" s="1"/>
  <c r="L26" i="47"/>
  <c r="M26" i="47"/>
  <c r="J26" i="47"/>
  <c r="I26" i="47" s="1"/>
  <c r="L23" i="47"/>
  <c r="M23" i="47" s="1"/>
  <c r="J23" i="47"/>
  <c r="I23" i="47" s="1"/>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F36" i="39" s="1"/>
  <c r="S36" i="39" s="1"/>
  <c r="J30" i="36"/>
  <c r="H30" i="36"/>
  <c r="F30" i="36"/>
  <c r="AA30" i="36"/>
  <c r="C79" i="35"/>
  <c r="J31" i="35"/>
  <c r="H31" i="35"/>
  <c r="AB31" i="35"/>
  <c r="F31" i="35"/>
  <c r="D87" i="35"/>
  <c r="E87" i="35" s="1"/>
  <c r="F87" i="35"/>
  <c r="G87" i="35" s="1"/>
  <c r="H87" i="35"/>
  <c r="I87" i="35" s="1"/>
  <c r="J87" i="35" s="1"/>
  <c r="K87" i="35" s="1"/>
  <c r="L87" i="35" s="1"/>
  <c r="M87" i="35" s="1"/>
  <c r="H29" i="35"/>
  <c r="H34" i="37"/>
  <c r="AB34" i="37" s="1"/>
  <c r="D101" i="37"/>
  <c r="F34" i="37"/>
  <c r="AA34" i="37"/>
  <c r="D99" i="37"/>
  <c r="E99" i="37"/>
  <c r="F99" i="37"/>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s="1"/>
  <c r="F111" i="33" s="1"/>
  <c r="G111" i="33"/>
  <c r="H111" i="33"/>
  <c r="I111" i="33"/>
  <c r="J111" i="33" s="1"/>
  <c r="K111" i="33" s="1"/>
  <c r="L111" i="33" s="1"/>
  <c r="M111" i="33" s="1"/>
  <c r="S518" i="31"/>
  <c r="S519" i="31"/>
  <c r="S520" i="31"/>
  <c r="S521" i="31"/>
  <c r="S522" i="31"/>
  <c r="S523" i="31"/>
  <c r="S524" i="31"/>
  <c r="S525" i="31"/>
  <c r="S526" i="31"/>
  <c r="S527" i="31"/>
  <c r="F41" i="21"/>
  <c r="J41" i="21"/>
  <c r="AC41" i="21" s="1"/>
  <c r="H41" i="21"/>
  <c r="U41" i="21" s="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F39" i="40" s="1"/>
  <c r="AA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s="1"/>
  <c r="D87" i="40"/>
  <c r="E87" i="40"/>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c r="Q40" i="39"/>
  <c r="Z40" i="39" s="1"/>
  <c r="Q41" i="39"/>
  <c r="Z41" i="39"/>
  <c r="Q42" i="39"/>
  <c r="Z42" i="39" s="1"/>
  <c r="Q43" i="39"/>
  <c r="Z43" i="39" s="1"/>
  <c r="Q44" i="39"/>
  <c r="Z44" i="39" s="1"/>
  <c r="Q45" i="39"/>
  <c r="Z45" i="39"/>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c r="I107" i="37" s="1"/>
  <c r="J107" i="37" s="1"/>
  <c r="K107" i="37"/>
  <c r="L107" i="37" s="1"/>
  <c r="M107" i="37" s="1"/>
  <c r="D105" i="37"/>
  <c r="E105" i="37"/>
  <c r="F105" i="37" s="1"/>
  <c r="G105" i="37" s="1"/>
  <c r="D103" i="37"/>
  <c r="J35" i="37"/>
  <c r="G97" i="37"/>
  <c r="F97" i="37"/>
  <c r="E97" i="37"/>
  <c r="D97" i="37"/>
  <c r="C97" i="37"/>
  <c r="D96" i="37"/>
  <c r="E96" i="37" s="1"/>
  <c r="F96" i="37" s="1"/>
  <c r="G96" i="37"/>
  <c r="H96" i="37"/>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c r="G79" i="37"/>
  <c r="D75" i="37"/>
  <c r="E75" i="37" s="1"/>
  <c r="F75" i="37" s="1"/>
  <c r="D73" i="37"/>
  <c r="E73" i="37"/>
  <c r="J17" i="37"/>
  <c r="D71" i="37"/>
  <c r="E71" i="37"/>
  <c r="F71" i="37"/>
  <c r="G71" i="37" s="1"/>
  <c r="B68" i="37"/>
  <c r="H14" i="37" s="1"/>
  <c r="U14" i="37" s="1"/>
  <c r="B66" i="37"/>
  <c r="B64" i="37"/>
  <c r="H12" i="37" s="1"/>
  <c r="U12" i="37"/>
  <c r="D63" i="37"/>
  <c r="E63" i="37"/>
  <c r="F63" i="37" s="1"/>
  <c r="G63" i="37"/>
  <c r="H63" i="37" s="1"/>
  <c r="I63" i="37"/>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H29" i="36"/>
  <c r="U29" i="36"/>
  <c r="D81" i="36"/>
  <c r="E81" i="36"/>
  <c r="F81" i="36" s="1"/>
  <c r="G81" i="36"/>
  <c r="H81" i="36" s="1"/>
  <c r="I81" i="36" s="1"/>
  <c r="J81" i="36" s="1"/>
  <c r="K81" i="36" s="1"/>
  <c r="L81" i="36" s="1"/>
  <c r="M81" i="36" s="1"/>
  <c r="G79" i="36"/>
  <c r="F79" i="36"/>
  <c r="E79" i="36"/>
  <c r="D79" i="36"/>
  <c r="C79" i="36"/>
  <c r="B93" i="36"/>
  <c r="H33" i="36"/>
  <c r="U33" i="36" s="1"/>
  <c r="B91" i="36"/>
  <c r="F32" i="36"/>
  <c r="B95" i="36"/>
  <c r="H34" i="36" s="1"/>
  <c r="D83" i="36"/>
  <c r="E83" i="36"/>
  <c r="D78" i="36"/>
  <c r="E78" i="36" s="1"/>
  <c r="F78" i="36" s="1"/>
  <c r="G78" i="36" s="1"/>
  <c r="H78" i="36" s="1"/>
  <c r="I78" i="36" s="1"/>
  <c r="J78" i="36" s="1"/>
  <c r="K78" i="36" s="1"/>
  <c r="L78" i="36" s="1"/>
  <c r="M78" i="36" s="1"/>
  <c r="B75" i="36"/>
  <c r="J25" i="36" s="1"/>
  <c r="B73" i="36"/>
  <c r="B71" i="36"/>
  <c r="H23" i="36" s="1"/>
  <c r="D70" i="36"/>
  <c r="H22" i="36"/>
  <c r="AB22" i="36" s="1"/>
  <c r="D68" i="36"/>
  <c r="E68" i="36" s="1"/>
  <c r="F68" i="36" s="1"/>
  <c r="G68" i="36"/>
  <c r="D64" i="36"/>
  <c r="E64" i="36" s="1"/>
  <c r="F64" i="36" s="1"/>
  <c r="G64" i="36" s="1"/>
  <c r="J16" i="36"/>
  <c r="W16" i="36" s="1"/>
  <c r="D62" i="36"/>
  <c r="E62" i="36" s="1"/>
  <c r="F62" i="36" s="1"/>
  <c r="G62" i="36" s="1"/>
  <c r="H14" i="36"/>
  <c r="AB14" i="36"/>
  <c r="B59" i="36"/>
  <c r="H13" i="36" s="1"/>
  <c r="AB13" i="36" s="1"/>
  <c r="B57" i="36"/>
  <c r="B55" i="36"/>
  <c r="F54" i="36"/>
  <c r="G54" i="36"/>
  <c r="H54" i="36" s="1"/>
  <c r="I54" i="36" s="1"/>
  <c r="C51"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s="1"/>
  <c r="H26" i="36"/>
  <c r="Q25" i="36"/>
  <c r="Z25" i="36"/>
  <c r="Q24" i="36"/>
  <c r="Z24" i="36" s="1"/>
  <c r="Q23" i="36"/>
  <c r="Z23" i="36"/>
  <c r="J23" i="36"/>
  <c r="AC23" i="36" s="1"/>
  <c r="Q22" i="36"/>
  <c r="Z22" i="36" s="1"/>
  <c r="J22" i="36"/>
  <c r="AC22" i="36"/>
  <c r="Q20" i="36"/>
  <c r="Z20" i="36" s="1"/>
  <c r="Q16" i="36"/>
  <c r="Z16" i="36" s="1"/>
  <c r="Q14" i="36"/>
  <c r="Z14" i="36" s="1"/>
  <c r="Q13" i="36"/>
  <c r="Z13" i="36"/>
  <c r="Q12" i="36"/>
  <c r="Z12" i="36" s="1"/>
  <c r="Q11" i="36"/>
  <c r="Z11" i="36" s="1"/>
  <c r="Q10" i="36"/>
  <c r="Z10" i="36" s="1"/>
  <c r="F10" i="36"/>
  <c r="AA10" i="36"/>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D96" i="35"/>
  <c r="E96" i="35" s="1"/>
  <c r="F96" i="35"/>
  <c r="G96" i="35" s="1"/>
  <c r="D94" i="35"/>
  <c r="E94" i="35" s="1"/>
  <c r="F94" i="35"/>
  <c r="G94" i="35"/>
  <c r="H94" i="35" s="1"/>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s="1"/>
  <c r="F66" i="35" s="1"/>
  <c r="G66" i="35" s="1"/>
  <c r="F16" i="35"/>
  <c r="S16" i="35"/>
  <c r="D64" i="35"/>
  <c r="E64" i="35"/>
  <c r="F64" i="35"/>
  <c r="G64" i="35"/>
  <c r="J14" i="35"/>
  <c r="AC14" i="35"/>
  <c r="F56" i="35"/>
  <c r="G56" i="35"/>
  <c r="H56" i="35" s="1"/>
  <c r="I56" i="35" s="1"/>
  <c r="C53" i="35"/>
  <c r="F9" i="35" s="1"/>
  <c r="AA9" i="35" s="1"/>
  <c r="P39" i="35"/>
  <c r="P38" i="35"/>
  <c r="V37" i="35"/>
  <c r="T37" i="35"/>
  <c r="R37" i="35"/>
  <c r="P37" i="35"/>
  <c r="Q36" i="35"/>
  <c r="Z36" i="35"/>
  <c r="J36" i="35"/>
  <c r="AC36" i="35" s="1"/>
  <c r="Q35" i="35"/>
  <c r="Z35" i="35" s="1"/>
  <c r="Q34" i="35"/>
  <c r="Z34" i="35" s="1"/>
  <c r="J34" i="35"/>
  <c r="AC34" i="35" s="1"/>
  <c r="Q33" i="35"/>
  <c r="Z33" i="35" s="1"/>
  <c r="Q32" i="35"/>
  <c r="Z32" i="35"/>
  <c r="H32" i="35"/>
  <c r="AB32" i="35" s="1"/>
  <c r="F32" i="35"/>
  <c r="AA32" i="35"/>
  <c r="Q31" i="35"/>
  <c r="Z31" i="35" s="1"/>
  <c r="AC31" i="35"/>
  <c r="AA31" i="35"/>
  <c r="Q30" i="35"/>
  <c r="Z30" i="35" s="1"/>
  <c r="Q29" i="35"/>
  <c r="Z29" i="35" s="1"/>
  <c r="Q28" i="35"/>
  <c r="Z28" i="35" s="1"/>
  <c r="J28" i="35"/>
  <c r="AC28" i="35"/>
  <c r="H28" i="35"/>
  <c r="AB28" i="35" s="1"/>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c r="H12" i="35"/>
  <c r="U12" i="35"/>
  <c r="F12" i="35"/>
  <c r="S12" i="35" s="1"/>
  <c r="Q11" i="35"/>
  <c r="Z11" i="35"/>
  <c r="Q10" i="35"/>
  <c r="Z10" i="35" s="1"/>
  <c r="Q9" i="35"/>
  <c r="Z9" i="35" s="1"/>
  <c r="J9" i="35"/>
  <c r="AC9" i="35" s="1"/>
  <c r="H9" i="35"/>
  <c r="U9" i="35" s="1"/>
  <c r="J8" i="35"/>
  <c r="AC8" i="35"/>
  <c r="H8" i="35"/>
  <c r="AB8" i="35" s="1"/>
  <c r="F8" i="35"/>
  <c r="AA8" i="35"/>
  <c r="C7" i="35"/>
  <c r="C48" i="35" s="1"/>
  <c r="D48" i="35" s="1"/>
  <c r="E48" i="35" s="1"/>
  <c r="F48" i="35" s="1"/>
  <c r="G48" i="35" s="1"/>
  <c r="H48" i="35" s="1"/>
  <c r="D120" i="34"/>
  <c r="E120" i="34"/>
  <c r="F120" i="34"/>
  <c r="G120" i="34"/>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E124" i="34"/>
  <c r="F124" i="34" s="1"/>
  <c r="G124" i="34"/>
  <c r="H124" i="34"/>
  <c r="I124" i="34" s="1"/>
  <c r="J124" i="34" s="1"/>
  <c r="K124" i="34" s="1"/>
  <c r="L124" i="34"/>
  <c r="M124" i="34" s="1"/>
  <c r="D118" i="34"/>
  <c r="E118" i="34"/>
  <c r="D116" i="34"/>
  <c r="G110" i="34"/>
  <c r="F110" i="34"/>
  <c r="E110" i="34"/>
  <c r="D110" i="34"/>
  <c r="C110" i="34"/>
  <c r="D109" i="34"/>
  <c r="E109" i="34"/>
  <c r="D107" i="34"/>
  <c r="E107" i="34" s="1"/>
  <c r="F107" i="34" s="1"/>
  <c r="G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c r="G86" i="34" s="1"/>
  <c r="F23" i="34"/>
  <c r="AA23" i="34"/>
  <c r="D82" i="34"/>
  <c r="E82" i="34" s="1"/>
  <c r="F82" i="34" s="1"/>
  <c r="G82" i="34"/>
  <c r="F19" i="34"/>
  <c r="D80" i="34"/>
  <c r="E80" i="34"/>
  <c r="D78" i="34"/>
  <c r="E78" i="34" s="1"/>
  <c r="F78" i="34" s="1"/>
  <c r="G78" i="34" s="1"/>
  <c r="F15" i="34"/>
  <c r="AA15" i="34" s="1"/>
  <c r="D70" i="34"/>
  <c r="E70" i="34"/>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F43" i="34"/>
  <c r="AA43" i="34" s="1"/>
  <c r="Q42" i="34"/>
  <c r="Z42" i="34"/>
  <c r="Q41" i="34"/>
  <c r="Z41" i="34" s="1"/>
  <c r="Q40" i="34"/>
  <c r="Z40" i="34"/>
  <c r="Q39" i="34"/>
  <c r="Z39" i="34" s="1"/>
  <c r="H39" i="34"/>
  <c r="AB39" i="34"/>
  <c r="F39" i="34"/>
  <c r="AA39" i="34" s="1"/>
  <c r="Q38" i="34"/>
  <c r="Z38" i="34"/>
  <c r="Q37" i="34"/>
  <c r="Z37" i="34" s="1"/>
  <c r="Q36" i="34"/>
  <c r="Z36" i="34"/>
  <c r="Q35" i="34"/>
  <c r="Z35" i="34" s="1"/>
  <c r="Q34" i="34"/>
  <c r="Z34" i="34"/>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c r="Q14" i="34"/>
  <c r="Z14" i="34"/>
  <c r="Q13" i="34"/>
  <c r="Z13" i="34"/>
  <c r="Q12" i="34"/>
  <c r="Z12" i="34"/>
  <c r="J12" i="34"/>
  <c r="H12" i="34"/>
  <c r="U12" i="34" s="1"/>
  <c r="Q11" i="34"/>
  <c r="Z11" i="34" s="1"/>
  <c r="Q10" i="34"/>
  <c r="Z10" i="34"/>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H26" i="33" s="1"/>
  <c r="U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c r="G108" i="33" s="1"/>
  <c r="H108" i="33" s="1"/>
  <c r="I108" i="33" s="1"/>
  <c r="J108" i="33" s="1"/>
  <c r="K108" i="33" s="1"/>
  <c r="L108" i="33" s="1"/>
  <c r="M108" i="33" s="1"/>
  <c r="J35" i="33"/>
  <c r="AC35" i="33" s="1"/>
  <c r="D106" i="33"/>
  <c r="E106" i="33"/>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c r="I66" i="33" s="1"/>
  <c r="J10" i="33"/>
  <c r="AC10" i="33"/>
  <c r="C63" i="33"/>
  <c r="H9" i="33" s="1"/>
  <c r="F54" i="33"/>
  <c r="P49" i="33"/>
  <c r="P48" i="33"/>
  <c r="V47" i="33"/>
  <c r="T47" i="33"/>
  <c r="R47" i="33"/>
  <c r="P47" i="33"/>
  <c r="Q46" i="33"/>
  <c r="Z46" i="33" s="1"/>
  <c r="Q45" i="33"/>
  <c r="Z45" i="33"/>
  <c r="Q44" i="33"/>
  <c r="Z44" i="33" s="1"/>
  <c r="Q43" i="33"/>
  <c r="Z43" i="33"/>
  <c r="Q42" i="33"/>
  <c r="Z42" i="33" s="1"/>
  <c r="J42" i="33"/>
  <c r="AC42" i="33"/>
  <c r="Q41" i="33"/>
  <c r="Z41" i="33" s="1"/>
  <c r="Q40" i="33"/>
  <c r="Z40" i="33"/>
  <c r="J40" i="33"/>
  <c r="AC40" i="33" s="1"/>
  <c r="H40" i="33"/>
  <c r="AB40" i="33"/>
  <c r="AA40" i="33"/>
  <c r="Q39" i="33"/>
  <c r="Z39" i="33"/>
  <c r="Q38" i="33"/>
  <c r="Z38" i="33" s="1"/>
  <c r="J38" i="33"/>
  <c r="H38" i="33"/>
  <c r="AB38" i="33"/>
  <c r="F38" i="33"/>
  <c r="Q37" i="33"/>
  <c r="Z37" i="33"/>
  <c r="Q36" i="33"/>
  <c r="Z36" i="33" s="1"/>
  <c r="Q35" i="33"/>
  <c r="Z35" i="33"/>
  <c r="H35" i="33"/>
  <c r="AB35" i="33" s="1"/>
  <c r="F35" i="33"/>
  <c r="S35" i="33"/>
  <c r="Q34" i="33"/>
  <c r="Z34" i="33" s="1"/>
  <c r="H34" i="33"/>
  <c r="AB34" i="33"/>
  <c r="F34" i="33"/>
  <c r="AA34" i="33" s="1"/>
  <c r="Q33" i="33"/>
  <c r="Z33" i="33"/>
  <c r="J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J12" i="33"/>
  <c r="W12" i="33" s="1"/>
  <c r="H12" i="33"/>
  <c r="U12" i="33"/>
  <c r="F12" i="33"/>
  <c r="AA12" i="33" s="1"/>
  <c r="Q11" i="33"/>
  <c r="Z11" i="33"/>
  <c r="Q10" i="33"/>
  <c r="Z10" i="33" s="1"/>
  <c r="F10" i="33"/>
  <c r="AA10" i="33"/>
  <c r="Q9" i="33"/>
  <c r="Z9" i="33" s="1"/>
  <c r="J8" i="33"/>
  <c r="AC8" i="33"/>
  <c r="H8" i="33"/>
  <c r="AB8" i="33" s="1"/>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C27" i="39" s="1"/>
  <c r="B74" i="43"/>
  <c r="C20" i="20"/>
  <c r="C18" i="20"/>
  <c r="B71" i="43"/>
  <c r="C17" i="20"/>
  <c r="B59" i="43" s="1"/>
  <c r="C16" i="20"/>
  <c r="B48" i="43"/>
  <c r="C15" i="20"/>
  <c r="B70" i="43" s="1"/>
  <c r="E54" i="21"/>
  <c r="F54" i="21"/>
  <c r="I54" i="21"/>
  <c r="J54" i="21" s="1"/>
  <c r="G54" i="21"/>
  <c r="H54" i="21"/>
  <c r="D125" i="21"/>
  <c r="E125" i="21" s="1"/>
  <c r="F125" i="21" s="1"/>
  <c r="G125" i="21" s="1"/>
  <c r="D123" i="21"/>
  <c r="E123" i="21" s="1"/>
  <c r="F123" i="21" s="1"/>
  <c r="G123" i="21" s="1"/>
  <c r="H123" i="21" s="1"/>
  <c r="I123" i="21" s="1"/>
  <c r="J123" i="21" s="1"/>
  <c r="K123" i="21" s="1"/>
  <c r="L123" i="21" s="1"/>
  <c r="M123" i="21" s="1"/>
  <c r="F42" i="21"/>
  <c r="AA42" i="21"/>
  <c r="D119" i="21"/>
  <c r="D117" i="21"/>
  <c r="E117" i="21"/>
  <c r="D115" i="21"/>
  <c r="E115" i="21" s="1"/>
  <c r="F115" i="21" s="1"/>
  <c r="G115" i="21" s="1"/>
  <c r="H115" i="21" s="1"/>
  <c r="I115" i="21" s="1"/>
  <c r="J115" i="21" s="1"/>
  <c r="K115" i="21" s="1"/>
  <c r="L115" i="21" s="1"/>
  <c r="M115" i="21" s="1"/>
  <c r="D113" i="21"/>
  <c r="E113" i="21"/>
  <c r="F113" i="21"/>
  <c r="G113" i="21" s="1"/>
  <c r="H113" i="21" s="1"/>
  <c r="F37" i="21"/>
  <c r="AA37" i="2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F43" i="21"/>
  <c r="S43" i="21"/>
  <c r="H38" i="21"/>
  <c r="U38" i="21" s="1"/>
  <c r="H43" i="21"/>
  <c r="AB43" i="21"/>
  <c r="F38" i="21"/>
  <c r="F36" i="21"/>
  <c r="S36" i="21" s="1"/>
  <c r="F39" i="21"/>
  <c r="S39" i="21"/>
  <c r="H35" i="21"/>
  <c r="AB35" i="21" s="1"/>
  <c r="J8" i="21"/>
  <c r="AC8" i="21"/>
  <c r="J9" i="21"/>
  <c r="H8" i="21"/>
  <c r="U8" i="21"/>
  <c r="H9" i="21"/>
  <c r="AB9" i="21" s="1"/>
  <c r="H10" i="21"/>
  <c r="AB10" i="21"/>
  <c r="H36" i="21"/>
  <c r="U36" i="21" s="1"/>
  <c r="F35" i="21"/>
  <c r="AA35" i="21"/>
  <c r="J33" i="21"/>
  <c r="W33" i="21" s="1"/>
  <c r="H33" i="21"/>
  <c r="AB33" i="21"/>
  <c r="F33" i="21"/>
  <c r="AA33" i="21" s="1"/>
  <c r="J10" i="21"/>
  <c r="AC10" i="21"/>
  <c r="H26" i="21"/>
  <c r="AB26" i="21" s="1"/>
  <c r="F19" i="21"/>
  <c r="AA19" i="21" s="1"/>
  <c r="H19" i="21"/>
  <c r="AB19" i="21" s="1"/>
  <c r="J19" i="21"/>
  <c r="W19" i="21" s="1"/>
  <c r="J12" i="21"/>
  <c r="AC12" i="21" s="1"/>
  <c r="H12" i="21"/>
  <c r="AB12" i="21"/>
  <c r="J26" i="21"/>
  <c r="W26" i="21" s="1"/>
  <c r="F26" i="21"/>
  <c r="S26" i="21" s="1"/>
  <c r="AB41" i="21"/>
  <c r="S41" i="21"/>
  <c r="AA41" i="21"/>
  <c r="W41" i="21"/>
  <c r="F45" i="39"/>
  <c r="J45" i="39"/>
  <c r="W45" i="39" s="1"/>
  <c r="J44" i="39"/>
  <c r="H36" i="39"/>
  <c r="AB36" i="39" s="1"/>
  <c r="S8" i="39"/>
  <c r="U38" i="39"/>
  <c r="H32" i="37"/>
  <c r="AB32" i="37" s="1"/>
  <c r="U8" i="37"/>
  <c r="F39" i="37"/>
  <c r="S39" i="37" s="1"/>
  <c r="W30" i="37"/>
  <c r="F29" i="36"/>
  <c r="AA29" i="36" s="1"/>
  <c r="F16" i="36"/>
  <c r="S16" i="36" s="1"/>
  <c r="U22" i="36"/>
  <c r="W23" i="36"/>
  <c r="W22" i="36"/>
  <c r="AA31" i="36"/>
  <c r="W31" i="36"/>
  <c r="U31" i="36"/>
  <c r="J33" i="36"/>
  <c r="W33" i="36" s="1"/>
  <c r="H22" i="35"/>
  <c r="AB22" i="35" s="1"/>
  <c r="U31" i="35"/>
  <c r="S32" i="35"/>
  <c r="S31" i="35"/>
  <c r="W31" i="35"/>
  <c r="U32" i="35"/>
  <c r="F36" i="34"/>
  <c r="AA36" i="34"/>
  <c r="U39" i="34"/>
  <c r="H39" i="33"/>
  <c r="AB39" i="33" s="1"/>
  <c r="F26" i="33"/>
  <c r="AA26" i="33" s="1"/>
  <c r="S40" i="33"/>
  <c r="W8" i="21"/>
  <c r="AC38" i="21"/>
  <c r="H39" i="37"/>
  <c r="AB39" i="37"/>
  <c r="S27" i="35"/>
  <c r="F11" i="40"/>
  <c r="AA11" i="40" s="1"/>
  <c r="H11" i="40"/>
  <c r="U11" i="40" s="1"/>
  <c r="F42" i="39"/>
  <c r="AA42" i="39" s="1"/>
  <c r="F41" i="39"/>
  <c r="AA41" i="39"/>
  <c r="H40" i="39"/>
  <c r="AB40" i="39" s="1"/>
  <c r="H39" i="39"/>
  <c r="U39" i="39"/>
  <c r="S38" i="39"/>
  <c r="H34" i="39"/>
  <c r="AB34"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1" i="39"/>
  <c r="H11" i="39"/>
  <c r="AB11" i="39" s="1"/>
  <c r="AB39" i="39"/>
  <c r="H11" i="21"/>
  <c r="U11" i="21"/>
  <c r="J11" i="21"/>
  <c r="AC11" i="21" s="1"/>
  <c r="U33" i="21"/>
  <c r="H36" i="40"/>
  <c r="U36" i="40" s="1"/>
  <c r="F35" i="40"/>
  <c r="S35" i="40" s="1"/>
  <c r="J30" i="40"/>
  <c r="W30" i="40"/>
  <c r="F30" i="40"/>
  <c r="AA30" i="40" s="1"/>
  <c r="H27" i="40"/>
  <c r="U27" i="40" s="1"/>
  <c r="H23" i="40"/>
  <c r="AB23" i="40" s="1"/>
  <c r="J11" i="40"/>
  <c r="W11" i="40" s="1"/>
  <c r="AB12" i="33"/>
  <c r="F37" i="39"/>
  <c r="S37" i="39" s="1"/>
  <c r="U30" i="36"/>
  <c r="F22" i="35"/>
  <c r="AA22" i="35"/>
  <c r="H10" i="35"/>
  <c r="U10" i="35" s="1"/>
  <c r="AB29" i="36"/>
  <c r="F33" i="36"/>
  <c r="S33"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c r="J16" i="35"/>
  <c r="W16" i="35" s="1"/>
  <c r="H14" i="35"/>
  <c r="AB14" i="35" s="1"/>
  <c r="H33" i="35"/>
  <c r="AB33" i="35" s="1"/>
  <c r="S8" i="35"/>
  <c r="W8" i="35"/>
  <c r="S9" i="35"/>
  <c r="J20" i="35"/>
  <c r="W20" i="35" s="1"/>
  <c r="H20" i="35"/>
  <c r="U20" i="35"/>
  <c r="F20" i="35"/>
  <c r="AA20" i="35" s="1"/>
  <c r="E101" i="37"/>
  <c r="F101" i="37"/>
  <c r="G101" i="37" s="1"/>
  <c r="H101" i="37" s="1"/>
  <c r="I101" i="37" s="1"/>
  <c r="J101" i="37" s="1"/>
  <c r="K101" i="37" s="1"/>
  <c r="L101" i="37" s="1"/>
  <c r="M101" i="37" s="1"/>
  <c r="J34" i="37"/>
  <c r="W34" i="37" s="1"/>
  <c r="AA39" i="37"/>
  <c r="J43" i="34"/>
  <c r="AC43" i="34"/>
  <c r="H43" i="34"/>
  <c r="AB43" i="34" s="1"/>
  <c r="U42" i="34"/>
  <c r="F118" i="34"/>
  <c r="H40" i="34"/>
  <c r="U40" i="34" s="1"/>
  <c r="E114" i="34"/>
  <c r="F38" i="34"/>
  <c r="AA38" i="34"/>
  <c r="F114" i="34"/>
  <c r="G114" i="34" s="1"/>
  <c r="H114" i="34" s="1"/>
  <c r="I114" i="34" s="1"/>
  <c r="J114" i="34" s="1"/>
  <c r="K114" i="34" s="1"/>
  <c r="L114" i="34" s="1"/>
  <c r="M114" i="34" s="1"/>
  <c r="F28" i="34"/>
  <c r="AA28" i="34" s="1"/>
  <c r="J19" i="34"/>
  <c r="W19" i="34"/>
  <c r="J15" i="34"/>
  <c r="AC15" i="34" s="1"/>
  <c r="H15" i="34"/>
  <c r="AB15" i="34"/>
  <c r="F41" i="33"/>
  <c r="S41" i="33" s="1"/>
  <c r="E113" i="33"/>
  <c r="J34" i="33"/>
  <c r="AC34" i="33" s="1"/>
  <c r="F36" i="33"/>
  <c r="S36" i="33" s="1"/>
  <c r="F25" i="33"/>
  <c r="AA25" i="33"/>
  <c r="J25" i="33"/>
  <c r="AC25" i="33" s="1"/>
  <c r="H25" i="33"/>
  <c r="AB25" i="33"/>
  <c r="J23" i="33"/>
  <c r="AC23" i="33" s="1"/>
  <c r="F23" i="33"/>
  <c r="AA23" i="33"/>
  <c r="H23" i="33"/>
  <c r="U23" i="33" s="1"/>
  <c r="F19" i="33"/>
  <c r="S19" i="33"/>
  <c r="J19" i="33"/>
  <c r="W19" i="33" s="1"/>
  <c r="J17" i="33"/>
  <c r="AC17" i="33"/>
  <c r="H17" i="33"/>
  <c r="AB17" i="33" s="1"/>
  <c r="J15" i="33"/>
  <c r="AC15" i="33"/>
  <c r="F11" i="33"/>
  <c r="S11" i="33" s="1"/>
  <c r="W10" i="33"/>
  <c r="H10" i="33"/>
  <c r="U10" i="33"/>
  <c r="S10" i="21"/>
  <c r="U40" i="33"/>
  <c r="U8" i="33"/>
  <c r="S8" i="33"/>
  <c r="F37" i="40"/>
  <c r="AA37" i="40"/>
  <c r="F36" i="40"/>
  <c r="AA36" i="40" s="1"/>
  <c r="J27" i="40"/>
  <c r="W27" i="40" s="1"/>
  <c r="F27" i="40"/>
  <c r="S27" i="40" s="1"/>
  <c r="F23" i="40"/>
  <c r="AA23" i="40" s="1"/>
  <c r="AC11" i="40"/>
  <c r="AB30" i="36"/>
  <c r="W32" i="35"/>
  <c r="F29" i="35"/>
  <c r="S29" i="35" s="1"/>
  <c r="U34" i="37"/>
  <c r="AB42" i="34"/>
  <c r="H38" i="34"/>
  <c r="U15" i="34"/>
  <c r="F113" i="33"/>
  <c r="G113" i="33"/>
  <c r="H113" i="33" s="1"/>
  <c r="I113" i="33" s="1"/>
  <c r="J113" i="33" s="1"/>
  <c r="K113" i="33" s="1"/>
  <c r="L113" i="33" s="1"/>
  <c r="M113" i="33" s="1"/>
  <c r="H37" i="33"/>
  <c r="AB37" i="33"/>
  <c r="AA37" i="33"/>
  <c r="H36" i="33"/>
  <c r="U36" i="33"/>
  <c r="S25" i="33"/>
  <c r="F17" i="33"/>
  <c r="AA17" i="33" s="1"/>
  <c r="H15" i="33"/>
  <c r="AB15" i="33"/>
  <c r="AB11" i="33"/>
  <c r="AC42" i="34"/>
  <c r="W42" i="34"/>
  <c r="AA42" i="34"/>
  <c r="S42" i="34"/>
  <c r="W38" i="34"/>
  <c r="J37" i="33"/>
  <c r="AC37" i="33"/>
  <c r="J36" i="33"/>
  <c r="AC36" i="33" s="1"/>
  <c r="J11" i="33"/>
  <c r="AC11" i="33"/>
  <c r="J42" i="21"/>
  <c r="AC42" i="21" s="1"/>
  <c r="H42" i="21"/>
  <c r="U42" i="21" s="1"/>
  <c r="AB42" i="21"/>
  <c r="J10" i="35"/>
  <c r="AC10" i="35" s="1"/>
  <c r="J14" i="21"/>
  <c r="W14" i="21"/>
  <c r="F14" i="21"/>
  <c r="S14" i="21" s="1"/>
  <c r="H14" i="21"/>
  <c r="AB14" i="21"/>
  <c r="H28" i="21"/>
  <c r="AB28" i="21" s="1"/>
  <c r="F28" i="21"/>
  <c r="AA28" i="21"/>
  <c r="J28" i="21"/>
  <c r="W28" i="21" s="1"/>
  <c r="H30" i="21"/>
  <c r="AB30" i="21"/>
  <c r="F30" i="21"/>
  <c r="S30" i="21" s="1"/>
  <c r="J30" i="21"/>
  <c r="W30" i="21"/>
  <c r="J44" i="21"/>
  <c r="AC44" i="21" s="1"/>
  <c r="H44" i="21"/>
  <c r="U44" i="21"/>
  <c r="F44" i="21"/>
  <c r="AA44" i="21" s="1"/>
  <c r="H46" i="21"/>
  <c r="AB46" i="21" s="1"/>
  <c r="U46" i="21"/>
  <c r="J46" i="21"/>
  <c r="W46" i="21" s="1"/>
  <c r="F46" i="21"/>
  <c r="AA46" i="21"/>
  <c r="E119" i="21"/>
  <c r="F119" i="21" s="1"/>
  <c r="G119" i="21" s="1"/>
  <c r="H119" i="21" s="1"/>
  <c r="I119" i="21" s="1"/>
  <c r="J119" i="21" s="1"/>
  <c r="K119" i="21" s="1"/>
  <c r="L119" i="21" s="1"/>
  <c r="M119" i="21" s="1"/>
  <c r="H28" i="33"/>
  <c r="U28" i="33" s="1"/>
  <c r="F28" i="33"/>
  <c r="S28" i="33"/>
  <c r="J28" i="33"/>
  <c r="AC28" i="33" s="1"/>
  <c r="F33" i="35"/>
  <c r="S33" i="35"/>
  <c r="J33" i="35"/>
  <c r="AC33" i="35" s="1"/>
  <c r="F30" i="35"/>
  <c r="S30" i="35"/>
  <c r="E89" i="35"/>
  <c r="F89" i="35" s="1"/>
  <c r="G89" i="35" s="1"/>
  <c r="H89" i="35" s="1"/>
  <c r="I89" i="35" s="1"/>
  <c r="J89" i="35" s="1"/>
  <c r="K89" i="35" s="1"/>
  <c r="L89" i="35" s="1"/>
  <c r="M89" i="35" s="1"/>
  <c r="H10" i="36"/>
  <c r="AB10" i="36" s="1"/>
  <c r="F83" i="36"/>
  <c r="G83" i="36"/>
  <c r="H83" i="36" s="1"/>
  <c r="I83" i="36" s="1"/>
  <c r="J83" i="36" s="1"/>
  <c r="K83" i="36" s="1"/>
  <c r="L83" i="36" s="1"/>
  <c r="M83" i="36" s="1"/>
  <c r="F28" i="36"/>
  <c r="AA28" i="36"/>
  <c r="J13" i="33"/>
  <c r="AC13" i="33" s="1"/>
  <c r="H13" i="33"/>
  <c r="AB13" i="33"/>
  <c r="F13" i="33"/>
  <c r="S13" i="33" s="1"/>
  <c r="J29" i="33"/>
  <c r="H29" i="33"/>
  <c r="U29" i="33" s="1"/>
  <c r="F29" i="33"/>
  <c r="S29" i="33"/>
  <c r="J31" i="33"/>
  <c r="AC31" i="33" s="1"/>
  <c r="H31" i="33"/>
  <c r="AB31" i="33"/>
  <c r="F31" i="33"/>
  <c r="S31" i="33" s="1"/>
  <c r="H45" i="33"/>
  <c r="U45" i="33"/>
  <c r="J45" i="33"/>
  <c r="W45" i="33" s="1"/>
  <c r="F45" i="33"/>
  <c r="S45" i="33"/>
  <c r="J14" i="34"/>
  <c r="AC14" i="34" s="1"/>
  <c r="F14" i="34"/>
  <c r="H14" i="34"/>
  <c r="U14" i="34"/>
  <c r="H30" i="34"/>
  <c r="U30" i="34" s="1"/>
  <c r="F30" i="34"/>
  <c r="S30" i="34"/>
  <c r="J30" i="34"/>
  <c r="W30" i="34" s="1"/>
  <c r="H32" i="34"/>
  <c r="F32" i="34"/>
  <c r="S32" i="34" s="1"/>
  <c r="J32" i="34"/>
  <c r="W32" i="34"/>
  <c r="H46" i="34"/>
  <c r="U46" i="34" s="1"/>
  <c r="F46" i="34"/>
  <c r="S46" i="34"/>
  <c r="J46" i="34"/>
  <c r="W46" i="34" s="1"/>
  <c r="H11" i="35"/>
  <c r="U11" i="35"/>
  <c r="J11" i="35"/>
  <c r="AC11" i="35" s="1"/>
  <c r="F11" i="35"/>
  <c r="S11" i="35"/>
  <c r="J26" i="36"/>
  <c r="AC26" i="36" s="1"/>
  <c r="H28" i="36"/>
  <c r="U28" i="36"/>
  <c r="H32" i="36"/>
  <c r="AB32" i="36" s="1"/>
  <c r="J32" i="36"/>
  <c r="W32" i="36"/>
  <c r="J11" i="36"/>
  <c r="AC11" i="36" s="1"/>
  <c r="H11" i="36"/>
  <c r="AB11" i="36"/>
  <c r="F11" i="36"/>
  <c r="AA11" i="36" s="1"/>
  <c r="J13" i="36"/>
  <c r="AC13" i="36" s="1"/>
  <c r="H36" i="37"/>
  <c r="U36" i="37" s="1"/>
  <c r="H37" i="37"/>
  <c r="U37" i="37"/>
  <c r="AC12" i="40"/>
  <c r="W12" i="40"/>
  <c r="H14" i="33"/>
  <c r="U14" i="33"/>
  <c r="F14" i="33"/>
  <c r="AA14" i="33" s="1"/>
  <c r="J14" i="33"/>
  <c r="AC14" i="33"/>
  <c r="H30" i="33"/>
  <c r="AB30" i="33" s="1"/>
  <c r="F30" i="33"/>
  <c r="S30" i="33"/>
  <c r="J30" i="33"/>
  <c r="AC30" i="33" s="1"/>
  <c r="H44" i="33"/>
  <c r="AB44" i="33"/>
  <c r="J44" i="33"/>
  <c r="W44" i="33" s="1"/>
  <c r="F44" i="33"/>
  <c r="S44" i="33"/>
  <c r="J46" i="33"/>
  <c r="W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S45" i="34" s="1"/>
  <c r="H47" i="34"/>
  <c r="U47" i="34"/>
  <c r="F47" i="34"/>
  <c r="S47" i="34" s="1"/>
  <c r="J47" i="34"/>
  <c r="AC47" i="34"/>
  <c r="F13" i="35"/>
  <c r="AA13" i="35" s="1"/>
  <c r="J13" i="35"/>
  <c r="AC13" i="35"/>
  <c r="H13" i="35"/>
  <c r="U13" i="35" s="1"/>
  <c r="J25" i="35"/>
  <c r="W25" i="35"/>
  <c r="F25" i="35"/>
  <c r="S25" i="35" s="1"/>
  <c r="H25" i="35"/>
  <c r="AB25" i="35"/>
  <c r="J35" i="35"/>
  <c r="W35" i="35" s="1"/>
  <c r="F35" i="35"/>
  <c r="AA35" i="35"/>
  <c r="H35" i="35"/>
  <c r="U35" i="35" s="1"/>
  <c r="F25" i="36"/>
  <c r="S25" i="36" s="1"/>
  <c r="H13" i="37"/>
  <c r="AB13" i="37" s="1"/>
  <c r="F13" i="37"/>
  <c r="S13" i="37"/>
  <c r="J13" i="37"/>
  <c r="W13" i="37" s="1"/>
  <c r="F28" i="37"/>
  <c r="AA28" i="37"/>
  <c r="J28" i="37"/>
  <c r="W28" i="37" s="1"/>
  <c r="H28" i="37"/>
  <c r="U28" i="37"/>
  <c r="H38" i="37"/>
  <c r="AB38" i="37" s="1"/>
  <c r="J38" i="37"/>
  <c r="AC38" i="37"/>
  <c r="F38" i="37"/>
  <c r="AA38" i="37" s="1"/>
  <c r="H43" i="39"/>
  <c r="U43" i="39" s="1"/>
  <c r="J14" i="39"/>
  <c r="W14" i="39" s="1"/>
  <c r="H14" i="39"/>
  <c r="AB14" i="39" s="1"/>
  <c r="F12" i="40"/>
  <c r="AA12" i="40" s="1"/>
  <c r="H12" i="40"/>
  <c r="AB12" i="40" s="1"/>
  <c r="H30" i="40"/>
  <c r="AB30" i="40" s="1"/>
  <c r="F33" i="40"/>
  <c r="AA33" i="40"/>
  <c r="H33" i="40"/>
  <c r="U33" i="40" s="1"/>
  <c r="J35" i="40"/>
  <c r="AC35" i="40"/>
  <c r="H13" i="40"/>
  <c r="U13" i="40" s="1"/>
  <c r="J13" i="40"/>
  <c r="W13" i="40"/>
  <c r="F13" i="40"/>
  <c r="S13" i="40" s="1"/>
  <c r="F13" i="39"/>
  <c r="AA13" i="39" s="1"/>
  <c r="J13" i="39"/>
  <c r="W13" i="39"/>
  <c r="H13" i="39"/>
  <c r="AB13" i="39" s="1"/>
  <c r="H14" i="40"/>
  <c r="AB14" i="40"/>
  <c r="J14" i="40"/>
  <c r="W14" i="40" s="1"/>
  <c r="F14" i="40"/>
  <c r="AA14" i="40"/>
  <c r="J14" i="37"/>
  <c r="AC14" i="37" s="1"/>
  <c r="W13" i="35"/>
  <c r="AA44" i="33"/>
  <c r="AB14" i="33"/>
  <c r="AB37" i="37"/>
  <c r="W30" i="33"/>
  <c r="AC32" i="34"/>
  <c r="J10" i="36"/>
  <c r="W10" i="36" s="1"/>
  <c r="U14" i="21"/>
  <c r="AC14" i="21"/>
  <c r="S46" i="33"/>
  <c r="U32" i="36"/>
  <c r="AB45" i="33"/>
  <c r="U31" i="33"/>
  <c r="AC29" i="33"/>
  <c r="W29" i="33"/>
  <c r="S19" i="21"/>
  <c r="J41" i="39"/>
  <c r="W41" i="39" s="1"/>
  <c r="S508" i="31"/>
  <c r="S506" i="31"/>
  <c r="S504" i="31"/>
  <c r="S502" i="31"/>
  <c r="O30" i="31"/>
  <c r="O31" i="31"/>
  <c r="O29" i="31"/>
  <c r="M30" i="31"/>
  <c r="M31" i="31"/>
  <c r="M29" i="31"/>
  <c r="I29" i="31"/>
  <c r="I28" i="31"/>
  <c r="W43" i="21"/>
  <c r="Q29" i="31"/>
  <c r="K29" i="31"/>
  <c r="Q30" i="31"/>
  <c r="K30" i="31"/>
  <c r="I31" i="31"/>
  <c r="Q31" i="31"/>
  <c r="K31" i="31"/>
  <c r="S12" i="21"/>
  <c r="H25" i="21"/>
  <c r="U25" i="21" s="1"/>
  <c r="F25" i="21"/>
  <c r="S25" i="21"/>
  <c r="J25" i="21"/>
  <c r="AC25" i="21" s="1"/>
  <c r="H17" i="37"/>
  <c r="U17" i="37"/>
  <c r="F73" i="37"/>
  <c r="G73" i="37" s="1"/>
  <c r="F23" i="37"/>
  <c r="S23" i="37"/>
  <c r="F32" i="37"/>
  <c r="S32" i="37" s="1"/>
  <c r="F39" i="33"/>
  <c r="AA39" i="33"/>
  <c r="F42" i="33"/>
  <c r="AA42" i="33" s="1"/>
  <c r="F14" i="36"/>
  <c r="AA14" i="36"/>
  <c r="F22" i="36"/>
  <c r="AA22" i="36" s="1"/>
  <c r="F26" i="36"/>
  <c r="AA26" i="36"/>
  <c r="H27" i="34"/>
  <c r="U27" i="34" s="1"/>
  <c r="H35" i="34"/>
  <c r="U35" i="34"/>
  <c r="F41" i="34"/>
  <c r="S41" i="34" s="1"/>
  <c r="H41" i="34"/>
  <c r="U41" i="34"/>
  <c r="J41" i="34"/>
  <c r="AC41" i="34" s="1"/>
  <c r="F10" i="35"/>
  <c r="AA10" i="35"/>
  <c r="H23" i="37"/>
  <c r="AB23" i="37" s="1"/>
  <c r="J32" i="37"/>
  <c r="AC32" i="37"/>
  <c r="F36" i="37"/>
  <c r="AA36" i="37" s="1"/>
  <c r="F37" i="37"/>
  <c r="AA37" i="37" s="1"/>
  <c r="F31" i="40"/>
  <c r="AA31" i="40" s="1"/>
  <c r="H31" i="40"/>
  <c r="U31" i="40" s="1"/>
  <c r="F32" i="40"/>
  <c r="S32" i="40" s="1"/>
  <c r="H32" i="40"/>
  <c r="U32" i="40" s="1"/>
  <c r="J36" i="40"/>
  <c r="W36" i="40" s="1"/>
  <c r="AB32" i="40"/>
  <c r="U23" i="37"/>
  <c r="H42" i="33"/>
  <c r="U42" i="33"/>
  <c r="J23" i="37"/>
  <c r="W23" i="37" s="1"/>
  <c r="S30" i="31"/>
  <c r="AC33" i="36"/>
  <c r="AB20" i="35"/>
  <c r="AA11" i="35"/>
  <c r="S28" i="37"/>
  <c r="U39" i="37"/>
  <c r="W47" i="34"/>
  <c r="AB8" i="34"/>
  <c r="W14" i="33"/>
  <c r="AA30" i="33"/>
  <c r="AB10" i="33"/>
  <c r="AC33" i="21"/>
  <c r="AB38" i="21"/>
  <c r="AA23" i="37"/>
  <c r="W38" i="37"/>
  <c r="H37" i="21"/>
  <c r="U37" i="21" s="1"/>
  <c r="J37" i="21"/>
  <c r="W37" i="21"/>
  <c r="H19" i="34"/>
  <c r="U19" i="34" s="1"/>
  <c r="F36" i="35"/>
  <c r="AA36" i="35"/>
  <c r="J9" i="37"/>
  <c r="AC9" i="37" s="1"/>
  <c r="H9" i="37"/>
  <c r="AB9" i="37"/>
  <c r="F9" i="37"/>
  <c r="AA9" i="37" s="1"/>
  <c r="F11" i="37"/>
  <c r="S11" i="37"/>
  <c r="J42" i="39"/>
  <c r="AC42" i="39" s="1"/>
  <c r="S37" i="21"/>
  <c r="AB37" i="21"/>
  <c r="AB27" i="40"/>
  <c r="AC31" i="39"/>
  <c r="U31" i="39"/>
  <c r="C12" i="43"/>
  <c r="D15" i="47"/>
  <c r="F15" i="47" s="1"/>
  <c r="B13" i="47" s="1"/>
  <c r="D17" i="47"/>
  <c r="D19" i="47"/>
  <c r="D21" i="47"/>
  <c r="D23" i="47"/>
  <c r="D27" i="47"/>
  <c r="D33" i="47"/>
  <c r="D37" i="47"/>
  <c r="F37" i="47" s="1"/>
  <c r="D39" i="47"/>
  <c r="D41" i="47"/>
  <c r="D43" i="47"/>
  <c r="D16" i="47"/>
  <c r="D18" i="47"/>
  <c r="D20" i="47"/>
  <c r="D22" i="47"/>
  <c r="D26" i="47"/>
  <c r="D28" i="47"/>
  <c r="D30" i="47"/>
  <c r="F26" i="47" s="1"/>
  <c r="D32" i="47"/>
  <c r="D34" i="47"/>
  <c r="D38" i="47"/>
  <c r="D40" i="47"/>
  <c r="D42" i="47"/>
  <c r="D44" i="47"/>
  <c r="D9" i="47"/>
  <c r="D8" i="47"/>
  <c r="F4" i="47" s="1"/>
  <c r="B2" i="47" s="1"/>
  <c r="D6" i="47"/>
  <c r="H19" i="40"/>
  <c r="AB19" i="40" s="1"/>
  <c r="F19" i="40"/>
  <c r="S19" i="40" s="1"/>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E65" i="39"/>
  <c r="E60" i="40"/>
  <c r="F34" i="43"/>
  <c r="C21" i="11"/>
  <c r="C29" i="11" s="1"/>
  <c r="D27" i="11" s="1"/>
  <c r="H55" i="39"/>
  <c r="S30" i="40"/>
  <c r="H16" i="44"/>
  <c r="D17" i="43"/>
  <c r="I17" i="43"/>
  <c r="D108" i="9"/>
  <c r="F22" i="43"/>
  <c r="G22" i="43"/>
  <c r="H14" i="44"/>
  <c r="W40" i="39"/>
  <c r="AC20" i="35"/>
  <c r="S39" i="34"/>
  <c r="AB12" i="34"/>
  <c r="AC30" i="34"/>
  <c r="H23" i="34"/>
  <c r="AB23" i="34"/>
  <c r="F33" i="34"/>
  <c r="F109" i="34"/>
  <c r="G109" i="34"/>
  <c r="H109" i="34"/>
  <c r="I109" i="34" s="1"/>
  <c r="J109" i="34" s="1"/>
  <c r="K109" i="34" s="1"/>
  <c r="L109" i="34" s="1"/>
  <c r="M109" i="34" s="1"/>
  <c r="H36" i="34"/>
  <c r="AB36" i="34"/>
  <c r="F35" i="34"/>
  <c r="H107" i="34"/>
  <c r="I107" i="34" s="1"/>
  <c r="J107" i="34" s="1"/>
  <c r="K107" i="34" s="1"/>
  <c r="L107" i="34" s="1"/>
  <c r="M107" i="34" s="1"/>
  <c r="J35" i="34"/>
  <c r="AC35" i="34"/>
  <c r="F27" i="34"/>
  <c r="S27" i="34" s="1"/>
  <c r="W34" i="34"/>
  <c r="J33" i="34"/>
  <c r="W33" i="34" s="1"/>
  <c r="J37" i="34"/>
  <c r="W37" i="34" s="1"/>
  <c r="S23" i="34"/>
  <c r="J26" i="35"/>
  <c r="W26" i="35"/>
  <c r="F26" i="35"/>
  <c r="AA26" i="35" s="1"/>
  <c r="H26" i="35"/>
  <c r="U26" i="35"/>
  <c r="U28" i="21"/>
  <c r="K145" i="21"/>
  <c r="K144" i="21"/>
  <c r="K141" i="21"/>
  <c r="K143" i="21"/>
  <c r="B101" i="9"/>
  <c r="C112" i="9" s="1"/>
  <c r="H110" i="9" s="1"/>
  <c r="F23" i="21"/>
  <c r="J23" i="21"/>
  <c r="AC23" i="21"/>
  <c r="H23" i="21"/>
  <c r="F17" i="21"/>
  <c r="AA17" i="21"/>
  <c r="J17" i="21"/>
  <c r="H17" i="21"/>
  <c r="AB17" i="21"/>
  <c r="J15" i="21"/>
  <c r="W15" i="21" s="1"/>
  <c r="U35" i="21"/>
  <c r="AC35" i="21"/>
  <c r="H103" i="57"/>
  <c r="A131" i="9"/>
  <c r="A135" i="57"/>
  <c r="B103" i="57"/>
  <c r="B107" i="57" s="1"/>
  <c r="C112" i="57"/>
  <c r="H107" i="57" s="1"/>
  <c r="D128" i="57"/>
  <c r="T27" i="31"/>
  <c r="S27" i="31"/>
  <c r="B113" i="43"/>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AA35" i="39"/>
  <c r="AB21" i="39"/>
  <c r="U25" i="35"/>
  <c r="AB46" i="34"/>
  <c r="S14" i="34"/>
  <c r="AA14" i="34"/>
  <c r="AB38" i="34"/>
  <c r="U38" i="34"/>
  <c r="F40" i="34"/>
  <c r="AA40" i="34"/>
  <c r="G118" i="34"/>
  <c r="U20" i="36"/>
  <c r="AB20" i="36"/>
  <c r="AA16" i="36"/>
  <c r="AC44" i="39"/>
  <c r="W44" i="39"/>
  <c r="H13" i="21"/>
  <c r="U13" i="21"/>
  <c r="J13" i="21"/>
  <c r="W13" i="21" s="1"/>
  <c r="F13" i="21"/>
  <c r="AA13" i="21" s="1"/>
  <c r="J45" i="21"/>
  <c r="F45" i="21"/>
  <c r="AA45" i="21" s="1"/>
  <c r="S42" i="21"/>
  <c r="B41" i="47"/>
  <c r="C23" i="40"/>
  <c r="W12" i="34"/>
  <c r="AC12" i="34"/>
  <c r="J9" i="34"/>
  <c r="AC9" i="34" s="1"/>
  <c r="F9" i="34"/>
  <c r="S9" i="34" s="1"/>
  <c r="AA19" i="34"/>
  <c r="S19" i="34"/>
  <c r="AA9" i="36"/>
  <c r="S9" i="36"/>
  <c r="AB23" i="36"/>
  <c r="U23" i="36"/>
  <c r="J12" i="36"/>
  <c r="W12" i="36"/>
  <c r="H12" i="36"/>
  <c r="AB12" i="36" s="1"/>
  <c r="AA9" i="39"/>
  <c r="S9" i="39"/>
  <c r="AB12" i="39"/>
  <c r="U12" i="39"/>
  <c r="J12" i="39"/>
  <c r="F12" i="39"/>
  <c r="R29" i="31"/>
  <c r="T29" i="31" s="1"/>
  <c r="F15" i="21"/>
  <c r="S15" i="21"/>
  <c r="C106" i="9"/>
  <c r="H102" i="9" s="1"/>
  <c r="AA30" i="21"/>
  <c r="J36" i="34"/>
  <c r="W36" i="34"/>
  <c r="J19" i="40"/>
  <c r="AC19" i="40" s="1"/>
  <c r="W9" i="39"/>
  <c r="U14" i="39"/>
  <c r="H32" i="39"/>
  <c r="U32" i="39" s="1"/>
  <c r="F21" i="39"/>
  <c r="AA21" i="39" s="1"/>
  <c r="B35" i="47"/>
  <c r="F31" i="37"/>
  <c r="AA31" i="37" s="1"/>
  <c r="AC36" i="40"/>
  <c r="F17" i="37"/>
  <c r="AA17" i="37" s="1"/>
  <c r="AA29" i="33"/>
  <c r="AB28" i="36"/>
  <c r="AB13" i="40"/>
  <c r="U44" i="33"/>
  <c r="U11" i="36"/>
  <c r="AB11" i="35"/>
  <c r="U32" i="34"/>
  <c r="AB32" i="34"/>
  <c r="AA30" i="34"/>
  <c r="H45" i="21"/>
  <c r="AB45" i="21" s="1"/>
  <c r="J14" i="36"/>
  <c r="AC30" i="21"/>
  <c r="S15" i="34"/>
  <c r="J40" i="34"/>
  <c r="S37" i="40"/>
  <c r="H19" i="33"/>
  <c r="AB19" i="33"/>
  <c r="AB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AB34" i="21" s="1"/>
  <c r="U34" i="21"/>
  <c r="J34" i="21"/>
  <c r="AC34" i="21" s="1"/>
  <c r="AC36" i="21"/>
  <c r="W36" i="21"/>
  <c r="E101" i="33"/>
  <c r="F32" i="33"/>
  <c r="AA32" i="33"/>
  <c r="H9" i="34"/>
  <c r="AB9" i="34" s="1"/>
  <c r="H28" i="34"/>
  <c r="E116" i="34"/>
  <c r="F116" i="34"/>
  <c r="G116" i="34"/>
  <c r="H116" i="34" s="1"/>
  <c r="I116" i="34" s="1"/>
  <c r="J116" i="34" s="1"/>
  <c r="K116" i="34" s="1"/>
  <c r="L116" i="34" s="1"/>
  <c r="M116" i="34" s="1"/>
  <c r="J39" i="34"/>
  <c r="AC39" i="34" s="1"/>
  <c r="W39" i="34"/>
  <c r="J27" i="36"/>
  <c r="F37" i="34"/>
  <c r="AA37" i="34" s="1"/>
  <c r="H37" i="34"/>
  <c r="B24" i="47"/>
  <c r="AA32" i="37"/>
  <c r="U12" i="40"/>
  <c r="AC46" i="34"/>
  <c r="AA32" i="34"/>
  <c r="W28" i="33"/>
  <c r="W34" i="33"/>
  <c r="AA14" i="35"/>
  <c r="S14" i="35"/>
  <c r="W11" i="21"/>
  <c r="S45" i="39"/>
  <c r="AA45" i="39"/>
  <c r="H27" i="21"/>
  <c r="AB27" i="21" s="1"/>
  <c r="J27" i="21"/>
  <c r="W27" i="21" s="1"/>
  <c r="F27" i="21"/>
  <c r="AA27" i="21" s="1"/>
  <c r="J29" i="21"/>
  <c r="AC29" i="21" s="1"/>
  <c r="H29" i="21"/>
  <c r="AB29" i="21" s="1"/>
  <c r="U29" i="21"/>
  <c r="F29" i="21"/>
  <c r="J31" i="21"/>
  <c r="W31" i="21"/>
  <c r="H31" i="21"/>
  <c r="U31" i="21" s="1"/>
  <c r="F31" i="21"/>
  <c r="AA31" i="21" s="1"/>
  <c r="H39" i="21"/>
  <c r="U39" i="21"/>
  <c r="F117" i="21"/>
  <c r="G117" i="21" s="1"/>
  <c r="S9" i="21"/>
  <c r="AA9" i="21"/>
  <c r="AA15" i="33"/>
  <c r="S15" i="33"/>
  <c r="AA35" i="33"/>
  <c r="E117" i="33"/>
  <c r="F117" i="33" s="1"/>
  <c r="G117" i="33" s="1"/>
  <c r="J39" i="33"/>
  <c r="AC39" i="33"/>
  <c r="E125" i="33"/>
  <c r="H43" i="33"/>
  <c r="U43" i="33"/>
  <c r="E91" i="33"/>
  <c r="F91" i="33" s="1"/>
  <c r="G91" i="33" s="1"/>
  <c r="H91" i="33" s="1"/>
  <c r="I91" i="33" s="1"/>
  <c r="J91" i="33" s="1"/>
  <c r="K91" i="33" s="1"/>
  <c r="L91" i="33" s="1"/>
  <c r="M91" i="33" s="1"/>
  <c r="F27" i="33"/>
  <c r="S27" i="33"/>
  <c r="H41" i="33"/>
  <c r="AB41" i="33" s="1"/>
  <c r="U41" i="33"/>
  <c r="S12" i="34"/>
  <c r="AA12" i="34"/>
  <c r="AA11" i="34"/>
  <c r="S11" i="34"/>
  <c r="F80" i="34"/>
  <c r="H17" i="34"/>
  <c r="U17" i="34"/>
  <c r="H16" i="35"/>
  <c r="J24" i="35"/>
  <c r="AC24" i="35"/>
  <c r="F24" i="35"/>
  <c r="H24" i="35"/>
  <c r="U24" i="35"/>
  <c r="H34" i="35"/>
  <c r="F34" i="35"/>
  <c r="G60" i="37"/>
  <c r="H60" i="37" s="1"/>
  <c r="F10" i="37"/>
  <c r="AA10" i="37" s="1"/>
  <c r="J12" i="37"/>
  <c r="W12" i="37"/>
  <c r="F12" i="37"/>
  <c r="S12" i="37" s="1"/>
  <c r="H27" i="37"/>
  <c r="U27" i="37"/>
  <c r="F27" i="37"/>
  <c r="J27" i="37"/>
  <c r="AC27" i="37"/>
  <c r="J29" i="37"/>
  <c r="F29" i="37"/>
  <c r="S29" i="37" s="1"/>
  <c r="H31" i="37"/>
  <c r="AB31" i="37" s="1"/>
  <c r="J36" i="37"/>
  <c r="W36" i="37" s="1"/>
  <c r="J40" i="37"/>
  <c r="W40" i="37"/>
  <c r="F40" i="37"/>
  <c r="AA40" i="37" s="1"/>
  <c r="U8" i="39"/>
  <c r="AB8" i="39"/>
  <c r="J29" i="35"/>
  <c r="AC29" i="35" s="1"/>
  <c r="AC30" i="36"/>
  <c r="W30" i="36"/>
  <c r="H35" i="39"/>
  <c r="U35" i="39" s="1"/>
  <c r="J35" i="39"/>
  <c r="AC35" i="39" s="1"/>
  <c r="AA19" i="39"/>
  <c r="H16" i="36"/>
  <c r="U16" i="36"/>
  <c r="U32" i="37"/>
  <c r="E101" i="21"/>
  <c r="F101" i="21"/>
  <c r="G101" i="21"/>
  <c r="H101" i="21" s="1"/>
  <c r="I101" i="21" s="1"/>
  <c r="J101" i="21"/>
  <c r="K101" i="21" s="1"/>
  <c r="L101" i="21" s="1"/>
  <c r="M101" i="21" s="1"/>
  <c r="F32" i="21"/>
  <c r="AA32" i="21" s="1"/>
  <c r="S32" i="21"/>
  <c r="J32" i="21"/>
  <c r="W32" i="21"/>
  <c r="H32" i="21"/>
  <c r="U32" i="21"/>
  <c r="F40" i="21"/>
  <c r="AA40" i="21"/>
  <c r="H40" i="21"/>
  <c r="U40" i="21" s="1"/>
  <c r="AB40" i="21"/>
  <c r="J40" i="21"/>
  <c r="AC40" i="21"/>
  <c r="B44" i="47"/>
  <c r="C21" i="40"/>
  <c r="AC33" i="33"/>
  <c r="W33" i="33"/>
  <c r="S34" i="33"/>
  <c r="AA38" i="33"/>
  <c r="S38" i="33"/>
  <c r="AC38" i="33"/>
  <c r="W38" i="33"/>
  <c r="J9" i="33"/>
  <c r="AC9" i="33" s="1"/>
  <c r="F9" i="33"/>
  <c r="AA9" i="33"/>
  <c r="F25" i="34"/>
  <c r="S25" i="34"/>
  <c r="E126" i="34"/>
  <c r="F126" i="34" s="1"/>
  <c r="H44" i="34"/>
  <c r="U44" i="34"/>
  <c r="AB26" i="36"/>
  <c r="U26" i="36"/>
  <c r="F20" i="36"/>
  <c r="S20" i="36" s="1"/>
  <c r="J24" i="36"/>
  <c r="W24" i="36"/>
  <c r="H24" i="36"/>
  <c r="AB24" i="36" s="1"/>
  <c r="F24" i="36"/>
  <c r="AA24" i="36"/>
  <c r="AA32" i="36"/>
  <c r="S32" i="36"/>
  <c r="J26" i="37"/>
  <c r="AC26" i="37"/>
  <c r="H26" i="37"/>
  <c r="U26" i="37" s="1"/>
  <c r="F26" i="37"/>
  <c r="AA26" i="37"/>
  <c r="J23" i="39"/>
  <c r="W23" i="39" s="1"/>
  <c r="E96" i="39"/>
  <c r="H15" i="37"/>
  <c r="AB15" i="37"/>
  <c r="F15" i="37"/>
  <c r="F38" i="40"/>
  <c r="AA38" i="40"/>
  <c r="J38" i="40"/>
  <c r="H38" i="40"/>
  <c r="AB38" i="40"/>
  <c r="J40" i="40"/>
  <c r="AC40" i="40" s="1"/>
  <c r="H40" i="40"/>
  <c r="AB40" i="40"/>
  <c r="F40" i="40"/>
  <c r="AA40" i="40" s="1"/>
  <c r="N6" i="43"/>
  <c r="M1" i="43"/>
  <c r="F101" i="9"/>
  <c r="F33" i="9"/>
  <c r="C25" i="57"/>
  <c r="N102" i="43"/>
  <c r="G103" i="43"/>
  <c r="F59" i="43"/>
  <c r="H63" i="43" s="1"/>
  <c r="G15" i="47"/>
  <c r="W40" i="40"/>
  <c r="U15" i="37"/>
  <c r="H25" i="34"/>
  <c r="U25" i="34"/>
  <c r="AB35" i="39"/>
  <c r="AC40" i="37"/>
  <c r="AA34" i="35"/>
  <c r="S34" i="35"/>
  <c r="AB24" i="35"/>
  <c r="J17" i="34"/>
  <c r="W17" i="34" s="1"/>
  <c r="G80" i="34"/>
  <c r="F17" i="34"/>
  <c r="AA17" i="34"/>
  <c r="H27" i="33"/>
  <c r="F43" i="33"/>
  <c r="S43" i="33"/>
  <c r="F125" i="33"/>
  <c r="G125" i="33" s="1"/>
  <c r="J43" i="33"/>
  <c r="AC43" i="33"/>
  <c r="AA29" i="21"/>
  <c r="S29" i="21"/>
  <c r="W29" i="21"/>
  <c r="AC27" i="21"/>
  <c r="H27" i="36"/>
  <c r="AB27" i="36"/>
  <c r="F27" i="36"/>
  <c r="AA27" i="36"/>
  <c r="J28" i="34"/>
  <c r="AC28" i="34" s="1"/>
  <c r="W28" i="34"/>
  <c r="H11" i="34"/>
  <c r="U11" i="34" s="1"/>
  <c r="S17" i="37"/>
  <c r="J11" i="37"/>
  <c r="AC11" i="37"/>
  <c r="AC36" i="34"/>
  <c r="W12" i="39"/>
  <c r="AC12" i="39"/>
  <c r="S45" i="21"/>
  <c r="AB13" i="21"/>
  <c r="U38" i="40"/>
  <c r="F23" i="39"/>
  <c r="S23" i="39" s="1"/>
  <c r="F96" i="39"/>
  <c r="G96" i="39"/>
  <c r="S26" i="37"/>
  <c r="S24" i="36"/>
  <c r="F44" i="34"/>
  <c r="G126" i="34"/>
  <c r="J44" i="34"/>
  <c r="S40" i="21"/>
  <c r="W27" i="37"/>
  <c r="AB27" i="37"/>
  <c r="H10" i="37"/>
  <c r="U10" i="37"/>
  <c r="AA27" i="33"/>
  <c r="AB43" i="33"/>
  <c r="S31" i="21"/>
  <c r="AC27" i="36"/>
  <c r="W27" i="36"/>
  <c r="F101" i="33"/>
  <c r="G101" i="33"/>
  <c r="H101" i="33"/>
  <c r="I101" i="33"/>
  <c r="J101" i="33" s="1"/>
  <c r="K101" i="33" s="1"/>
  <c r="L101" i="33" s="1"/>
  <c r="M101" i="33" s="1"/>
  <c r="J32" i="33"/>
  <c r="W32" i="33"/>
  <c r="H32" i="33"/>
  <c r="U32" i="33" s="1"/>
  <c r="U45" i="21"/>
  <c r="U12" i="36"/>
  <c r="AC45" i="21"/>
  <c r="W45" i="21"/>
  <c r="AC13" i="21"/>
  <c r="AA44" i="34"/>
  <c r="S44" i="34"/>
  <c r="S27" i="36"/>
  <c r="AB25" i="34"/>
  <c r="I60" i="37"/>
  <c r="J10" i="37"/>
  <c r="AC10" i="37"/>
  <c r="H23" i="39"/>
  <c r="AB23" i="39"/>
  <c r="J11" i="34"/>
  <c r="AC11" i="34" s="1"/>
  <c r="J27" i="33"/>
  <c r="W27" i="33"/>
  <c r="J25" i="34"/>
  <c r="W25" i="34"/>
  <c r="U23" i="39"/>
  <c r="K53" i="43"/>
  <c r="J53" i="43"/>
  <c r="D53" i="43"/>
  <c r="M53" i="43"/>
  <c r="N53" i="43"/>
  <c r="K49" i="43"/>
  <c r="J49" i="43"/>
  <c r="D49" i="43"/>
  <c r="M49" i="43"/>
  <c r="N49" i="43"/>
  <c r="K54" i="43"/>
  <c r="J54" i="43" s="1"/>
  <c r="D54" i="43"/>
  <c r="M54" i="43"/>
  <c r="N54" i="43" s="1"/>
  <c r="K50" i="43"/>
  <c r="J50" i="43"/>
  <c r="D50" i="43"/>
  <c r="M50" i="43"/>
  <c r="N50" i="43" s="1"/>
  <c r="K55" i="43"/>
  <c r="J55" i="43"/>
  <c r="D55" i="43"/>
  <c r="M55" i="43"/>
  <c r="N55" i="43"/>
  <c r="K51" i="43"/>
  <c r="J51" i="43" s="1"/>
  <c r="D51" i="43"/>
  <c r="M51" i="43"/>
  <c r="N51" i="43"/>
  <c r="K48" i="43"/>
  <c r="J48" i="43" s="1"/>
  <c r="D48" i="43"/>
  <c r="M48" i="43"/>
  <c r="N48" i="43"/>
  <c r="K52" i="43"/>
  <c r="J52" i="43"/>
  <c r="D52" i="43"/>
  <c r="M52" i="43"/>
  <c r="N52" i="43" s="1"/>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S40" i="40"/>
  <c r="W35" i="40"/>
  <c r="W33" i="40"/>
  <c r="W34" i="40"/>
  <c r="AB39" i="40"/>
  <c r="J37" i="40"/>
  <c r="AC37" i="40" s="1"/>
  <c r="H35" i="40"/>
  <c r="H37" i="40"/>
  <c r="H28" i="40"/>
  <c r="F28" i="40"/>
  <c r="J28" i="40"/>
  <c r="G97" i="40"/>
  <c r="H97" i="40" s="1"/>
  <c r="I97" i="40"/>
  <c r="J97" i="40" s="1"/>
  <c r="K97" i="40" s="1"/>
  <c r="L97" i="40" s="1"/>
  <c r="M97" i="40" s="1"/>
  <c r="F21" i="40"/>
  <c r="H21" i="40"/>
  <c r="F89" i="40"/>
  <c r="G89" i="40"/>
  <c r="J21" i="40"/>
  <c r="W21" i="40" s="1"/>
  <c r="F85" i="40"/>
  <c r="G85" i="40" s="1"/>
  <c r="H17" i="40"/>
  <c r="U17" i="40" s="1"/>
  <c r="J17" i="40"/>
  <c r="F17" i="40"/>
  <c r="S17" i="40"/>
  <c r="F83" i="40"/>
  <c r="G83" i="40" s="1"/>
  <c r="F15" i="40"/>
  <c r="J15" i="40"/>
  <c r="H15" i="40"/>
  <c r="AB15" i="40" s="1"/>
  <c r="AC25" i="40"/>
  <c r="W25" i="40"/>
  <c r="U19" i="40"/>
  <c r="U14" i="40"/>
  <c r="U8" i="40"/>
  <c r="AA19" i="40"/>
  <c r="S36" i="40"/>
  <c r="AA35" i="40"/>
  <c r="AC38" i="39"/>
  <c r="AC17" i="39"/>
  <c r="AA37" i="39"/>
  <c r="AB29" i="39"/>
  <c r="AC23" i="39"/>
  <c r="W27" i="39"/>
  <c r="AC27" i="39"/>
  <c r="W35" i="39"/>
  <c r="U41" i="39"/>
  <c r="U42" i="39"/>
  <c r="U19" i="39"/>
  <c r="AB27" i="39"/>
  <c r="U27" i="39"/>
  <c r="AA27" i="39"/>
  <c r="S27" i="39"/>
  <c r="S40" i="39"/>
  <c r="S31" i="39"/>
  <c r="AC11" i="39"/>
  <c r="S13" i="39"/>
  <c r="S34" i="36"/>
  <c r="AC24" i="36"/>
  <c r="S11" i="36"/>
  <c r="S12" i="36"/>
  <c r="S22" i="36"/>
  <c r="AC16" i="36"/>
  <c r="S26" i="36"/>
  <c r="U27" i="36"/>
  <c r="AA25" i="36"/>
  <c r="S14" i="36"/>
  <c r="U14" i="36"/>
  <c r="S10" i="36"/>
  <c r="W18" i="36"/>
  <c r="AC18" i="36"/>
  <c r="AC12" i="36"/>
  <c r="AC32" i="36"/>
  <c r="AC20" i="36"/>
  <c r="W29" i="36"/>
  <c r="W28" i="36"/>
  <c r="W8" i="36"/>
  <c r="AB16" i="36"/>
  <c r="U13" i="36"/>
  <c r="AB18" i="36"/>
  <c r="U18" i="36"/>
  <c r="S28" i="36"/>
  <c r="S29" i="36"/>
  <c r="W24" i="35"/>
  <c r="AC25" i="35"/>
  <c r="W23" i="35"/>
  <c r="S23" i="35"/>
  <c r="AB23" i="35"/>
  <c r="W11" i="35"/>
  <c r="AA12" i="35"/>
  <c r="W10" i="35"/>
  <c r="W14" i="35"/>
  <c r="W34" i="35"/>
  <c r="AC26" i="35"/>
  <c r="W28" i="35"/>
  <c r="AC27" i="35"/>
  <c r="U14" i="35"/>
  <c r="AB10" i="35"/>
  <c r="U8" i="35"/>
  <c r="AB12" i="35"/>
  <c r="S20" i="35"/>
  <c r="AB13" i="35"/>
  <c r="S10" i="35"/>
  <c r="S34" i="37"/>
  <c r="W32" i="37"/>
  <c r="W26" i="37"/>
  <c r="AB28" i="37"/>
  <c r="AC12" i="37"/>
  <c r="J33" i="37"/>
  <c r="AC33" i="37" s="1"/>
  <c r="F33" i="37"/>
  <c r="AA33" i="37"/>
  <c r="H99" i="37"/>
  <c r="I99" i="37"/>
  <c r="J99" i="37"/>
  <c r="K99" i="37"/>
  <c r="L99" i="37" s="1"/>
  <c r="M99" i="37" s="1"/>
  <c r="H33" i="37"/>
  <c r="U33" i="37" s="1"/>
  <c r="AC35" i="37"/>
  <c r="W35" i="37"/>
  <c r="H35" i="37"/>
  <c r="AB35" i="37" s="1"/>
  <c r="F35" i="37"/>
  <c r="E103" i="37"/>
  <c r="F103" i="37"/>
  <c r="G103" i="37" s="1"/>
  <c r="H103" i="37" s="1"/>
  <c r="I103" i="37" s="1"/>
  <c r="J103" i="37" s="1"/>
  <c r="K103" i="37" s="1"/>
  <c r="L103" i="37" s="1"/>
  <c r="M103" i="37" s="1"/>
  <c r="AC23" i="37"/>
  <c r="J19" i="37"/>
  <c r="W19" i="37" s="1"/>
  <c r="F19" i="37"/>
  <c r="G75" i="37"/>
  <c r="H19" i="37"/>
  <c r="W17" i="37"/>
  <c r="AC17" i="37"/>
  <c r="AB17" i="37"/>
  <c r="J15" i="37"/>
  <c r="W10" i="37"/>
  <c r="S10" i="37"/>
  <c r="AA11" i="37"/>
  <c r="U9" i="37"/>
  <c r="AB10" i="37"/>
  <c r="AC21" i="37"/>
  <c r="W21" i="37"/>
  <c r="W11" i="37"/>
  <c r="W14" i="37"/>
  <c r="AC19" i="37"/>
  <c r="W39" i="37"/>
  <c r="AB11" i="37"/>
  <c r="S37" i="37"/>
  <c r="W35" i="34"/>
  <c r="AB11" i="34"/>
  <c r="S40" i="34"/>
  <c r="AB41" i="34"/>
  <c r="S38" i="34"/>
  <c r="S36" i="34"/>
  <c r="U43" i="34"/>
  <c r="S43" i="34"/>
  <c r="AB19" i="34"/>
  <c r="S17" i="34"/>
  <c r="AB17"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2" i="33"/>
  <c r="U13" i="33"/>
  <c r="U39" i="33"/>
  <c r="S42" i="33"/>
  <c r="S9" i="33"/>
  <c r="W42" i="21"/>
  <c r="AA39" i="21"/>
  <c r="W39" i="21"/>
  <c r="AA34" i="21"/>
  <c r="AA15" i="21"/>
  <c r="AC26" i="21"/>
  <c r="AC32" i="21"/>
  <c r="AB39" i="21"/>
  <c r="W40" i="21"/>
  <c r="AC37" i="21"/>
  <c r="W34" i="21"/>
  <c r="AC28" i="21"/>
  <c r="U27" i="21"/>
  <c r="U19" i="21"/>
  <c r="U43" i="21"/>
  <c r="U26" i="21"/>
  <c r="AB44" i="21"/>
  <c r="U30" i="21"/>
  <c r="AB36" i="21"/>
  <c r="S17" i="21"/>
  <c r="AA36" i="21"/>
  <c r="AA43" i="21"/>
  <c r="AB32" i="21"/>
  <c r="S28" i="21"/>
  <c r="AB21" i="21"/>
  <c r="U21" i="21"/>
  <c r="AC19" i="21"/>
  <c r="U17"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2" i="57"/>
  <c r="D35" i="50"/>
  <c r="D14" i="50"/>
  <c r="B28" i="60" s="1"/>
  <c r="C18" i="9"/>
  <c r="D18" i="9" s="1"/>
  <c r="D22" i="15"/>
  <c r="A14" i="52"/>
  <c r="B61" i="60" s="1"/>
  <c r="Y25" i="31"/>
  <c r="C36" i="57"/>
  <c r="D125" i="57" s="1"/>
  <c r="V25" i="31"/>
  <c r="H102" i="43"/>
  <c r="D3" i="21"/>
  <c r="M6" i="43"/>
  <c r="M5" i="43"/>
  <c r="F81" i="43"/>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K103" i="43"/>
  <c r="G104" i="43"/>
  <c r="C105" i="43"/>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F106" i="43"/>
  <c r="M12" i="43"/>
  <c r="M8" i="43"/>
  <c r="N7" i="43"/>
  <c r="M3" i="43"/>
  <c r="M11" i="43"/>
  <c r="N8" i="43"/>
  <c r="H8" i="44"/>
  <c r="H12" i="44"/>
  <c r="C62" i="39"/>
  <c r="M85" i="43"/>
  <c r="N85" i="43" s="1"/>
  <c r="K85" i="43"/>
  <c r="J85" i="43"/>
  <c r="D85" i="43"/>
  <c r="M82" i="43"/>
  <c r="N82" i="43"/>
  <c r="K83" i="43"/>
  <c r="J83" i="43"/>
  <c r="D83" i="43"/>
  <c r="F103" i="43"/>
  <c r="J107" i="43"/>
  <c r="N109" i="43"/>
  <c r="N105" i="43"/>
  <c r="E102" i="43"/>
  <c r="I103" i="43"/>
  <c r="M107" i="43"/>
  <c r="M104" i="43"/>
  <c r="D118" i="43"/>
  <c r="E118" i="43" s="1"/>
  <c r="F118" i="43" s="1"/>
  <c r="M7" i="15"/>
  <c r="J6" i="15" s="1"/>
  <c r="F35" i="15"/>
  <c r="F64" i="15" s="1"/>
  <c r="E18" i="1"/>
  <c r="C34" i="11" s="1"/>
  <c r="C17" i="15"/>
  <c r="A2" i="9"/>
  <c r="W23" i="40"/>
  <c r="S23" i="40"/>
  <c r="U23" i="40"/>
  <c r="S38" i="40"/>
  <c r="U40" i="40"/>
  <c r="S33" i="40"/>
  <c r="AB31" i="40"/>
  <c r="AC14" i="40"/>
  <c r="AC13" i="40"/>
  <c r="S14" i="40"/>
  <c r="S31" i="40"/>
  <c r="S11" i="40"/>
  <c r="AB37" i="39"/>
  <c r="W42" i="39"/>
  <c r="W34" i="39"/>
  <c r="AA32" i="39"/>
  <c r="AA25" i="39"/>
  <c r="S29" i="39"/>
  <c r="U40" i="39"/>
  <c r="AB43" i="39"/>
  <c r="AC41" i="39"/>
  <c r="U11" i="39"/>
  <c r="S34" i="39"/>
  <c r="S39" i="39"/>
  <c r="U9" i="39"/>
  <c r="AA33" i="36"/>
  <c r="S8" i="36"/>
  <c r="W29" i="35"/>
  <c r="U33" i="35"/>
  <c r="W33" i="35"/>
  <c r="S36" i="35"/>
  <c r="U22" i="35"/>
  <c r="AA33" i="35"/>
  <c r="AA29" i="35"/>
  <c r="S22" i="35"/>
  <c r="U28" i="35"/>
  <c r="AB27" i="35"/>
  <c r="U36" i="35"/>
  <c r="W36" i="35"/>
  <c r="S35" i="35"/>
  <c r="S26" i="35"/>
  <c r="AB26" i="35"/>
  <c r="AC16" i="35"/>
  <c r="AA25" i="35"/>
  <c r="S28" i="35"/>
  <c r="AC34" i="37"/>
  <c r="U29" i="37"/>
  <c r="U30" i="37"/>
  <c r="S40" i="37"/>
  <c r="AC13" i="37"/>
  <c r="U38" i="37"/>
  <c r="AA13" i="37"/>
  <c r="S9" i="37"/>
  <c r="G84" i="34"/>
  <c r="J21" i="34"/>
  <c r="AB40" i="34"/>
  <c r="AC19" i="34"/>
  <c r="AC23" i="34"/>
  <c r="W41" i="34"/>
  <c r="AA45" i="34"/>
  <c r="AB45" i="34"/>
  <c r="AB35" i="34"/>
  <c r="W29" i="34"/>
  <c r="W43" i="34"/>
  <c r="U34" i="34"/>
  <c r="S34" i="34"/>
  <c r="AC25"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S33" i="33"/>
  <c r="U35" i="33"/>
  <c r="AC45" i="33"/>
  <c r="AB29" i="33"/>
  <c r="AB36" i="33"/>
  <c r="W15" i="33"/>
  <c r="AA19" i="33"/>
  <c r="W8" i="33"/>
  <c r="G83" i="21"/>
  <c r="J21" i="21"/>
  <c r="S27" i="21"/>
  <c r="AC31" i="21"/>
  <c r="W23" i="21"/>
  <c r="AB25" i="21"/>
  <c r="AA25"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W37" i="40"/>
  <c r="AA28" i="40"/>
  <c r="S28" i="40"/>
  <c r="AC28" i="40"/>
  <c r="W28" i="40"/>
  <c r="U28" i="40"/>
  <c r="AB28" i="40"/>
  <c r="AB21" i="40"/>
  <c r="U21" i="40"/>
  <c r="S21" i="40"/>
  <c r="AA21" i="40"/>
  <c r="AB17" i="40"/>
  <c r="AA17" i="40"/>
  <c r="W17" i="40"/>
  <c r="AC17" i="40"/>
  <c r="AA15" i="40"/>
  <c r="S15" i="40"/>
  <c r="AC15" i="40"/>
  <c r="W15" i="40"/>
  <c r="AB33" i="37"/>
  <c r="S33" i="37"/>
  <c r="AA35" i="37"/>
  <c r="S35" i="37"/>
  <c r="W33" i="37"/>
  <c r="AA19" i="37"/>
  <c r="S19" i="37"/>
  <c r="AC15" i="37"/>
  <c r="W15" i="37"/>
  <c r="AC21" i="34"/>
  <c r="W21" i="34"/>
  <c r="AC21" i="21"/>
  <c r="W21" i="21"/>
  <c r="M86" i="43"/>
  <c r="N86" i="43" s="1"/>
  <c r="F34" i="11"/>
  <c r="E19" i="1"/>
  <c r="D20" i="1"/>
  <c r="D18" i="1"/>
  <c r="F50" i="11"/>
  <c r="F19" i="1"/>
  <c r="F18" i="1"/>
  <c r="C11" i="12" s="1"/>
  <c r="C15" i="12" s="1"/>
  <c r="D19" i="1"/>
  <c r="K87" i="43"/>
  <c r="J87" i="43"/>
  <c r="D87" i="43"/>
  <c r="C3" i="4"/>
  <c r="B4" i="55" s="1"/>
  <c r="B53" i="60" s="1"/>
  <c r="J22" i="43"/>
  <c r="M84" i="43"/>
  <c r="N84" i="43" s="1"/>
  <c r="K84" i="43"/>
  <c r="J84" i="43"/>
  <c r="D84" i="43"/>
  <c r="E81" i="43" s="1"/>
  <c r="B79" i="43" s="1"/>
  <c r="M81" i="43"/>
  <c r="N81" i="43"/>
  <c r="K81" i="43"/>
  <c r="J81" i="43"/>
  <c r="D81" i="43"/>
  <c r="M88" i="43"/>
  <c r="N88" i="43"/>
  <c r="K88" i="43"/>
  <c r="J88" i="43" s="1"/>
  <c r="D88" i="43"/>
  <c r="I114" i="57"/>
  <c r="D131" i="57" s="1"/>
  <c r="B41" i="1"/>
  <c r="M27" i="15" s="1"/>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s="1"/>
  <c r="B22" i="59" s="1"/>
  <c r="B21" i="59" s="1"/>
  <c r="AC30" i="35"/>
  <c r="AB30" i="35"/>
  <c r="U30" i="35"/>
  <c r="I116" i="57"/>
  <c r="D133" i="57" s="1"/>
  <c r="I14" i="62" s="1"/>
  <c r="B8" i="62" s="1"/>
  <c r="D120" i="57"/>
  <c r="I114" i="9"/>
  <c r="D129" i="9" s="1"/>
  <c r="I112" i="9"/>
  <c r="D39" i="50" s="1"/>
  <c r="D40" i="50" s="1"/>
  <c r="D116" i="9"/>
  <c r="D114" i="9"/>
  <c r="D115" i="9"/>
  <c r="I113" i="9" s="1"/>
  <c r="C20" i="57"/>
  <c r="F4" i="61"/>
  <c r="D20" i="57"/>
  <c r="F3" i="61"/>
  <c r="E2" i="35"/>
  <c r="F7" i="61"/>
  <c r="D3" i="61"/>
  <c r="E2" i="34"/>
  <c r="E2" i="37"/>
  <c r="E2" i="11"/>
  <c r="F5" i="61"/>
  <c r="F6" i="61"/>
  <c r="H23" i="31"/>
  <c r="E2" i="21"/>
  <c r="D7" i="61"/>
  <c r="E2" i="36"/>
  <c r="C19" i="57"/>
  <c r="E2" i="33"/>
  <c r="D19" i="57"/>
  <c r="D6" i="61"/>
  <c r="D5" i="61"/>
  <c r="S37" i="34" l="1"/>
  <c r="AC37" i="34"/>
  <c r="AB33" i="34"/>
  <c r="AC33" i="34"/>
  <c r="AC27" i="34"/>
  <c r="AB27" i="34"/>
  <c r="AA27" i="34"/>
  <c r="AC8" i="34"/>
  <c r="S8" i="34"/>
  <c r="W11" i="34"/>
  <c r="H10" i="34"/>
  <c r="AB10" i="34" s="1"/>
  <c r="F10" i="34"/>
  <c r="H67" i="34"/>
  <c r="I67" i="34" s="1"/>
  <c r="J10" i="34"/>
  <c r="W10" i="34" s="1"/>
  <c r="U10" i="34"/>
  <c r="AA9" i="34"/>
  <c r="U9" i="34"/>
  <c r="C110" i="57"/>
  <c r="H104" i="57" s="1"/>
  <c r="D42" i="50"/>
  <c r="D43" i="50" s="1"/>
  <c r="B20" i="59"/>
  <c r="B19" i="59" s="1"/>
  <c r="B18" i="59" s="1"/>
  <c r="B17" i="59" s="1"/>
  <c r="S21" i="59"/>
  <c r="U35" i="37"/>
  <c r="E48" i="43"/>
  <c r="B46" i="43" s="1"/>
  <c r="AA23" i="39"/>
  <c r="AB31" i="21"/>
  <c r="AA15" i="37"/>
  <c r="S15" i="37"/>
  <c r="AB26" i="37"/>
  <c r="U24" i="36"/>
  <c r="AA20" i="36"/>
  <c r="U28" i="34"/>
  <c r="AB28" i="34"/>
  <c r="AA33" i="34"/>
  <c r="S33" i="34"/>
  <c r="W25" i="36"/>
  <c r="AC25" i="36"/>
  <c r="U34" i="36"/>
  <c r="AB34" i="36"/>
  <c r="U19" i="37"/>
  <c r="AB19" i="37"/>
  <c r="AC44" i="34"/>
  <c r="W44" i="34"/>
  <c r="W38" i="40"/>
  <c r="AC38" i="40"/>
  <c r="U16" i="35"/>
  <c r="AB16" i="35"/>
  <c r="U37" i="34"/>
  <c r="AB37" i="34"/>
  <c r="W14" i="36"/>
  <c r="AC14" i="36"/>
  <c r="S12" i="39"/>
  <c r="AA12" i="39"/>
  <c r="S23" i="21"/>
  <c r="AA23" i="21"/>
  <c r="S35" i="34"/>
  <c r="AA35" i="34"/>
  <c r="W32" i="39"/>
  <c r="AC32" i="39"/>
  <c r="C22" i="59"/>
  <c r="AB27" i="33"/>
  <c r="U27" i="33"/>
  <c r="AC17" i="34"/>
  <c r="AA27" i="37"/>
  <c r="S27" i="37"/>
  <c r="AA24" i="35"/>
  <c r="S24" i="35"/>
  <c r="W40" i="34"/>
  <c r="AC40" i="34"/>
  <c r="AB23" i="21"/>
  <c r="U23" i="21"/>
  <c r="L106" i="9"/>
  <c r="A18" i="55" s="1"/>
  <c r="B48" i="60" s="1"/>
  <c r="H85" i="43"/>
  <c r="H84" i="43"/>
  <c r="H87" i="43"/>
  <c r="H81" i="43"/>
  <c r="D11" i="50"/>
  <c r="B25" i="60" s="1"/>
  <c r="B23" i="60"/>
  <c r="AB32" i="33"/>
  <c r="U31" i="37"/>
  <c r="AA12" i="37"/>
  <c r="W29" i="37"/>
  <c r="AC29" i="37"/>
  <c r="U34" i="35"/>
  <c r="AB34" i="35"/>
  <c r="C114" i="57"/>
  <c r="H109" i="57" s="1"/>
  <c r="D103" i="43"/>
  <c r="D105" i="43"/>
  <c r="D102" i="43"/>
  <c r="I118" i="43"/>
  <c r="J118" i="43" s="1"/>
  <c r="K118" i="43" s="1"/>
  <c r="L118" i="43" s="1"/>
  <c r="M118" i="43" s="1"/>
  <c r="B115" i="43"/>
  <c r="C115" i="43" s="1"/>
  <c r="D115" i="43"/>
  <c r="E115" i="43" s="1"/>
  <c r="F115" i="43" s="1"/>
  <c r="D116" i="43"/>
  <c r="E116" i="43" s="1"/>
  <c r="F116" i="43" s="1"/>
  <c r="G116" i="43" s="1"/>
  <c r="H116" i="43" s="1"/>
  <c r="AC15" i="21"/>
  <c r="W17" i="21"/>
  <c r="AC17" i="21"/>
  <c r="W9" i="37"/>
  <c r="AB28" i="33"/>
  <c r="AC10" i="36"/>
  <c r="S14" i="33"/>
  <c r="U13" i="39"/>
  <c r="AA13" i="40"/>
  <c r="AB33" i="40"/>
  <c r="S38" i="37"/>
  <c r="AC28" i="37"/>
  <c r="U13" i="37"/>
  <c r="AB35" i="35"/>
  <c r="AC35" i="35"/>
  <c r="S13" i="35"/>
  <c r="AA47" i="34"/>
  <c r="AC44" i="33"/>
  <c r="AB36" i="37"/>
  <c r="W13" i="36"/>
  <c r="W11" i="36"/>
  <c r="W26" i="36"/>
  <c r="W14" i="34"/>
  <c r="AA31" i="33"/>
  <c r="W31" i="33"/>
  <c r="AA11" i="33"/>
  <c r="AB11" i="40"/>
  <c r="J36" i="39"/>
  <c r="W9" i="21"/>
  <c r="AC9" i="21"/>
  <c r="J26" i="33"/>
  <c r="AB14" i="37"/>
  <c r="AA8" i="40"/>
  <c r="S8" i="40"/>
  <c r="AB34" i="40"/>
  <c r="U34" i="40"/>
  <c r="B77" i="43"/>
  <c r="C25" i="39"/>
  <c r="S31" i="37"/>
  <c r="W19" i="40"/>
  <c r="W9" i="34"/>
  <c r="U10" i="36"/>
  <c r="AC14" i="39"/>
  <c r="W23" i="33"/>
  <c r="S44" i="21"/>
  <c r="W44" i="21"/>
  <c r="S28" i="34"/>
  <c r="AB30" i="34"/>
  <c r="AC12" i="35"/>
  <c r="W36" i="33"/>
  <c r="U36" i="39"/>
  <c r="S33" i="21"/>
  <c r="J34" i="36"/>
  <c r="W39" i="40"/>
  <c r="S12" i="33"/>
  <c r="AB32" i="39"/>
  <c r="E106" i="43"/>
  <c r="J104" i="43"/>
  <c r="E105" i="43"/>
  <c r="S13" i="21"/>
  <c r="AC25" i="39"/>
  <c r="AC37" i="37"/>
  <c r="W25" i="21"/>
  <c r="AC10" i="34"/>
  <c r="AA13" i="33"/>
  <c r="AA36" i="39"/>
  <c r="AC45" i="39"/>
  <c r="F14" i="37"/>
  <c r="F43" i="39"/>
  <c r="H25" i="36"/>
  <c r="F13" i="36"/>
  <c r="S26" i="33"/>
  <c r="U9" i="40"/>
  <c r="AB9" i="35"/>
  <c r="H9" i="36"/>
  <c r="J9" i="36"/>
  <c r="AB33" i="36"/>
  <c r="F23" i="36"/>
  <c r="J25" i="37"/>
  <c r="H25" i="37"/>
  <c r="F25" i="37"/>
  <c r="H44" i="39"/>
  <c r="F44" i="39"/>
  <c r="D35" i="59"/>
  <c r="C36" i="59"/>
  <c r="C52" i="59"/>
  <c r="D51" i="59"/>
  <c r="C48" i="59"/>
  <c r="D48" i="59" s="1"/>
  <c r="D47" i="59"/>
  <c r="C64" i="59"/>
  <c r="D63" i="59"/>
  <c r="O67" i="59"/>
  <c r="D67" i="59"/>
  <c r="O66" i="59"/>
  <c r="T57" i="59"/>
  <c r="D57" i="59"/>
  <c r="B67" i="59"/>
  <c r="N68" i="59"/>
  <c r="S21" i="34"/>
  <c r="AB21" i="33"/>
  <c r="B55" i="43"/>
  <c r="Y28" i="59"/>
  <c r="Z28" i="59" s="1"/>
  <c r="Y30" i="59"/>
  <c r="Z30" i="59" s="1"/>
  <c r="AB30" i="59"/>
  <c r="AB3" i="59"/>
  <c r="Y31" i="59"/>
  <c r="Z31" i="59" s="1"/>
  <c r="Y32" i="59"/>
  <c r="Z32" i="59" s="1"/>
  <c r="Y33" i="59"/>
  <c r="Z33" i="59" s="1"/>
  <c r="E39" i="59"/>
  <c r="E40" i="59" s="1"/>
  <c r="E41" i="59" s="1"/>
  <c r="AA38" i="59"/>
  <c r="X6" i="59"/>
  <c r="X5" i="59"/>
  <c r="X7" i="59"/>
  <c r="X11" i="59"/>
  <c r="X8" i="59"/>
  <c r="X9" i="59"/>
  <c r="X12" i="59"/>
  <c r="X10" i="59"/>
  <c r="X40" i="59"/>
  <c r="V73" i="59"/>
  <c r="F72" i="59"/>
  <c r="F71" i="59" s="1"/>
  <c r="AA22" i="59"/>
  <c r="AA25" i="59"/>
  <c r="AB18" i="59"/>
  <c r="X22" i="59"/>
  <c r="X18" i="59"/>
  <c r="X14" i="59"/>
  <c r="AB17" i="59"/>
  <c r="B66" i="43"/>
  <c r="Y34" i="59"/>
  <c r="Z34" i="59" s="1"/>
  <c r="Y26" i="59"/>
  <c r="Z26" i="59" s="1"/>
  <c r="Y29" i="59"/>
  <c r="Z29" i="59" s="1"/>
  <c r="AA8" i="59"/>
  <c r="AA6" i="59"/>
  <c r="AA7" i="59"/>
  <c r="AA5" i="59"/>
  <c r="AA9" i="59"/>
  <c r="AA11" i="59"/>
  <c r="AA10" i="59"/>
  <c r="S69" i="59"/>
  <c r="N69" i="59"/>
  <c r="Q67" i="59"/>
  <c r="Q66" i="59"/>
  <c r="S73" i="59"/>
  <c r="B72" i="59"/>
  <c r="B71" i="59" s="1"/>
  <c r="B80" i="59"/>
  <c r="B79" i="59" s="1"/>
  <c r="S81" i="59"/>
  <c r="X23" i="59"/>
  <c r="Y19" i="59"/>
  <c r="Z19" i="59" s="1"/>
  <c r="Y18" i="59"/>
  <c r="Z18" i="59" s="1"/>
  <c r="Y15" i="59"/>
  <c r="Z15" i="59" s="1"/>
  <c r="X25" i="31"/>
  <c r="C37" i="57" s="1"/>
  <c r="F125" i="57" s="1"/>
  <c r="G125" i="57" s="1"/>
  <c r="B75" i="43"/>
  <c r="C27" i="59"/>
  <c r="D27" i="59" s="1"/>
  <c r="D56" i="59"/>
  <c r="C83" i="59"/>
  <c r="D83" i="59" s="1"/>
  <c r="AA26" i="59"/>
  <c r="AA27" i="59"/>
  <c r="AB27" i="59"/>
  <c r="Y27" i="59"/>
  <c r="Z27" i="59" s="1"/>
  <c r="X30" i="59"/>
  <c r="X27" i="59"/>
  <c r="X29" i="59"/>
  <c r="F31" i="59"/>
  <c r="F32" i="59" s="1"/>
  <c r="F33" i="59" s="1"/>
  <c r="V33" i="59" s="1"/>
  <c r="AB31" i="59"/>
  <c r="AB32" i="59"/>
  <c r="AB33" i="59"/>
  <c r="AA35" i="59"/>
  <c r="AA36" i="59"/>
  <c r="AA37" i="59"/>
  <c r="B41" i="59"/>
  <c r="S41" i="59" s="1"/>
  <c r="AA39" i="59"/>
  <c r="B56" i="59"/>
  <c r="B57" i="59" s="1"/>
  <c r="S57" i="59" s="1"/>
  <c r="E64" i="59"/>
  <c r="E65" i="59" s="1"/>
  <c r="U65" i="59" s="1"/>
  <c r="E16" i="59"/>
  <c r="E15" i="59" s="1"/>
  <c r="E14" i="59" s="1"/>
  <c r="E13" i="59" s="1"/>
  <c r="E12" i="59" s="1"/>
  <c r="E11" i="59" s="1"/>
  <c r="E10" i="59" s="1"/>
  <c r="E9" i="59" s="1"/>
  <c r="U17" i="59"/>
  <c r="Y24" i="59"/>
  <c r="Z24" i="59" s="1"/>
  <c r="Y25" i="59"/>
  <c r="Z25" i="59" s="1"/>
  <c r="Y20" i="59"/>
  <c r="Z20" i="59" s="1"/>
  <c r="AA18" i="59"/>
  <c r="C25" i="40"/>
  <c r="AA3" i="59"/>
  <c r="AB26" i="59"/>
  <c r="Q68" i="59"/>
  <c r="C60" i="59"/>
  <c r="E31" i="59"/>
  <c r="E32" i="59" s="1"/>
  <c r="E33" i="59" s="1"/>
  <c r="U33" i="59" s="1"/>
  <c r="AA30" i="59"/>
  <c r="X31" i="59"/>
  <c r="X32" i="59"/>
  <c r="X33" i="59"/>
  <c r="X34" i="59"/>
  <c r="AB35" i="59"/>
  <c r="AB36" i="59"/>
  <c r="AB37" i="59"/>
  <c r="X38" i="59"/>
  <c r="F39" i="59"/>
  <c r="F40" i="59" s="1"/>
  <c r="F41" i="59" s="1"/>
  <c r="V41" i="59" s="1"/>
  <c r="E44" i="59"/>
  <c r="E45" i="59" s="1"/>
  <c r="U45" i="59" s="1"/>
  <c r="E68" i="59"/>
  <c r="U69" i="59"/>
  <c r="AA20" i="59"/>
  <c r="AA17" i="59"/>
  <c r="AA15" i="59"/>
  <c r="AB7" i="59"/>
  <c r="AB8" i="59"/>
  <c r="AB5" i="59"/>
  <c r="AB6" i="59"/>
  <c r="AB9" i="59"/>
  <c r="AB10" i="59"/>
  <c r="A12" i="52"/>
  <c r="B67" i="60" s="1"/>
  <c r="P72" i="15"/>
  <c r="T25" i="59"/>
  <c r="AB23" i="59"/>
  <c r="Y22" i="59"/>
  <c r="Z22" i="59" s="1"/>
  <c r="AB13" i="59"/>
  <c r="AB15" i="59"/>
  <c r="AA14" i="59"/>
  <c r="Y13" i="59"/>
  <c r="Z13" i="59" s="1"/>
  <c r="F35" i="59"/>
  <c r="F36" i="59" s="1"/>
  <c r="F37" i="59" s="1"/>
  <c r="V37" i="59" s="1"/>
  <c r="Y5" i="59"/>
  <c r="Z5" i="59" s="1"/>
  <c r="Y7" i="59"/>
  <c r="Z7" i="59" s="1"/>
  <c r="Y6" i="59"/>
  <c r="Z6" i="59" s="1"/>
  <c r="Y8" i="59"/>
  <c r="Z8" i="59" s="1"/>
  <c r="Y9" i="59"/>
  <c r="Z9" i="59" s="1"/>
  <c r="Y10" i="59"/>
  <c r="Z10" i="59" s="1"/>
  <c r="AB40" i="59"/>
  <c r="X25" i="59"/>
  <c r="F24" i="59"/>
  <c r="F23" i="59" s="1"/>
  <c r="F22" i="59" s="1"/>
  <c r="F21" i="59" s="1"/>
  <c r="AB16" i="59"/>
  <c r="AB11" i="59"/>
  <c r="Y12" i="59"/>
  <c r="Z12" i="59" s="1"/>
  <c r="AB22" i="59"/>
  <c r="X16" i="59"/>
  <c r="AA16" i="59"/>
  <c r="AB14" i="59"/>
  <c r="AA12" i="59"/>
  <c r="Y11" i="59"/>
  <c r="Z11" i="59" s="1"/>
  <c r="X13" i="59"/>
  <c r="B15" i="50"/>
  <c r="Y16" i="59"/>
  <c r="Z16" i="59" s="1"/>
  <c r="AB12" i="59"/>
  <c r="AA13" i="59"/>
  <c r="Y14" i="59"/>
  <c r="Z14" i="59" s="1"/>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G1" i="61"/>
  <c r="AA10" i="34" l="1"/>
  <c r="S10" i="34"/>
  <c r="D19" i="50"/>
  <c r="B32" i="60" s="1"/>
  <c r="F126" i="57"/>
  <c r="D69" i="39"/>
  <c r="H7" i="37"/>
  <c r="AB7" i="37" s="1"/>
  <c r="T42" i="37" s="1"/>
  <c r="G42" i="37" s="1"/>
  <c r="G46" i="37" s="1"/>
  <c r="H46" i="37" s="1"/>
  <c r="E67" i="59"/>
  <c r="P68" i="59"/>
  <c r="C65" i="59"/>
  <c r="D64" i="59"/>
  <c r="C53" i="59"/>
  <c r="D52" i="59"/>
  <c r="AB44" i="39"/>
  <c r="U44" i="39"/>
  <c r="S23" i="36"/>
  <c r="AA23" i="36"/>
  <c r="U25" i="36"/>
  <c r="AB25" i="36"/>
  <c r="C61" i="59"/>
  <c r="D60" i="59"/>
  <c r="M19" i="43"/>
  <c r="U41" i="59"/>
  <c r="N66" i="59"/>
  <c r="N67" i="59"/>
  <c r="C37" i="59"/>
  <c r="D36" i="59"/>
  <c r="S25" i="37"/>
  <c r="AA25" i="37"/>
  <c r="AA43" i="39"/>
  <c r="S43" i="39"/>
  <c r="AC34" i="36"/>
  <c r="W34" i="36"/>
  <c r="F7" i="37"/>
  <c r="S7" i="37" s="1"/>
  <c r="U25" i="37"/>
  <c r="AB25" i="37"/>
  <c r="AC9" i="36"/>
  <c r="W9" i="36"/>
  <c r="S14" i="37"/>
  <c r="AA14" i="37"/>
  <c r="AC36" i="39"/>
  <c r="W36" i="39"/>
  <c r="J7" i="37"/>
  <c r="AC7" i="37" s="1"/>
  <c r="V42" i="37" s="1"/>
  <c r="I42" i="37" s="1"/>
  <c r="F20" i="59"/>
  <c r="F19" i="59" s="1"/>
  <c r="F18" i="59" s="1"/>
  <c r="F17" i="59" s="1"/>
  <c r="V21" i="59"/>
  <c r="AA44" i="39"/>
  <c r="S44" i="39"/>
  <c r="AC25" i="37"/>
  <c r="W25" i="37"/>
  <c r="AB9" i="36"/>
  <c r="U9" i="36"/>
  <c r="S13" i="36"/>
  <c r="AA13" i="36"/>
  <c r="AC26" i="33"/>
  <c r="W26" i="33"/>
  <c r="C21" i="59"/>
  <c r="D22" i="59"/>
  <c r="B16" i="59"/>
  <c r="B15" i="59" s="1"/>
  <c r="B14" i="59" s="1"/>
  <c r="B13" i="59" s="1"/>
  <c r="S17" i="59"/>
  <c r="F69" i="39"/>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W7" i="37"/>
  <c r="AA7" i="37"/>
  <c r="R42" i="37" s="1"/>
  <c r="S13" i="59"/>
  <c r="B12" i="59"/>
  <c r="B11" i="59" s="1"/>
  <c r="B10" i="59" s="1"/>
  <c r="B9" i="59" s="1"/>
  <c r="T37" i="59"/>
  <c r="D37" i="59"/>
  <c r="T65" i="59"/>
  <c r="D65" i="59"/>
  <c r="U7" i="37"/>
  <c r="C20" i="59"/>
  <c r="D21" i="59"/>
  <c r="T21" i="59"/>
  <c r="F16" i="59"/>
  <c r="F15" i="59" s="1"/>
  <c r="F14" i="59" s="1"/>
  <c r="F13" i="59" s="1"/>
  <c r="V17" i="59"/>
  <c r="T61" i="59"/>
  <c r="D61" i="59"/>
  <c r="T53" i="59"/>
  <c r="D53" i="59"/>
  <c r="P66" i="59"/>
  <c r="P67"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69" i="39"/>
  <c r="J67" i="39"/>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U7" i="36"/>
  <c r="C19" i="59"/>
  <c r="D20" i="59"/>
  <c r="V13" i="59"/>
  <c r="F12" i="59"/>
  <c r="F11" i="59" s="1"/>
  <c r="F10" i="59" s="1"/>
  <c r="F9" i="59" s="1"/>
  <c r="B8" i="59"/>
  <c r="B7" i="59" s="1"/>
  <c r="B6" i="59" s="1"/>
  <c r="S9"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46" i="37" l="1"/>
  <c r="F46" i="37" s="1"/>
  <c r="E47" i="37"/>
  <c r="F47" i="37" s="1"/>
  <c r="I47" i="37"/>
  <c r="J47" i="37" s="1"/>
  <c r="C43" i="37"/>
  <c r="B2" i="37" s="1"/>
  <c r="B3" i="37" s="1"/>
  <c r="C42" i="37"/>
  <c r="C18" i="59"/>
  <c r="D19" i="59"/>
  <c r="F8" i="59"/>
  <c r="F7" i="59" s="1"/>
  <c r="F6" i="59" s="1"/>
  <c r="F5" i="59" s="1"/>
  <c r="V5" i="59" s="1"/>
  <c r="V9" i="5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8" i="59" l="1"/>
  <c r="C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6" i="59" l="1"/>
  <c r="T17" i="59"/>
  <c r="D17"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D16" i="59"/>
  <c r="C15"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D15" i="59" l="1"/>
  <c r="C14"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14" i="59" l="1"/>
  <c r="C13" i="59"/>
  <c r="D35" i="9"/>
  <c r="D34" i="9" s="1"/>
  <c r="L64" i="40"/>
  <c r="M62" i="40"/>
  <c r="AA7" i="39"/>
  <c r="R47" i="39" s="1"/>
  <c r="R48" i="39" s="1"/>
  <c r="S7" i="39"/>
  <c r="M59" i="34"/>
  <c r="N59" i="34" s="1"/>
  <c r="O59" i="34" s="1"/>
  <c r="H7" i="34" s="1"/>
  <c r="AB7" i="39"/>
  <c r="U7" i="39"/>
  <c r="AC7" i="39"/>
  <c r="W7" i="39"/>
  <c r="L58" i="15"/>
  <c r="L61" i="15" s="1"/>
  <c r="T13" i="59" l="1"/>
  <c r="D13" i="59"/>
  <c r="C12"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1" i="59" l="1"/>
  <c r="D12"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D11" i="59"/>
  <c r="C10" i="59"/>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E53" i="34"/>
  <c r="F53" i="34" s="1"/>
  <c r="E54" i="34"/>
  <c r="F54" i="34" s="1"/>
  <c r="C9" i="59"/>
  <c r="D10"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C8" i="59"/>
  <c r="D9" i="59"/>
  <c r="T9" i="59"/>
  <c r="G47" i="40"/>
  <c r="H47" i="40" s="1"/>
  <c r="E42" i="40"/>
  <c r="C7" i="59" l="1"/>
  <c r="D8" i="59"/>
  <c r="I47" i="40"/>
  <c r="J47" i="40" s="1"/>
  <c r="E47" i="40"/>
  <c r="F47" i="40" s="1"/>
  <c r="E46" i="40"/>
  <c r="F46" i="40" s="1"/>
  <c r="C43" i="40"/>
  <c r="C42" i="40"/>
  <c r="C6" i="59" l="1"/>
  <c r="D7"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8" i="9"/>
  <c r="N68" i="9" s="1"/>
  <c r="M64" i="9"/>
  <c r="N64" i="9" s="1"/>
  <c r="N49" i="9"/>
  <c r="M65" i="9" s="1"/>
  <c r="N65" i="9" s="1"/>
  <c r="D8" i="50" l="1"/>
  <c r="B22" i="60" s="1"/>
  <c r="D6" i="59"/>
  <c r="C5" i="59"/>
  <c r="M63" i="9"/>
  <c r="N63" i="9" s="1"/>
  <c r="N69" i="9" s="1"/>
  <c r="O69" i="9" s="1"/>
  <c r="M66" i="9"/>
  <c r="N66" i="9" s="1"/>
  <c r="M67" i="9"/>
  <c r="N67" i="9" s="1"/>
  <c r="D5" i="59" l="1"/>
  <c r="M20" i="43"/>
  <c r="T5" i="59"/>
  <c r="F121" i="9"/>
  <c r="F122" i="9" s="1"/>
  <c r="D121" i="9"/>
  <c r="D122" i="9" s="1"/>
  <c r="H121" i="9"/>
  <c r="C103" i="9" s="1"/>
  <c r="E121" i="9" l="1"/>
  <c r="I121" i="9"/>
  <c r="G121" i="9"/>
  <c r="H122" i="9"/>
  <c r="I102" i="9"/>
  <c r="D106" i="9"/>
  <c r="D112" i="9" s="1"/>
  <c r="D14" i="62"/>
  <c r="D45" i="9" l="1"/>
  <c r="N48" i="9"/>
  <c r="I110" i="9"/>
  <c r="D125" i="9" s="1"/>
  <c r="G14" i="62" s="1"/>
  <c r="B6" i="62" s="1"/>
  <c r="E14" i="62"/>
  <c r="F14" i="62"/>
  <c r="B5" i="62"/>
  <c r="D117" i="9"/>
  <c r="I115" i="9" s="1"/>
  <c r="D107" i="9"/>
  <c r="D113" i="9" s="1"/>
  <c r="I111" i="9" s="1"/>
  <c r="D126" i="9" s="1"/>
  <c r="I103" i="9"/>
  <c r="C104" i="9"/>
  <c r="D6" i="62" l="1"/>
  <c r="C6" i="62"/>
  <c r="D5" i="62"/>
  <c r="C5" i="62"/>
  <c r="C78" i="9"/>
  <c r="C73" i="9" s="1"/>
  <c r="D52" i="9"/>
  <c r="C93" i="9"/>
  <c r="C86" i="9" s="1"/>
  <c r="C72" i="9"/>
  <c r="C85" i="9"/>
  <c r="D53" i="9"/>
  <c r="D48" i="9" s="1"/>
  <c r="N52" i="9" s="1"/>
  <c r="O57" i="9" s="1"/>
  <c r="C64" i="9"/>
  <c r="C63" i="9" s="1"/>
  <c r="C67" i="9" s="1"/>
  <c r="C68" i="9" s="1"/>
  <c r="D54" i="9" s="1"/>
  <c r="C79" i="9" l="1"/>
  <c r="Q57" i="9"/>
  <c r="O59" i="9"/>
  <c r="O58" i="9"/>
  <c r="C95" i="9"/>
  <c r="C80" i="9" l="1"/>
  <c r="E80" i="9" s="1"/>
  <c r="E81" i="9" s="1"/>
  <c r="O61" i="9"/>
  <c r="O60" i="9"/>
  <c r="C96" i="9"/>
  <c r="E96" i="9" s="1"/>
  <c r="E97"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<sst xmlns="http://schemas.openxmlformats.org/spreadsheetml/2006/main" count="6925" uniqueCount="3056">
  <si>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</si>
  <si>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</si>
  <si>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</si>
  <si>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</si>
  <si>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</si>
  <si>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</si>
  <si>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</si>
  <si>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</si>
  <si>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</si>
  <si>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</si>
  <si>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</si>
  <si>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</si>
  <si>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</si>
  <si>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</si>
  <si>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</si>
  <si>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</si>
  <si>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</si>
  <si>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</si>
  <si>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</si>
  <si>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</si>
  <si>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</si>
  <si>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</si>
  <si>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</si>
  <si>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</si>
  <si>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</si>
  <si>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</si>
  <si>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</si>
  <si>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</si>
  <si>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</si>
  <si>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</si>
  <si>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</si>
  <si>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</si>
  <si>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</si>
  <si>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</si>
  <si>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</si>
  <si>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</si>
  <si>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</si>
  <si>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</si>
  <si>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</si>
  <si>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</si>
  <si>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</si>
  <si>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</si>
  <si>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</si>
  <si>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</si>
  <si>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</si>
  <si>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</si>
  <si>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</si>
  <si>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</si>
  <si>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</si>
  <si>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</si>
  <si>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</si>
  <si>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</si>
  <si>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</si>
  <si>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</si>
  <si>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</si>
  <si>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</si>
  <si>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</si>
  <si>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</si>
  <si>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</si>
  <si>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</si>
  <si>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</si>
  <si>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</si>
  <si>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</si>
  <si>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</si>
  <si>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</si>
  <si>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</si>
  <si>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</si>
  <si>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</si>
  <si>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</si>
  <si>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</si>
  <si>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</si>
  <si>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</si>
  <si>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</si>
  <si>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</si>
  <si>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</si>
  <si>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</si>
  <si>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</si>
  <si>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</si>
  <si>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</si>
  <si>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</si>
  <si>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</si>
  <si>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</si>
  <si>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</si>
  <si>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</si>
  <si>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</si>
  <si>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</si>
  <si>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</si>
  <si>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</si>
  <si>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</si>
  <si>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</si>
  <si>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</si>
  <si>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</si>
  <si>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</si>
  <si>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</si>
  <si>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</si>
  <si>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</si>
  <si>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</si>
  <si>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</si>
  <si>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</si>
  <si>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</si>
  <si>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</si>
  <si>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</si>
  <si>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</si>
  <si>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</si>
  <si>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</si>
  <si>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</si>
  <si>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</si>
  <si>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</si>
  <si>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</si>
  <si>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</si>
  <si>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</si>
  <si>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</si>
  <si>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</si>
  <si>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</si>
  <si>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</si>
  <si>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</si>
  <si>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</si>
  <si>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</si>
  <si>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</si>
  <si>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</si>
  <si>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</si>
  <si>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</si>
  <si>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</si>
  <si>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</si>
  <si>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</si>
  <si>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</si>
  <si>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</si>
  <si>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</si>
  <si>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</si>
  <si>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</si>
  <si>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</si>
  <si>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</si>
  <si>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</si>
  <si>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</si>
  <si>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</si>
  <si>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</si>
  <si>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</si>
  <si>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</si>
  <si>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</si>
  <si>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</si>
  <si>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</si>
  <si>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</si>
  <si>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</si>
  <si>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</si>
  <si>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</si>
  <si>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</si>
  <si>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</si>
  <si>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</si>
  <si>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</si>
  <si>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</si>
  <si>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</si>
  <si>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</si>
  <si>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</si>
  <si>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</si>
  <si>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</si>
  <si>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</si>
  <si>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</si>
  <si>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</si>
  <si>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</si>
  <si>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</si>
  <si>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</si>
  <si>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</si>
  <si>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</si>
  <si>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</si>
  <si>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</si>
  <si>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</si>
  <si>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</si>
  <si>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</si>
  <si>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</si>
  <si>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</si>
  <si>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</si>
  <si>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</si>
  <si>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</si>
  <si>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</si>
  <si>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</si>
  <si>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</si>
  <si>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</si>
  <si>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</si>
  <si>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</si>
  <si>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</si>
  <si>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</si>
  <si>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</si>
  <si>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</si>
  <si>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</si>
  <si>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</si>
  <si>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</si>
  <si>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</si>
  <si>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</si>
  <si>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</si>
  <si>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</si>
  <si>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</si>
  <si>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</si>
  <si>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</si>
  <si>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</si>
  <si>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</si>
  <si>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</si>
  <si>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</si>
  <si>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</si>
  <si>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</si>
  <si>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</si>
  <si>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</si>
  <si>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</si>
  <si>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</si>
  <si>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</si>
  <si>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</si>
  <si>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</si>
  <si>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</si>
  <si>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</si>
  <si>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</si>
  <si>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</si>
  <si>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</si>
  <si>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</si>
  <si>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</si>
  <si>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</si>
  <si>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</si>
  <si>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</si>
  <si>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</si>
  <si>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</si>
  <si>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</si>
  <si>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</si>
  <si>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</si>
  <si>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</si>
  <si>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</si>
  <si>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</si>
  <si>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</si>
  <si>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</si>
  <si>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</si>
  <si>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</si>
  <si>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</si>
  <si>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</si>
  <si>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</si>
  <si>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</si>
  <si>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</si>
  <si>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</si>
  <si>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</si>
  <si>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</si>
  <si>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</si>
  <si>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</si>
  <si>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</si>
  <si>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</si>
  <si>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</si>
  <si>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</si>
  <si>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</si>
  <si>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</si>
  <si>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</si>
  <si>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</si>
  <si>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</si>
  <si>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</si>
  <si>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</si>
  <si>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</si>
  <si>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</si>
  <si>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</si>
  <si>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</si>
  <si>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</si>
  <si>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</si>
  <si>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</si>
  <si>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</si>
  <si>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</si>
  <si>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</si>
  <si>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</si>
  <si>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</si>
  <si>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</si>
  <si>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</si>
  <si>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</si>
  <si>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</si>
  <si>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</si>
  <si>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</si>
  <si>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</si>
  <si>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</si>
  <si>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</si>
  <si>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</si>
  <si>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</si>
  <si>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</si>
  <si>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</si>
  <si>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</si>
  <si>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</si>
  <si>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</si>
  <si>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</si>
  <si>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</si>
  <si>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</si>
  <si>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</si>
  <si>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</si>
  <si>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</si>
  <si>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</si>
  <si>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</si>
  <si>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</si>
  <si>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</si>
  <si>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</si>
  <si>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</si>
  <si>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</si>
  <si>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</si>
  <si>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</si>
  <si>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</si>
  <si>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</si>
  <si>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</si>
  <si>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</si>
  <si>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</si>
  <si>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</si>
  <si>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</si>
  <si>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</si>
  <si>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</si>
  <si>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</si>
  <si>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</si>
  <si>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</si>
  <si>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</si>
  <si>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</si>
  <si>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</si>
  <si>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</si>
  <si>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</si>
  <si>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</si>
  <si>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</si>
  <si>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</si>
  <si>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</si>
  <si>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</si>
  <si>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</si>
  <si>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</si>
  <si>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</si>
  <si>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</si>
  <si>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</si>
  <si>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</si>
  <si>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</si>
  <si>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</si>
  <si>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</si>
  <si>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</si>
  <si>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</si>
  <si>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</si>
  <si>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</si>
  <si>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</si>
  <si>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</si>
  <si>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</si>
  <si>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</si>
  <si>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</si>
  <si>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</si>
  <si>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</si>
  <si>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</si>
  <si>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</si>
  <si>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</si>
  <si>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</si>
  <si>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</si>
  <si>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</si>
  <si>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</si>
  <si>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</si>
  <si>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</si>
  <si>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</si>
  <si>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</si>
  <si>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</si>
  <si>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</si>
  <si>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</si>
  <si>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</si>
  <si>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</si>
  <si>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</si>
  <si>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</si>
  <si>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</si>
  <si>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</si>
  <si>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</si>
  <si>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</si>
  <si>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</si>
  <si>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</si>
  <si>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</si>
  <si>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</si>
  <si>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</si>
  <si>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</si>
  <si>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</si>
  <si>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</si>
  <si>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</si>
  <si>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</si>
  <si>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</si>
  <si>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</si>
  <si>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</si>
  <si>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</si>
  <si>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</si>
  <si>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</si>
  <si>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</si>
  <si>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</si>
  <si>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</si>
  <si>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</si>
  <si>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</si>
  <si>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</si>
  <si>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</si>
  <si>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</si>
  <si>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</si>
  <si>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</si>
  <si>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</si>
  <si>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</si>
  <si>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</si>
  <si>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</si>
  <si>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</si>
  <si>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</si>
  <si>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</si>
  <si>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</si>
  <si>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</si>
  <si>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</si>
  <si>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</si>
  <si>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</si>
  <si>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</si>
  <si>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</si>
  <si>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</si>
  <si>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</si>
  <si>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</si>
  <si>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</si>
  <si>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</si>
  <si>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</si>
  <si>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</si>
  <si>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</si>
  <si>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</si>
  <si>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</si>
  <si>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</si>
  <si>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</si>
  <si>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</si>
  <si>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</si>
  <si>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</si>
  <si>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</si>
  <si>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</si>
  <si>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</si>
  <si>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</si>
  <si>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</si>
  <si>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</si>
  <si>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</si>
  <si>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</si>
  <si>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</si>
  <si>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</si>
  <si>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</si>
  <si>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</si>
  <si>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</si>
  <si>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</si>
  <si>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</si>
  <si>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</si>
  <si>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</si>
  <si>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</si>
  <si>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</si>
  <si>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</si>
  <si>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</si>
  <si>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</si>
  <si>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</si>
  <si>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</si>
  <si>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</si>
  <si>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</si>
  <si>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</si>
  <si>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</si>
  <si>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</si>
  <si>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</si>
  <si>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</si>
  <si>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</si>
  <si>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</si>
  <si>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</si>
  <si>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</si>
  <si>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</si>
  <si>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</si>
  <si>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</si>
  <si>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</si>
  <si>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</si>
  <si>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</si>
  <si>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</si>
  <si>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</si>
  <si>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</si>
  <si>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</si>
  <si>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</si>
  <si>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</si>
  <si>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</si>
  <si>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</si>
  <si>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</si>
  <si>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</si>
  <si>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</si>
  <si>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</si>
  <si>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</si>
  <si>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</si>
  <si>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</si>
  <si>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</si>
  <si>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</si>
  <si>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</si>
  <si>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</si>
  <si>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</si>
  <si>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</si>
  <si>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</si>
  <si>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</si>
  <si>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</si>
  <si>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</si>
  <si>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</si>
  <si>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</si>
  <si>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</si>
  <si>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</si>
  <si>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</si>
  <si>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</si>
  <si>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</si>
  <si>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</si>
  <si>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</si>
  <si>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</si>
  <si>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</si>
  <si>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</si>
  <si>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</si>
  <si>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</si>
  <si>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</si>
  <si>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</si>
  <si>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</si>
  <si>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</si>
  <si>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</si>
  <si>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</si>
  <si>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</si>
  <si>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</si>
  <si>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</si>
  <si>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</si>
  <si>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</si>
  <si>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</si>
  <si>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</si>
  <si>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</si>
  <si>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</si>
  <si>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</si>
  <si>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</si>
  <si>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</si>
  <si>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</si>
  <si>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</si>
  <si>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</si>
  <si>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</si>
  <si>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</si>
  <si>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</si>
  <si>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</si>
  <si>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</si>
  <si>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</si>
  <si>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</si>
  <si>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</si>
  <si>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</si>
  <si>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</si>
  <si>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</si>
  <si>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</si>
  <si>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</si>
  <si>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</si>
  <si>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</si>
  <si>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</si>
  <si>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</si>
  <si>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</si>
  <si>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</si>
  <si>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</si>
  <si>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</si>
  <si>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</si>
  <si>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</si>
  <si>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</si>
  <si>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</si>
  <si>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</si>
  <si>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</si>
  <si>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</si>
  <si>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</si>
  <si>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</si>
  <si>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</si>
  <si>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</si>
  <si>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</si>
  <si>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</si>
  <si>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</si>
  <si>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</si>
  <si>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</si>
  <si>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</si>
  <si>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</si>
  <si>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</si>
  <si>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</si>
  <si>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</si>
  <si>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</si>
  <si>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</si>
  <si>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</si>
  <si>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</si>
  <si>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</si>
  <si>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</si>
  <si>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</si>
  <si>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</si>
  <si>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</si>
  <si>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</si>
  <si>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</si>
  <si>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</si>
  <si>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</si>
  <si>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</si>
  <si>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</si>
  <si>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</si>
  <si>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</si>
  <si>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</si>
  <si>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</si>
  <si>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</si>
  <si>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</si>
  <si>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</si>
  <si>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</si>
  <si>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</si>
  <si>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</si>
  <si>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</si>
  <si>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</si>
  <si>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</si>
  <si>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</si>
  <si>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</si>
  <si>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</si>
  <si>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</si>
  <si>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</si>
  <si>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</si>
  <si>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</si>
  <si>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</si>
  <si>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</si>
  <si>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</si>
  <si>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</si>
  <si>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</si>
  <si>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</si>
  <si>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</si>
  <si>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</si>
  <si>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</si>
  <si>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</si>
  <si>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</si>
  <si>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</si>
  <si>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</si>
  <si>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</si>
  <si>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</si>
  <si>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</si>
  <si>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</si>
  <si>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</si>
  <si>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</si>
  <si>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</si>
  <si>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</si>
  <si>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</si>
  <si>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</si>
  <si>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</si>
  <si>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</si>
  <si>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</si>
  <si>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</si>
  <si>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</si>
  <si>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</si>
  <si>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</si>
  <si>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</si>
  <si>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</si>
  <si>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</si>
  <si>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</si>
  <si>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</si>
  <si>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</si>
  <si>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</si>
  <si>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</si>
  <si>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</si>
  <si>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</si>
  <si>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</si>
  <si>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</si>
  <si>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</si>
  <si>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</si>
  <si>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</si>
  <si>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</si>
  <si>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</si>
  <si>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</si>
  <si>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</si>
  <si>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</si>
  <si>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</si>
  <si>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</si>
  <si>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</si>
  <si>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</si>
  <si>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</si>
  <si>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</si>
  <si>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</si>
  <si>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</si>
  <si>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</si>
  <si>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</si>
  <si>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</si>
  <si>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</si>
  <si>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</si>
  <si>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</si>
  <si>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</si>
  <si>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</si>
  <si>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</si>
  <si>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</si>
  <si>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</si>
  <si>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</si>
  <si>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</si>
  <si>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</si>
  <si>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</si>
  <si>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</si>
  <si>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</si>
  <si>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</si>
  <si>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</si>
  <si>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</si>
  <si>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</si>
  <si>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</si>
  <si>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</si>
  <si>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</si>
  <si>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</si>
  <si>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</si>
  <si>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</si>
  <si>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</si>
  <si>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</si>
  <si>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</si>
  <si>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</si>
  <si>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</si>
  <si>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</si>
  <si>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</si>
  <si>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</si>
  <si>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</si>
  <si>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</si>
  <si>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</si>
  <si>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</si>
  <si>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</si>
  <si>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</si>
  <si>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</si>
  <si>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</si>
  <si>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</si>
  <si>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</si>
  <si>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</si>
  <si>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</si>
  <si>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</si>
  <si>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</si>
  <si>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</si>
  <si>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</si>
  <si>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</si>
  <si>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</si>
  <si>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</si>
  <si>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</si>
  <si>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</si>
  <si>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</si>
  <si>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</si>
  <si>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</si>
  <si>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</si>
  <si>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</si>
  <si>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</si>
  <si>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</si>
  <si>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</si>
  <si>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</si>
  <si>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</si>
  <si>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</si>
  <si>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</si>
  <si>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</si>
  <si>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</si>
  <si>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</si>
  <si>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</si>
  <si>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</si>
  <si>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</si>
  <si>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</si>
  <si>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</si>
  <si>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</si>
  <si>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</si>
  <si>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</si>
  <si>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</si>
  <si>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</si>
  <si>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</si>
  <si>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</si>
  <si>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</si>
  <si>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</si>
  <si>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</si>
  <si>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</si>
  <si>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</si>
  <si>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</si>
  <si>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</si>
  <si>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</si>
  <si>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</si>
  <si>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</si>
  <si>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</si>
  <si>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</si>
  <si>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</si>
  <si>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</si>
  <si>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</si>
  <si>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</si>
  <si>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</si>
  <si>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</si>
  <si>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</si>
  <si>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</si>
  <si>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</si>
  <si>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</si>
  <si>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</si>
  <si>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</si>
  <si>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</si>
  <si>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</si>
  <si>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</si>
  <si>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</si>
  <si>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</si>
  <si>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</si>
  <si>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</si>
  <si>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</si>
  <si>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</si>
  <si>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</si>
  <si>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</si>
  <si>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</si>
  <si>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</si>
  <si>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</si>
  <si>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</si>
  <si>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</si>
  <si>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</si>
  <si>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</si>
  <si>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</si>
  <si>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</si>
  <si>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</si>
  <si>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</si>
  <si>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</si>
  <si>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</si>
  <si>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</si>
  <si>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</si>
  <si>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</si>
  <si>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</si>
  <si>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</si>
  <si>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</si>
  <si>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</si>
  <si>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</si>
  <si>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</si>
  <si>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</si>
  <si>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</si>
  <si>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</si>
  <si>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</si>
  <si>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</si>
  <si>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</si>
  <si>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</si>
  <si>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</si>
  <si>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</si>
  <si>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</si>
  <si>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</si>
  <si>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</si>
  <si>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</si>
  <si>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</si>
  <si>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</si>
  <si>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</si>
  <si>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</si>
  <si>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</si>
  <si>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</si>
  <si>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</si>
  <si>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</si>
  <si>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</si>
  <si>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</si>
  <si>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</si>
  <si>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</si>
  <si>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</si>
  <si>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</si>
  <si>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</si>
  <si>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</si>
  <si>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</si>
  <si>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</si>
  <si>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</si>
  <si>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</si>
  <si>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</si>
  <si>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</si>
  <si>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</si>
  <si>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</si>
  <si>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</si>
  <si>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</si>
  <si>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</si>
  <si>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</si>
  <si>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</si>
  <si>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</si>
  <si>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</si>
  <si>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</si>
  <si>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</si>
  <si>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</si>
  <si>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</si>
  <si>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</si>
  <si>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</si>
  <si>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</si>
  <si>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</si>
  <si>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</si>
  <si>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</si>
  <si>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</si>
  <si>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</si>
  <si>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</si>
  <si>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</si>
  <si>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</si>
  <si>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</si>
  <si>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</si>
  <si>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</si>
  <si>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</si>
  <si>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</si>
  <si>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</si>
  <si>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</si>
  <si>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</si>
  <si>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</si>
  <si>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</si>
  <si>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</si>
  <si>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</si>
  <si>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</si>
  <si>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</si>
  <si>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</si>
  <si>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</si>
  <si>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</si>
  <si>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</si>
  <si>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</si>
  <si>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</si>
  <si>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</si>
  <si>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</si>
  <si>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</si>
  <si>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</si>
  <si>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</si>
  <si>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</si>
  <si>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</si>
  <si>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</si>
  <si>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</si>
  <si>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</si>
  <si>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</si>
  <si>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</si>
  <si>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</si>
  <si>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</si>
  <si>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</si>
  <si>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</si>
  <si>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</si>
  <si>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</si>
  <si>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</si>
  <si>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</si>
  <si>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</si>
  <si>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</si>
  <si>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</si>
  <si>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</si>
  <si>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</si>
  <si>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</si>
  <si>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</si>
  <si>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</si>
  <si>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</si>
  <si>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</si>
  <si>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</si>
  <si>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</si>
  <si>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</si>
  <si>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</si>
  <si>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</si>
  <si>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</si>
  <si>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</si>
  <si>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</si>
  <si>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</si>
  <si>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</si>
  <si>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</si>
  <si>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</si>
  <si>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</si>
  <si>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</si>
  <si>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</si>
  <si>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</si>
  <si>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</si>
  <si>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</si>
  <si>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</si>
  <si>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</si>
  <si>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</si>
  <si>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</si>
  <si>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</si>
  <si>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</si>
  <si>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</si>
  <si>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</si>
  <si>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</si>
  <si>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</si>
  <si>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</si>
  <si>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</si>
  <si>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</si>
  <si>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</si>
  <si>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</si>
  <si>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</si>
  <si>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</si>
  <si>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</si>
  <si>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</si>
  <si>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</si>
  <si>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</si>
  <si>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</si>
  <si>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</si>
  <si>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</si>
  <si>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</si>
  <si>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</si>
  <si>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</si>
  <si>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</si>
  <si>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</si>
  <si>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</si>
  <si>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</si>
  <si>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</si>
  <si>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</si>
  <si>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</si>
  <si>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</si>
  <si>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</si>
  <si>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</si>
  <si>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</si>
  <si>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</si>
  <si>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</si>
  <si>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</si>
  <si>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</si>
  <si>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</si>
  <si>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</si>
  <si>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</si>
  <si>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</si>
  <si>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</si>
  <si>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</si>
  <si>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</si>
  <si>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</si>
  <si>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</si>
  <si>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</si>
  <si>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</si>
  <si>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</si>
  <si>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</si>
  <si>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</si>
  <si>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</si>
  <si>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</si>
  <si>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</si>
  <si>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</si>
  <si>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</si>
  <si>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</si>
  <si>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</si>
  <si>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</si>
  <si>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</si>
  <si>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</si>
  <si>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</si>
  <si>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</si>
  <si>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</si>
  <si>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</si>
  <si>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</si>
  <si>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</si>
  <si>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</si>
  <si>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</si>
  <si>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</si>
  <si>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</si>
  <si>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</si>
  <si>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</si>
  <si>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</si>
  <si>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</si>
  <si>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</si>
  <si>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</si>
  <si>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</si>
  <si>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</si>
  <si>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</si>
  <si>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</si>
  <si>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</si>
  <si>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</si>
  <si>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</si>
  <si>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</si>
  <si>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</si>
  <si>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</si>
  <si>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</si>
  <si>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</si>
  <si>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</si>
  <si>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</si>
  <si>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</si>
  <si>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</si>
  <si>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</si>
  <si>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</si>
  <si>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</si>
  <si>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</si>
  <si>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</si>
  <si>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</si>
  <si>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</si>
  <si>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</si>
  <si>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</si>
  <si>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</si>
  <si>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</si>
  <si>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</si>
  <si>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</si>
  <si>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</si>
  <si>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</si>
  <si>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</si>
  <si>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</si>
  <si>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</si>
  <si>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</si>
  <si>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</si>
  <si>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</si>
  <si>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</si>
  <si>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</si>
  <si>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</si>
  <si>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</si>
  <si>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</si>
  <si>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</si>
  <si>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</si>
  <si>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</si>
  <si>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</si>
  <si>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</si>
  <si>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</si>
  <si>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</si>
  <si>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</si>
  <si>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</si>
  <si>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</si>
  <si>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</si>
  <si>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</si>
  <si>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</si>
  <si>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</si>
  <si>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</si>
  <si>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</si>
  <si>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</si>
  <si>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</si>
  <si>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</si>
  <si>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</si>
  <si>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</si>
  <si>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</si>
  <si>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</si>
  <si>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</si>
  <si>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</si>
  <si>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</si>
  <si>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</si>
  <si>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</si>
  <si>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</si>
  <si>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</si>
  <si>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</si>
  <si>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</si>
  <si>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</si>
  <si>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</si>
  <si>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</si>
  <si>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</si>
  <si>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</si>
  <si>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</si>
  <si>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</si>
  <si>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</si>
  <si>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</si>
  <si>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</si>
  <si>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</si>
  <si>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</si>
  <si>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</si>
  <si>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</si>
  <si>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</si>
  <si>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</si>
  <si>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</si>
  <si>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</si>
  <si>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</si>
  <si>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</si>
  <si>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</si>
  <si>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</si>
  <si>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</si>
  <si>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</si>
  <si>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</si>
  <si>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</si>
  <si>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</si>
  <si>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</si>
  <si>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</si>
  <si>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</si>
  <si>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</si>
  <si>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</si>
  <si>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</si>
  <si>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</si>
  <si>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</si>
  <si>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</si>
  <si>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</si>
  <si>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</si>
  <si>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</si>
  <si>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</si>
  <si>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</si>
  <si>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</si>
  <si>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</si>
  <si>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</si>
  <si>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</si>
  <si>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</si>
  <si>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</si>
  <si>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</si>
  <si>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</si>
  <si>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</si>
  <si>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</si>
  <si>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</si>
  <si>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</si>
  <si>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</si>
  <si>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</si>
  <si>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</si>
  <si>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</si>
  <si>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</si>
  <si>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</si>
  <si>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</si>
  <si>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</si>
  <si>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</si>
  <si>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</si>
  <si>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</si>
  <si>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</si>
  <si>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</si>
  <si>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</si>
  <si>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</si>
  <si>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</si>
  <si>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</si>
  <si>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</si>
  <si>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</si>
  <si>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</si>
  <si>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</si>
  <si>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</si>
  <si>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</si>
  <si>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</si>
  <si>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</si>
  <si>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</si>
  <si>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</si>
  <si>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</si>
  <si>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</si>
  <si>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</si>
  <si>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</si>
  <si>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</si>
  <si>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</si>
  <si>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</si>
  <si>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</si>
  <si>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</si>
  <si>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</si>
  <si>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</si>
  <si>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</si>
  <si>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</si>
  <si>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</si>
  <si>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</si>
  <si>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</si>
  <si>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</si>
  <si>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</si>
  <si>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</si>
  <si>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</si>
  <si>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</si>
  <si>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</si>
  <si>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</si>
  <si>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</si>
  <si>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</si>
  <si>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</si>
  <si>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</si>
  <si>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</si>
  <si>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</si>
  <si>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</si>
  <si>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</si>
  <si>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</si>
  <si>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</si>
  <si>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</si>
  <si>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</si>
  <si>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</si>
  <si>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</si>
  <si>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</si>
  <si>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</si>
  <si>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</si>
  <si>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</si>
  <si>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</si>
  <si>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</si>
  <si>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</si>
  <si>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</si>
  <si>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</si>
  <si>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</si>
  <si>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</si>
  <si>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</si>
  <si>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</si>
  <si>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</si>
  <si>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</si>
  <si>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</si>
  <si>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</si>
  <si>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</si>
  <si>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</si>
  <si>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</si>
  <si>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</si>
  <si>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</si>
  <si>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</si>
  <si>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</si>
  <si>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</si>
  <si>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</si>
  <si>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</si>
  <si>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</si>
  <si>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</si>
  <si>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</si>
  <si>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</si>
  <si>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</si>
  <si>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</si>
  <si>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</si>
  <si>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</si>
  <si>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</si>
  <si>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</si>
  <si>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</si>
  <si>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</si>
  <si>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</si>
  <si>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</si>
  <si>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</si>
  <si>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</si>
  <si>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</si>
  <si>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</si>
  <si>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</si>
  <si>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</si>
  <si>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</si>
  <si>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</si>
  <si>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</si>
  <si>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</si>
  <si>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</si>
  <si>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</si>
  <si>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</si>
  <si>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</si>
  <si>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</si>
  <si>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</si>
  <si>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</si>
  <si>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</si>
  <si>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</si>
  <si>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</si>
  <si>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</si>
  <si>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</si>
  <si>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</si>
  <si>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</si>
  <si>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</si>
  <si>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</si>
  <si>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</si>
  <si>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</si>
  <si>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</si>
  <si>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</si>
  <si>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</si>
  <si>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</si>
  <si>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</si>
  <si>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</si>
  <si>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</si>
  <si>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</si>
  <si>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</si>
  <si>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</si>
  <si>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</si>
  <si>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</si>
  <si>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</si>
  <si>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</si>
  <si>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</si>
  <si>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</si>
  <si>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</si>
  <si>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</si>
  <si>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</si>
  <si>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</si>
  <si>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</si>
  <si>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</si>
  <si>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</si>
  <si>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</si>
  <si>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</si>
  <si>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</si>
  <si>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</si>
  <si>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</si>
  <si>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</si>
  <si>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</si>
  <si>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</si>
  <si>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</si>
  <si>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</si>
  <si>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</si>
  <si>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</si>
  <si>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</si>
  <si>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</si>
  <si>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</si>
  <si>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</si>
  <si>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</si>
  <si>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</si>
  <si>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</si>
  <si>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</si>
  <si>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</si>
  <si>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</si>
  <si>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</si>
  <si>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</si>
  <si>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</si>
  <si>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</si>
  <si>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</si>
  <si>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</si>
  <si>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</si>
  <si>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</si>
  <si>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</si>
  <si>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</si>
  <si>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</si>
  <si>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</si>
  <si>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</si>
  <si>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</si>
  <si>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</si>
  <si>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</si>
  <si>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</si>
  <si>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</si>
  <si>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</si>
  <si>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</si>
  <si>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</si>
  <si>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</si>
  <si>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</si>
  <si>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</si>
  <si>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</si>
  <si>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</si>
  <si>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</si>
  <si>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</si>
  <si>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</si>
  <si>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</si>
  <si>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</si>
  <si>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</si>
  <si>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</si>
  <si>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</si>
  <si>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</si>
  <si>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</si>
  <si>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</si>
  <si>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</si>
  <si>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</si>
  <si>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</si>
  <si>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</si>
  <si>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</si>
  <si>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</si>
  <si>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</si>
  <si>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</si>
  <si>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</si>
  <si>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</si>
  <si>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</si>
  <si>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</si>
  <si>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</si>
  <si>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</si>
  <si>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</si>
  <si>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</si>
  <si>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</si>
  <si>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</si>
  <si>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</si>
  <si>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</si>
  <si>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</si>
  <si>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</si>
  <si>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</si>
  <si>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</si>
  <si>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</si>
  <si>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</si>
  <si>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</si>
  <si>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</si>
  <si>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</si>
  <si>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</si>
  <si>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</si>
  <si>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</si>
  <si>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</si>
  <si>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</si>
  <si>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</si>
  <si>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</si>
  <si>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</si>
  <si>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</si>
  <si>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</si>
  <si>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</si>
  <si>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</si>
  <si>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</si>
  <si>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</si>
  <si>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</si>
  <si>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</si>
  <si>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</si>
  <si>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</si>
  <si>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</si>
  <si>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</si>
  <si>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</si>
  <si>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</si>
  <si>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</si>
  <si>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</si>
  <si>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</si>
  <si>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</si>
  <si>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</si>
  <si>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</si>
  <si>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</si>
  <si>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</si>
  <si>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</si>
  <si>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</si>
  <si>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</si>
  <si>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</si>
  <si>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</si>
  <si>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</si>
  <si>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</si>
  <si>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</si>
  <si>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</si>
  <si>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</si>
  <si>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</si>
  <si>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</si>
  <si>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</si>
  <si>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</si>
  <si>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</si>
  <si>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</si>
  <si>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</si>
  <si>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</si>
  <si>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</si>
  <si>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</si>
  <si>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</si>
  <si>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</si>
  <si>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</si>
  <si>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</si>
  <si>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</si>
  <si>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</si>
  <si>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</si>
  <si>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</si>
  <si>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</si>
  <si>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</si>
  <si>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</si>
  <si>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</si>
  <si>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</si>
  <si>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</si>
  <si>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</si>
  <si>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</si>
  <si>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</si>
  <si>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</si>
  <si>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</si>
  <si>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</si>
  <si>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</si>
  <si>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</si>
  <si>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</si>
  <si>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</si>
  <si>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</si>
  <si>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</si>
  <si>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</si>
  <si>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</si>
  <si>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</si>
  <si>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</si>
  <si>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</si>
  <si>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</si>
  <si>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</si>
  <si>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</si>
  <si>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</si>
  <si>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</si>
  <si>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</si>
  <si>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</si>
  <si>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</si>
  <si>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</si>
  <si>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</si>
  <si>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</si>
  <si>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</si>
  <si>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</si>
  <si>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</si>
  <si>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</si>
  <si>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</si>
  <si>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</si>
  <si>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</si>
  <si>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</si>
  <si>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</si>
  <si>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</si>
  <si>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</si>
  <si>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</si>
  <si>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</si>
  <si>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</si>
  <si>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</si>
  <si>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</si>
  <si>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</si>
  <si>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</si>
  <si>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</si>
  <si>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</si>
  <si>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</si>
  <si>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</si>
  <si>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</si>
  <si>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</si>
  <si>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</si>
  <si>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</si>
  <si>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</si>
  <si>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</si>
  <si>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</si>
  <si>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</si>
  <si>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</si>
  <si>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</si>
  <si>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</si>
  <si>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</si>
  <si>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</si>
  <si>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</si>
  <si>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</si>
  <si>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</si>
  <si>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</si>
  <si>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</si>
  <si>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</si>
  <si>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</si>
  <si>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</si>
  <si>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</si>
  <si>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</si>
  <si>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</si>
  <si>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</si>
  <si>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</si>
  <si>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</si>
  <si>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</si>
  <si>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</si>
  <si>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</si>
  <si>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</si>
  <si>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</si>
  <si>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</si>
  <si>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</si>
  <si>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</si>
  <si>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</si>
  <si>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</si>
  <si>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</si>
  <si>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</si>
  <si>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</si>
  <si>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</si>
  <si>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</si>
  <si>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</si>
  <si>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</si>
  <si>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</si>
  <si>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</si>
  <si>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</si>
  <si>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</si>
  <si>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</si>
  <si>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</si>
  <si>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</si>
  <si>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</si>
  <si>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</si>
  <si>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</si>
  <si>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</si>
  <si>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</si>
  <si>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</si>
  <si>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</si>
  <si>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</si>
  <si>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</si>
  <si>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</si>
  <si>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</si>
  <si>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</si>
  <si>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</si>
  <si>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</si>
  <si>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</si>
  <si>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</si>
  <si>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</si>
  <si>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</si>
  <si>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</si>
  <si>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</si>
  <si>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</si>
  <si>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</si>
  <si>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</si>
  <si>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</si>
  <si>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</si>
  <si>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</si>
  <si>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</si>
  <si>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</si>
  <si>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</si>
  <si>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</si>
  <si>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</si>
  <si>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</si>
  <si>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</si>
  <si>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</si>
  <si>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</si>
  <si>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</si>
  <si>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</si>
  <si>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</si>
  <si>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</si>
  <si>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</si>
  <si>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</si>
  <si>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</si>
  <si>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</si>
  <si>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</si>
  <si>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</si>
  <si>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</si>
  <si>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</si>
  <si>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</si>
  <si>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</si>
  <si>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</si>
  <si>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</si>
  <si>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</si>
  <si>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</si>
  <si>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</si>
  <si>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</si>
  <si>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</si>
  <si>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</si>
  <si>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</si>
  <si>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</si>
  <si>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</si>
  <si>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</si>
  <si>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</si>
  <si>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</si>
  <si>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</si>
  <si>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</si>
  <si>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</si>
  <si>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</si>
  <si>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</si>
  <si>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</si>
  <si>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</si>
  <si>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</si>
  <si>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</si>
  <si>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</si>
  <si>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</si>
  <si>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</si>
  <si>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</si>
  <si>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</si>
  <si>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</si>
  <si>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</si>
  <si>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</si>
  <si>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</si>
  <si>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</si>
  <si>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</si>
  <si>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</si>
  <si>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</si>
  <si>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</si>
  <si>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</si>
  <si>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</si>
  <si>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</si>
  <si>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</si>
  <si>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</si>
  <si>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</si>
  <si>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</si>
  <si>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</si>
  <si>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</si>
  <si>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</si>
  <si>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</si>
  <si>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</si>
  <si>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</si>
  <si>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</si>
  <si>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</si>
  <si>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</si>
  <si>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</si>
  <si>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</si>
  <si>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</si>
  <si>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</si>
  <si>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</si>
  <si>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</si>
  <si>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</si>
  <si>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</si>
  <si>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</si>
  <si>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</si>
  <si>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</si>
  <si>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</si>
  <si>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</si>
  <si>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</si>
  <si>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</si>
  <si>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</si>
  <si>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</si>
  <si>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</si>
  <si>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</si>
  <si>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</si>
  <si>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</si>
  <si>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</si>
  <si>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</si>
  <si>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</si>
  <si>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</si>
  <si>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</si>
  <si>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</si>
  <si>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</si>
  <si>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</si>
  <si>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</si>
  <si>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</si>
  <si>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</si>
  <si>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</si>
  <si>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</si>
  <si>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</si>
  <si>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</si>
  <si>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</si>
  <si>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</si>
  <si>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</si>
  <si>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</si>
  <si>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</si>
  <si>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</si>
  <si>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</si>
  <si>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</si>
  <si>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</si>
  <si>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</si>
  <si>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</si>
  <si>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</si>
  <si>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</si>
  <si>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</si>
  <si>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</si>
  <si>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</si>
  <si>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</si>
  <si>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</si>
  <si>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</si>
  <si>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</si>
  <si>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</si>
  <si>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</si>
  <si>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</si>
  <si>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</si>
  <si>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</si>
  <si>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</si>
  <si>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</si>
  <si>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</si>
  <si>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</si>
  <si>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</si>
  <si>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</si>
  <si>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</si>
  <si>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</si>
  <si>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</si>
  <si>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</si>
  <si>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</si>
  <si>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</si>
  <si>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</si>
  <si>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</si>
  <si>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</si>
  <si>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</si>
  <si>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</si>
  <si>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</si>
  <si>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</si>
  <si>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</si>
  <si>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</si>
  <si>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</si>
  <si>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</si>
  <si>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</si>
  <si>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</si>
  <si>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</si>
  <si>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</si>
  <si>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</si>
  <si>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</si>
  <si>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</si>
  <si>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</si>
  <si>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</si>
  <si>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</si>
  <si>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</si>
  <si>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</si>
  <si>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</si>
  <si>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</si>
  <si>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</si>
  <si>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</si>
  <si>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</si>
  <si>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</si>
  <si>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</si>
  <si>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</si>
  <si>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</si>
  <si>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</si>
  <si>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</si>
  <si>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</si>
  <si>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</si>
  <si>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</si>
  <si>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</si>
  <si>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</si>
  <si>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</si>
  <si>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</si>
  <si>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</si>
  <si>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</si>
  <si>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</si>
  <si>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</si>
  <si>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</si>
  <si>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</si>
  <si>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</si>
  <si>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</si>
  <si>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</si>
  <si>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</si>
  <si>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</si>
  <si>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</si>
  <si>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</si>
  <si>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</si>
  <si>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</si>
  <si>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</si>
  <si>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</si>
  <si>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</si>
  <si>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</si>
  <si>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</si>
  <si>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</si>
  <si>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</si>
  <si>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</si>
  <si>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</si>
  <si>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</si>
  <si>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</si>
  <si>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</si>
  <si>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</si>
  <si>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</si>
  <si>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</si>
  <si>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</si>
  <si>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</si>
  <si>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</si>
  <si>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</si>
  <si>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</si>
  <si>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</si>
  <si>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</si>
  <si>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</si>
  <si>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</si>
  <si>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</si>
  <si>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</si>
  <si>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</si>
  <si>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</si>
  <si>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</si>
  <si>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</si>
  <si>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</si>
  <si>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</si>
  <si>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</si>
  <si>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</si>
  <si>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</si>
  <si>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</si>
  <si>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</si>
  <si>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</si>
  <si>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</si>
  <si>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</si>
  <si>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</si>
  <si>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</si>
  <si>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</si>
  <si>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</si>
  <si>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</si>
  <si>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</si>
  <si>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</si>
  <si>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</si>
  <si>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</si>
  <si>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</si>
  <si>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</si>
  <si>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</si>
  <si>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</si>
  <si>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</si>
  <si>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</si>
  <si>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</si>
  <si>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</si>
  <si>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</si>
  <si>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</si>
  <si>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</si>
  <si>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</si>
  <si>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</si>
  <si>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</si>
  <si>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</si>
  <si>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</si>
  <si>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</si>
  <si>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</si>
  <si>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</si>
  <si>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</si>
  <si>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</si>
  <si>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</si>
  <si>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</si>
  <si>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</si>
  <si>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</si>
  <si>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</si>
  <si>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</si>
  <si>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</si>
  <si>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</si>
  <si>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</si>
  <si>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</si>
  <si>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</si>
  <si>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</si>
  <si>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</si>
  <si>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</si>
  <si>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</si>
  <si>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</si>
  <si>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</si>
  <si>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</si>
  <si>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</si>
  <si>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</si>
  <si>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</si>
  <si>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</si>
  <si>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</si>
  <si>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</si>
  <si>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</si>
  <si>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</si>
  <si>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</si>
  <si>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</si>
  <si>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</si>
  <si>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</si>
  <si>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</si>
  <si>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</si>
  <si>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</si>
  <si>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</si>
  <si>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</si>
  <si>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</si>
  <si>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</si>
  <si>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</si>
  <si>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</si>
  <si>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</si>
  <si>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</si>
  <si>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</si>
  <si>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</si>
  <si>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</si>
  <si>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</si>
  <si>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</si>
  <si>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</si>
  <si>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</si>
  <si>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</si>
  <si>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</si>
  <si>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</si>
  <si>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</si>
  <si>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</si>
  <si>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</si>
  <si>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</si>
  <si>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</si>
  <si>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</si>
  <si>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</si>
  <si>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</si>
  <si>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</si>
  <si>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</si>
  <si>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</si>
  <si>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</si>
  <si>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</si>
  <si>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</si>
  <si>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</si>
  <si>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</si>
  <si>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</si>
  <si>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</si>
  <si>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</si>
  <si>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</si>
  <si>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</si>
  <si>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</si>
  <si>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</si>
  <si>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</si>
  <si>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</si>
  <si>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</si>
  <si>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</si>
  <si>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</si>
  <si>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</si>
  <si>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</si>
  <si>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</si>
  <si>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</si>
  <si>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</si>
  <si>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</si>
  <si>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</si>
  <si>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</si>
  <si>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</si>
  <si>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</si>
  <si>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</si>
  <si>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</si>
  <si>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</si>
  <si>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</si>
  <si>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</si>
  <si>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</si>
  <si>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</si>
  <si>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</si>
  <si>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</si>
  <si>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</si>
  <si>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</si>
  <si>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</si>
  <si>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</si>
  <si>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</si>
  <si>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</si>
  <si>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</si>
  <si>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</si>
  <si>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</si>
  <si>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</si>
  <si>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</si>
  <si>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</si>
  <si>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</si>
  <si>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</si>
  <si>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</si>
  <si>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</si>
  <si>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</si>
  <si>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</si>
  <si>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</si>
  <si>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</si>
  <si>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</si>
  <si>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</si>
  <si>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</si>
  <si>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</si>
  <si>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</si>
  <si>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</si>
  <si>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</si>
  <si>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</si>
  <si>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</si>
  <si>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</si>
  <si>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</si>
  <si>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</si>
  <si>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</si>
  <si>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</si>
  <si>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</si>
  <si>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</si>
  <si>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</si>
  <si>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</si>
  <si>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</si>
  <si>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</si>
  <si>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</si>
  <si>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</si>
  <si>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</si>
  <si>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</si>
  <si>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</si>
  <si>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</si>
  <si>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</si>
  <si>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</si>
  <si>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</si>
  <si>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</si>
  <si>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</si>
  <si>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</si>
  <si>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</si>
  <si>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</si>
  <si>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</si>
  <si>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</si>
  <si>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</si>
  <si>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</si>
  <si>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</si>
  <si>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</si>
  <si>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</si>
  <si>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</si>
  <si>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</si>
  <si>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</si>
  <si>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</si>
  <si>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</si>
  <si>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</si>
  <si>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</si>
  <si>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</si>
  <si>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</si>
  <si>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</si>
  <si>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</si>
  <si>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</si>
  <si>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</si>
  <si>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</si>
  <si>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</si>
  <si>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</si>
  <si>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</si>
  <si>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</si>
  <si>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</si>
  <si>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</si>
  <si>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</si>
  <si>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</si>
  <si>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</si>
  <si>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</si>
  <si>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</si>
  <si>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</si>
  <si>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</si>
  <si>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</si>
  <si>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</si>
  <si>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</si>
  <si>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</si>
  <si>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</si>
  <si>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</si>
  <si>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</si>
  <si>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</si>
  <si>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</si>
  <si>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</si>
  <si>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</si>
  <si>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</si>
  <si>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</si>
  <si>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</si>
  <si>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</si>
  <si>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</si>
  <si>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</si>
  <si>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</si>
  <si>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</si>
  <si>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</si>
  <si>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</si>
  <si>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</si>
  <si>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</si>
  <si>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</si>
  <si>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</si>
  <si>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</si>
  <si>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</si>
  <si>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</si>
  <si>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</si>
  <si>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</si>
  <si>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</si>
  <si>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</si>
  <si>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</si>
  <si>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</si>
  <si>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</si>
  <si>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</si>
  <si>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</si>
  <si>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</si>
  <si>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</si>
  <si>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</si>
  <si>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</si>
  <si>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</si>
  <si>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</si>
  <si>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</si>
  <si>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</si>
  <si>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</si>
  <si>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</si>
  <si>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</si>
  <si>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</si>
  <si>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</si>
  <si>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</si>
  <si>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</si>
  <si>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</si>
  <si>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</si>
  <si>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</si>
  <si>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</si>
  <si>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</si>
  <si>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</si>
  <si>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</si>
  <si>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</si>
  <si>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</si>
  <si>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</si>
  <si>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</si>
  <si>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</si>
  <si>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</si>
  <si>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</si>
  <si>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</si>
  <si>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</si>
  <si>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</si>
  <si>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</si>
  <si>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</si>
  <si>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</si>
  <si>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</si>
  <si>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</si>
  <si>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</si>
  <si>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</si>
  <si>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</si>
  <si>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</si>
  <si>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</si>
  <si>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</si>
  <si>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</si>
  <si>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</si>
  <si>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</si>
  <si>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</si>
  <si>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</si>
  <si>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</si>
  <si>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</si>
  <si>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</si>
  <si>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</si>
  <si>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</si>
  <si>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</si>
  <si>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</si>
  <si>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</si>
  <si>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</si>
  <si>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</si>
  <si>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</si>
  <si>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</si>
  <si>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</si>
  <si>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</si>
  <si>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</si>
  <si>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</si>
  <si>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</si>
  <si>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</si>
  <si>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</si>
  <si>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</si>
  <si>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</si>
  <si>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</si>
  <si>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</si>
  <si>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</si>
  <si>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</si>
  <si>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</si>
  <si>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</si>
  <si>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</si>
  <si>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</si>
  <si>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</si>
  <si>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</si>
  <si>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</si>
  <si>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</si>
  <si>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</si>
  <si>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</si>
  <si>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</si>
  <si>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</si>
  <si>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</si>
  <si>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</si>
  <si>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</si>
  <si>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</si>
  <si>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</si>
  <si>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</si>
  <si>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</si>
  <si>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</si>
  <si>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</si>
  <si>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</si>
  <si>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</si>
  <si>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</si>
  <si>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</si>
  <si>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</si>
  <si>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</si>
  <si>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</si>
  <si>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</si>
  <si>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</si>
  <si>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</si>
  <si>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</si>
  <si>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</si>
  <si>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</si>
  <si>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</si>
  <si>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</si>
  <si>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</si>
  <si>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</si>
  <si>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</si>
  <si>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</si>
  <si>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</si>
  <si>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</si>
  <si>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</si>
  <si>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</si>
  <si>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</si>
  <si>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</si>
  <si>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</si>
  <si>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</si>
  <si>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</si>
  <si>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</si>
  <si>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</si>
  <si>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</si>
  <si>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</si>
  <si>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</si>
  <si>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</si>
  <si>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</si>
  <si>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</si>
  <si>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</si>
  <si>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</si>
  <si>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</si>
  <si>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</si>
  <si>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</si>
  <si>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</si>
  <si>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</si>
  <si>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</si>
  <si>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</si>
  <si>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</si>
  <si>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</si>
  <si>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</si>
  <si>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</si>
  <si>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</si>
  <si>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</si>
  <si>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</si>
  <si>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</si>
  <si>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</si>
  <si>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</si>
  <si>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</si>
  <si>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</si>
  <si>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</si>
  <si>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</si>
  <si>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</si>
  <si>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</si>
  <si>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</si>
  <si>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</si>
  <si>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</si>
  <si>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</si>
  <si>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</si>
  <si>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</si>
  <si>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</si>
  <si>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</si>
  <si>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</si>
  <si>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</si>
  <si>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</si>
  <si>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</si>
  <si>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</si>
  <si>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</si>
  <si>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</si>
  <si>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</si>
  <si>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</si>
  <si>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</si>
  <si>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</si>
  <si>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</si>
  <si>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</si>
  <si>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</si>
  <si>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</si>
  <si>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</si>
  <si>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</si>
  <si>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</si>
  <si>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</si>
  <si>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</si>
  <si>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</si>
  <si>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</si>
  <si>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</si>
  <si>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</si>
  <si>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</si>
  <si>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</si>
  <si>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</si>
  <si>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</si>
  <si>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</si>
  <si>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</si>
  <si>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</si>
  <si>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</si>
  <si>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</si>
  <si>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</si>
  <si>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</si>
  <si>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</si>
  <si>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</si>
  <si>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</si>
  <si>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</si>
  <si>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</si>
  <si>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</si>
  <si>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</si>
  <si>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</si>
  <si>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</si>
  <si>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</si>
  <si>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</si>
  <si>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</si>
  <si>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</si>
  <si>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</si>
  <si>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</si>
  <si>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</si>
  <si>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</si>
  <si>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</si>
  <si>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</si>
  <si>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</si>
  <si>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</si>
  <si>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</si>
  <si>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</si>
  <si>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</si>
  <si>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</si>
  <si>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</si>
  <si>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</si>
  <si>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</si>
  <si>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</si>
  <si>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</si>
  <si>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</si>
  <si>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</si>
  <si>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</si>
  <si>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</si>
  <si>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</si>
  <si>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</si>
  <si>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</si>
  <si>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</si>
  <si>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</si>
  <si>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</si>
  <si>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</si>
  <si>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</si>
  <si>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</si>
  <si>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</si>
  <si>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</si>
  <si>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</si>
  <si>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</si>
  <si>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</si>
  <si>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</si>
  <si>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</si>
  <si>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</si>
  <si>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</si>
  <si>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</si>
  <si>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</si>
  <si>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</si>
  <si>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</si>
  <si>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</si>
  <si>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</si>
  <si>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</si>
  <si>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</si>
  <si>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</si>
  <si>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</si>
  <si>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</si>
  <si>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</si>
  <si>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</si>
  <si>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</si>
  <si>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</si>
  <si>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</si>
  <si>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</si>
  <si>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</si>
  <si>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</si>
  <si>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</si>
  <si>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</si>
  <si>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</si>
  <si>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</si>
  <si>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</si>
  <si>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</si>
  <si>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</si>
  <si>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</si>
  <si>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</si>
  <si>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</si>
  <si>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</si>
  <si>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</si>
  <si>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</si>
  <si>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</si>
  <si>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</si>
  <si>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</si>
  <si>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</si>
  <si>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</si>
  <si>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</si>
  <si>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</si>
  <si>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</si>
  <si>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</si>
  <si>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</si>
  <si>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</si>
  <si>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</si>
  <si>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</si>
  <si>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</si>
  <si>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</si>
  <si>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</si>
  <si>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</si>
  <si>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</si>
  <si>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</si>
  <si>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</si>
  <si>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</si>
  <si>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</si>
  <si>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</si>
  <si>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</si>
  <si>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</si>
  <si>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</si>
  <si>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</si>
  <si>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</si>
  <si>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</si>
  <si>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</si>
  <si>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</si>
  <si>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</si>
  <si>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</si>
  <si>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</si>
  <si>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</si>
  <si>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</si>
  <si>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</si>
  <si>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</si>
  <si>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</si>
  <si>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</si>
  <si>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</si>
  <si>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</si>
  <si>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</si>
  <si>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</si>
  <si>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</si>
  <si>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</si>
  <si>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</si>
  <si>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</si>
  <si>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</si>
  <si>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</si>
  <si>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</si>
  <si>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</si>
  <si>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</si>
  <si>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</si>
  <si>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</si>
  <si>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</si>
  <si>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</si>
  <si>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</si>
  <si>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</si>
  <si>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</si>
  <si>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</si>
  <si>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</si>
  <si>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</si>
  <si>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</si>
  <si>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</si>
  <si>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</si>
  <si>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</si>
  <si>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</si>
  <si>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</si>
  <si>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</si>
  <si>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</si>
  <si>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</si>
  <si>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</si>
  <si>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</si>
  <si>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</si>
  <si>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</si>
  <si>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</si>
  <si>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</si>
  <si>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</si>
  <si>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</si>
  <si>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</si>
  <si>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</si>
  <si>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</si>
  <si>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</si>
  <si>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</si>
  <si>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</si>
  <si>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</si>
  <si>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</si>
  <si>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</si>
  <si>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</si>
  <si>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</si>
  <si>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</si>
  <si>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</si>
  <si>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</si>
  <si>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</si>
  <si>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</si>
  <si>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</si>
  <si>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</si>
  <si>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</si>
  <si>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</si>
  <si>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</si>
  <si>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</si>
  <si>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</si>
  <si>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</si>
  <si>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</si>
  <si>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</si>
  <si>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</si>
  <si>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</si>
  <si>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</si>
  <si>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</si>
  <si>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</si>
  <si>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</si>
  <si>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</si>
  <si>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</si>
  <si>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</si>
  <si>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</si>
  <si>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</si>
  <si>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</si>
  <si>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</si>
  <si>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</si>
  <si>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</si>
  <si>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</si>
  <si>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</si>
  <si>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</si>
  <si>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</si>
  <si>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</si>
  <si>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</si>
  <si>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</si>
  <si>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</si>
  <si>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</si>
  <si>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</si>
  <si>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</si>
  <si>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</si>
  <si>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</si>
  <si>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</si>
  <si>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</si>
  <si>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</si>
  <si>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</si>
  <si>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</si>
  <si>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</si>
  <si>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</si>
  <si>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</si>
  <si>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</si>
  <si>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</si>
  <si>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</si>
  <si>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</si>
  <si>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</si>
  <si>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</si>
  <si>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</si>
  <si>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</si>
  <si>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</si>
  <si>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</si>
  <si>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</si>
  <si>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</si>
  <si>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</si>
  <si>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</si>
  <si>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</si>
  <si>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</si>
  <si>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</si>
  <si>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</si>
  <si>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</si>
  <si>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</si>
  <si>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</si>
  <si>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</si>
  <si>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</si>
  <si>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</si>
  <si>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</si>
  <si>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</si>
  <si>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</si>
  <si>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</si>
  <si>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</si>
  <si>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</si>
  <si>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</si>
  <si>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</si>
  <si>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</si>
  <si>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</si>
  <si>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</si>
  <si>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</si>
  <si>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</si>
  <si>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</si>
  <si>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</si>
  <si>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</si>
  <si>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</si>
  <si>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</si>
  <si>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</si>
  <si>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</si>
  <si>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</si>
  <si>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</si>
  <si>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</si>
  <si>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</si>
  <si>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</si>
  <si>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</si>
  <si>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</si>
  <si>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</si>
  <si>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</si>
  <si>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</si>
  <si>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</si>
  <si>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</si>
  <si>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</si>
  <si>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</si>
  <si>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</si>
  <si>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</si>
  <si>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</si>
  <si>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</si>
  <si>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</si>
  <si>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</si>
  <si>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</si>
  <si>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</si>
  <si>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</si>
  <si>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</si>
  <si>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</si>
  <si>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</si>
  <si>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</si>
  <si>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</si>
  <si>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</si>
  <si>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</si>
  <si>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</si>
  <si>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</si>
  <si>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</si>
  <si>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</si>
  <si>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</si>
  <si>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</si>
  <si>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</si>
  <si>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</si>
  <si>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</si>
  <si>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</si>
  <si>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</si>
  <si>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</si>
  <si>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</si>
  <si>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</si>
  <si>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</si>
  <si>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</si>
  <si>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</si>
  <si>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</si>
  <si>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</si>
  <si>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</si>
  <si>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</si>
  <si>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</si>
  <si>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</si>
  <si>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</si>
  <si>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</si>
  <si>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</si>
  <si>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</si>
  <si>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</si>
  <si>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</si>
  <si>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</si>
  <si>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</si>
  <si>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</si>
  <si>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</si>
  <si>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</si>
  <si>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</si>
  <si>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</si>
  <si>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</si>
  <si>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</si>
  <si>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</si>
  <si>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</si>
  <si>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</si>
  <si>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</si>
  <si>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</si>
  <si>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</si>
  <si>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</si>
  <si>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</si>
  <si>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</si>
  <si>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</si>
  <si>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</si>
  <si>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</si>
  <si>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</si>
  <si>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</si>
  <si>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</si>
  <si>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</si>
  <si>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</si>
  <si>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</si>
  <si>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</si>
  <si>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</si>
  <si>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</si>
  <si>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</si>
  <si>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</si>
  <si>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</si>
  <si>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</si>
  <si>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</si>
  <si>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</si>
  <si>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</si>
  <si>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</si>
  <si>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</si>
  <si>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</si>
  <si>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</si>
  <si>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</si>
  <si>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</si>
  <si>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</si>
  <si>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</si>
  <si>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</si>
  <si>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</si>
  <si>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</si>
  <si>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</si>
  <si>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</si>
  <si>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</si>
  <si>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</si>
  <si>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</si>
  <si>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</si>
  <si>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</si>
  <si>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</si>
  <si>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</si>
  <si>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</si>
  <si>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</si>
  <si>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</si>
  <si>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</si>
  <si>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</si>
  <si>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</si>
  <si>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</si>
  <si>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</si>
  <si>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</si>
  <si>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</si>
  <si>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</si>
  <si>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</si>
  <si>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</si>
  <si>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</si>
  <si>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</si>
  <si>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</si>
  <si>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</si>
  <si>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</si>
  <si>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</si>
  <si>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</si>
  <si>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</si>
  <si>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</si>
  <si>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</si>
  <si>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</si>
  <si>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</si>
  <si>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</si>
  <si>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</si>
  <si>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</si>
  <si>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</si>
  <si>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</si>
  <si>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</si>
  <si>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</si>
  <si>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</si>
  <si>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</si>
  <si>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</si>
  <si>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</si>
  <si>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</si>
  <si>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</si>
  <si>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</si>
  <si>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</si>
  <si>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</si>
  <si>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</si>
  <si>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</si>
  <si>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</si>
  <si>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</si>
  <si>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</si>
  <si>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</si>
  <si>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</si>
  <si>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</si>
  <si>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</si>
  <si>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</si>
  <si>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</si>
  <si>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</si>
  <si>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</si>
  <si>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</si>
  <si>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</si>
  <si>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</si>
  <si>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</si>
  <si>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</si>
  <si>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</si>
  <si>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</si>
  <si>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</si>
  <si>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</si>
  <si>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</si>
  <si>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</si>
  <si>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</si>
  <si>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</si>
  <si>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</si>
  <si>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</si>
  <si>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</si>
  <si>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</si>
  <si>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</si>
  <si>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</si>
  <si>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</si>
  <si>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</si>
  <si>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</si>
  <si>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</si>
  <si>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</si>
  <si>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</si>
  <si>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</si>
  <si>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</si>
  <si>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</si>
  <si>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</si>
  <si>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</si>
  <si>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</si>
  <si>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</si>
  <si>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</si>
  <si>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</si>
  <si>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</si>
  <si>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</si>
  <si>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</si>
  <si>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</si>
  <si>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</si>
  <si>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</si>
  <si>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</si>
  <si>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</si>
  <si>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</si>
  <si>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</si>
  <si>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</si>
  <si>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</si>
  <si>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</si>
  <si>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</si>
  <si>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</si>
  <si>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</si>
  <si>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</si>
  <si>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</si>
  <si>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</si>
  <si>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</si>
  <si>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</si>
  <si>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</si>
  <si>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</si>
  <si>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</si>
  <si>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</si>
  <si>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</si>
  <si>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</si>
  <si>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</si>
  <si>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</si>
  <si>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</si>
  <si>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</si>
  <si>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</si>
  <si>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</si>
  <si>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</si>
  <si>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</si>
  <si>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</si>
  <si>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</si>
  <si>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</si>
  <si>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</si>
  <si>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</si>
  <si>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</si>
  <si>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</si>
  <si>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</si>
  <si>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</si>
  <si>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</si>
  <si>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</si>
  <si>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</si>
  <si>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</si>
  <si>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</si>
  <si>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</si>
  <si>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</si>
  <si>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</si>
  <si>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</si>
  <si>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</si>
  <si>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</si>
  <si>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</si>
  <si>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</si>
  <si>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</si>
  <si>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</si>
  <si>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</si>
  <si>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</si>
  <si>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</si>
  <si>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</si>
  <si>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</si>
  <si>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</si>
  <si>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</si>
  <si>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</si>
  <si>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</si>
  <si>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</si>
  <si>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</si>
  <si>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</si>
  <si>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</si>
  <si>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</si>
  <si>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</si>
  <si>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</si>
  <si>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</si>
  <si>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</si>
  <si>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</si>
  <si>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</si>
  <si>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</si>
  <si>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</si>
  <si>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</si>
  <si>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</si>
  <si>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</si>
  <si>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</si>
  <si>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</si>
  <si>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</si>
  <si>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</si>
  <si>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</si>
  <si>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</si>
  <si>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</si>
  <si>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</si>
  <si>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</si>
  <si>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</si>
  <si>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</si>
  <si>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</si>
  <si>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</si>
  <si>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</si>
  <si>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</si>
  <si>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</si>
  <si>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</si>
  <si>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</si>
  <si>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</si>
  <si>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</si>
  <si>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</si>
  <si>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</si>
  <si>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</si>
  <si>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</si>
  <si>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</si>
  <si>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</si>
  <si>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</si>
  <si>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</si>
  <si>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</si>
  <si>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</si>
  <si>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</si>
  <si>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</si>
  <si>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</si>
  <si>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</si>
  <si>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</si>
  <si>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</si>
  <si>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</si>
  <si>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</si>
  <si>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</si>
  <si>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</si>
  <si>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</si>
  <si>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</si>
  <si>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</si>
  <si>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</si>
  <si>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</si>
  <si>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</si>
  <si>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</si>
  <si>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</si>
  <si>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</si>
  <si>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</si>
  <si>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</si>
  <si>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</si>
  <si>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</si>
  <si>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</si>
  <si>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</si>
  <si>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</si>
  <si>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</si>
  <si>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</si>
  <si>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</si>
  <si>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</si>
  <si>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</si>
  <si>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</si>
  <si>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</si>
  <si>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</si>
  <si>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</si>
  <si>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</si>
  <si>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</si>
  <si>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</si>
  <si>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</si>
  <si>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</si>
  <si>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</si>
  <si>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</si>
  <si>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</si>
  <si>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</si>
  <si>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</si>
  <si>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</si>
  <si>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</si>
  <si>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</si>
  <si>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</si>
  <si>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</si>
  <si>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</si>
  <si>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</si>
  <si>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</si>
  <si>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</si>
  <si>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</si>
  <si>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</si>
  <si>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</si>
  <si>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</si>
  <si>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</si>
  <si>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</si>
  <si>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</si>
  <si>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</si>
  <si>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</si>
  <si>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</si>
  <si>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</si>
  <si>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</si>
  <si>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</si>
  <si>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</si>
  <si>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</si>
  <si>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</si>
  <si>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</si>
  <si>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</si>
  <si>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</si>
  <si>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</si>
  <si>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</si>
  <si>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</si>
  <si>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</si>
  <si>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</si>
  <si>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</si>
  <si>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</si>
  <si>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</si>
  <si>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</si>
  <si>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</si>
  <si>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</si>
  <si>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</si>
  <si>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</si>
  <si>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</si>
  <si>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</si>
  <si>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</si>
  <si>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</si>
  <si>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</si>
  <si>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</si>
  <si>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</si>
  <si>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</si>
  <si>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</si>
  <si>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</si>
  <si>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</si>
  <si>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</si>
  <si>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</si>
  <si>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</si>
  <si>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</si>
  <si>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</si>
  <si>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</si>
  <si>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</si>
  <si>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</si>
  <si>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</si>
  <si>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</si>
  <si>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</si>
  <si>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</si>
  <si>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</si>
  <si>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</si>
  <si>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</si>
  <si>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</si>
  <si>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</si>
  <si>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</si>
  <si>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</si>
  <si>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</si>
  <si>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</si>
  <si>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</si>
  <si>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</si>
  <si>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</si>
  <si>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</si>
  <si>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</si>
  <si>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</si>
  <si>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</si>
  <si>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</si>
  <si>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</si>
  <si>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</si>
  <si>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</si>
  <si>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</si>
  <si>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</si>
  <si>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</si>
  <si>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</si>
  <si>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</si>
  <si>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</si>
  <si>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</si>
  <si>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</si>
  <si>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</si>
  <si>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</si>
  <si>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</si>
  <si>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</si>
  <si>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</si>
  <si>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</si>
  <si>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</si>
  <si>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</si>
  <si>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</si>
  <si>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</si>
  <si>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</si>
  <si>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</si>
  <si>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</si>
  <si>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</si>
  <si>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</si>
  <si>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</si>
  <si>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</si>
  <si>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</si>
  <si>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</si>
  <si>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</si>
  <si>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</si>
  <si>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</si>
  <si>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</si>
  <si>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</si>
  <si>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</si>
  <si>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</si>
  <si>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</si>
  <si>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</si>
  <si>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</si>
  <si>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</si>
  <si>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</si>
  <si>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</si>
  <si>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</si>
  <si>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</si>
  <si>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</si>
  <si>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</si>
  <si>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</si>
  <si>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</si>
  <si>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</si>
  <si>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</si>
  <si>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</si>
  <si>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</si>
  <si>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</si>
  <si>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</si>
  <si>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</si>
  <si>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</si>
  <si>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</si>
  <si>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</si>
  <si>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</si>
  <si>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</si>
  <si>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</si>
  <si>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</si>
  <si>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</si>
  <si>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</si>
  <si>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房地产抵押价值</t>
  </si>
  <si>
    <t>办公</t>
  </si>
  <si>
    <t>万元</t>
  </si>
  <si>
    <t>总价</t>
  </si>
  <si>
    <t>无租约</t>
  </si>
  <si>
    <t>利息：取LPR加浮动点数</t>
  </si>
  <si>
    <t>钢混</t>
  </si>
  <si>
    <t>非生产用房</t>
  </si>
  <si>
    <t>否</t>
  </si>
  <si>
    <t>汇欣大厦</t>
    <phoneticPr fontId="4" type="noConversion"/>
  </si>
  <si>
    <t>办公</t>
    <phoneticPr fontId="26" type="noConversion"/>
  </si>
  <si>
    <t>20-30（含）</t>
  </si>
  <si>
    <t>30-40（含）</t>
  </si>
  <si>
    <t>挂牌</t>
  </si>
  <si>
    <t>挂牌</t>
    <phoneticPr fontId="26" type="noConversion"/>
  </si>
  <si>
    <t>高区</t>
    <phoneticPr fontId="26" type="noConversion"/>
  </si>
  <si>
    <t>中区</t>
  </si>
  <si>
    <t>中区</t>
    <phoneticPr fontId="26" type="noConversion"/>
  </si>
  <si>
    <t>低区</t>
  </si>
  <si>
    <t>低区</t>
    <phoneticPr fontId="26" type="noConversion"/>
  </si>
  <si>
    <t>写字楼</t>
    <phoneticPr fontId="26" type="noConversion"/>
  </si>
  <si>
    <t>比较法-办公</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</si>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</sst>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1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9" fontId="39" fillId="0" borderId="0" xfId="0" applyNumberFormat="1" applyFont="1" applyFill="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8924</xdr:colOff>
      <xdr:row>27</xdr:row>
      <xdr:rowOff>47040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09524" cy="4676190"/>
        </a:xfrm>
        <a:prstGeom prst="rect">
          <a:avLst/>
        </a:prstGeom>
      </xdr:spPr>
    </xdr:pic>
    <xdr:clientData/>
  </xdr:twoCellAnchor>
  <xdr:twoCellAnchor editAs="oneCell">
    <xdr:from>
      <xdr:col>7</xdr:col>
      <xdr:colOff>0</xdr:colOff>
      <xdr:row>0</xdr:row>
      <xdr:rowOff>0</xdr:rowOff>
    </xdr:from>
    <xdr:to>
      <xdr:col>13</xdr:col>
      <xdr:colOff>532819</xdr:colOff>
      <xdr:row>28</xdr:row>
      <xdr:rowOff>27971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4647619" cy="4828571"/>
        </a:xfrm>
        <a:prstGeom prst="rect">
          <a:avLst/>
        </a:prstGeom>
      </xdr:spPr>
    </xdr:pic>
    <xdr:clientData/>
  </xdr:twoCellAnchor>
  <xdr:twoCellAnchor editAs="oneCell">
    <xdr:from>
      <xdr:col>14</xdr:col>
      <xdr:colOff>0</xdr:colOff>
      <xdr:row>0</xdr:row>
      <xdr:rowOff>0</xdr:rowOff>
    </xdr:from>
    <xdr:to>
      <xdr:col>21</xdr:col>
      <xdr:colOff>247019</xdr:colOff>
      <xdr:row>27</xdr:row>
      <xdr:rowOff>104183</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0"/>
          <a:ext cx="5047619" cy="4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估价对象为北京市房地产，为XX所有。根据《》[]，估价对象建筑面积为162.71平方米。根据《》[]，估价对象（分摊）出让国有建设用地使用权面积为平方米。估价对象用途为。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2022年5月26日</v>
      </c>
    </row>
    <row r="10" spans="1:2">
      <c r="A10" s="1139" t="s">
        <v>865</v>
      </c>
      <c r="B10" s="1126" t="str">
        <f>'预评函-1'!A13</f>
        <v>本次估价的“房地产价值”是指在正常市场情况下，在价值时点2022年5月26日，估价对象规划用途为，假定未设立法定优先受偿款下的房地产市场价值。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162.71</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5" sqref="D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44707</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t="s">
        <v>3033</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2587</v>
      </c>
      <c r="B12" s="2817" t="s">
        <v>1310</v>
      </c>
      <c r="C12" s="766">
        <v>162.71</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G25" sqref="G25"/>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44707</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2"/>
      <c r="E3" s="2557" t="s">
        <v>1001</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162.71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3034</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54520</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26.88</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0.08</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8.5000000000000006E-2</v>
      </c>
      <c r="C18" s="1613"/>
      <c r="D18" s="2857" t="str">
        <f>IF(B26=0,"建安总额","在建建安")</f>
        <v>建安总额</v>
      </c>
      <c r="E18" s="2858">
        <f>ROUND(B5*E17*IF(B26=0,1,E20),0)</f>
        <v>569485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0.76</v>
      </c>
      <c r="F20" s="905"/>
      <c r="G20" s="1613"/>
      <c r="H20" s="1613">
        <f>1-(2022-B27)/60</f>
        <v>0.6333333333333333</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0.05</v>
      </c>
      <c r="F21" s="2591" t="s">
        <v>2605</v>
      </c>
      <c r="G21" s="1613"/>
      <c r="H21" s="3736">
        <v>0.9</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2000</v>
      </c>
      <c r="C27" s="1613"/>
      <c r="D27" s="3074" t="s">
        <v>3038</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c r="G28" s="2887"/>
      <c r="H28" s="2887"/>
      <c r="K28" s="1613"/>
      <c r="N28" s="1613"/>
    </row>
    <row r="29" spans="1:41" ht="14.25">
      <c r="A29" s="2871" t="s">
        <v>1421</v>
      </c>
      <c r="B29" s="2586" t="s">
        <v>3037</v>
      </c>
      <c r="D29" s="2853" t="s">
        <v>1423</v>
      </c>
      <c r="E29" s="2872">
        <f>E30+E31</f>
        <v>5.6000000000000001E-2</v>
      </c>
      <c r="F29" s="1238"/>
      <c r="G29" s="2887"/>
      <c r="H29" s="2887"/>
      <c r="K29" s="1613"/>
      <c r="N29" s="1613"/>
    </row>
    <row r="30" spans="1:41" ht="14.25">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26.88</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162.71</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44707</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504</v>
      </c>
      <c r="C5" s="2499">
        <f ca="1">ROUND(B5*10000/$B$1,0)</f>
        <v>30975</v>
      </c>
      <c r="D5" s="2499" t="e">
        <f ca="1">ROUND(B5*10000/$B$2,0)</f>
        <v>#DIV/0!</v>
      </c>
      <c r="E5" s="1562"/>
      <c r="F5" s="2500"/>
      <c r="G5" s="2500"/>
    </row>
    <row r="6" spans="1:9" ht="16.5">
      <c r="A6" s="2499" t="s">
        <v>981</v>
      </c>
      <c r="B6" s="2499">
        <f ca="1">SUM(G14:G23)</f>
        <v>504</v>
      </c>
      <c r="C6" s="2499">
        <f t="shared" ref="C6:C8" ca="1" si="0">ROUND(B6*10000/$B$1,0)</f>
        <v>30975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162.71</v>
      </c>
      <c r="C14" s="2835">
        <f>项目基本情况!C13</f>
        <v>0</v>
      </c>
      <c r="D14" s="2835">
        <f ca="1">IF('数据-取费表'!B3="万元",IF(A14="估价对象1（结果表）",结果表!H121,'结果表 (1修多)'!H125),IF(A14="估价对象1（结果表）",结果表!H121,'结果表 (1修多)'!H125)/10000)</f>
        <v>504</v>
      </c>
      <c r="E14" s="2835">
        <f ca="1">ROUND(D14*10000/B14,0)</f>
        <v>30975</v>
      </c>
      <c r="F14" s="2835" t="e">
        <f ca="1">ROUND(D14*10000/C14,0)</f>
        <v>#DIV/0!</v>
      </c>
      <c r="G14" s="2835">
        <f ca="1">IF('数据-取费表'!B3="万元",IF(A14="估价对象1（结果表）",结果表!D125,'结果表 (1修多)'!D129),IF(A14="估价对象1（结果表）",结果表!D125,'结果表 (1修多)'!D129)/10000)</f>
        <v>504</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4" sqref="G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3054</v>
      </c>
      <c r="D4" s="2632" t="s">
        <v>3055</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5</v>
      </c>
      <c r="D14" s="3490">
        <v>5</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7" t="s">
        <v>2576</v>
      </c>
      <c r="F18" s="3508"/>
      <c r="G18" s="3508"/>
      <c r="H18" s="3508"/>
      <c r="I18" s="3508"/>
      <c r="J18" s="2765"/>
    </row>
    <row r="19" spans="1:36" ht="15">
      <c r="A19" s="2638" t="s">
        <v>1494</v>
      </c>
      <c r="B19" s="2639" t="s">
        <v>1495</v>
      </c>
      <c r="C19" s="2640">
        <f ca="1">SUMIF(INDIRECT("'"&amp;C4&amp;"'"&amp;"!A:A"),结果表!B19,INDIRECT("'"&amp;C4&amp;"'"&amp;"!B:B"))</f>
        <v>531</v>
      </c>
      <c r="D19" s="2641">
        <f ca="1">SUMIF(INDIRECT("'"&amp;D4&amp;"'"&amp;"!A:A"),结果表!B19,INDIRECT("'"&amp;D4&amp;"'"&amp;"!B:B"))</f>
        <v>477</v>
      </c>
      <c r="E19" s="2638" t="s">
        <v>1496</v>
      </c>
      <c r="F19" s="2639" t="s">
        <v>1495</v>
      </c>
      <c r="G19" s="2642">
        <f ca="1">ROUND(C19*$C$18+D19*$D$18,0)</f>
        <v>504</v>
      </c>
      <c r="H19" s="2643" t="str">
        <f>'数据-取费表'!B3</f>
        <v>万元</v>
      </c>
      <c r="I19" s="2691"/>
      <c r="J19" s="2766"/>
    </row>
    <row r="20" spans="1:36" ht="15">
      <c r="A20" s="2644"/>
      <c r="B20" s="1622" t="s">
        <v>1497</v>
      </c>
      <c r="C20" s="1847">
        <f ca="1">SUMIF(INDIRECT("'"&amp;C4&amp;"'"&amp;"!A:A"),结果表!B20,INDIRECT("'"&amp;C4&amp;"'"&amp;"!B:B"))</f>
        <v>32610</v>
      </c>
      <c r="D20" s="1850">
        <f ca="1">SUMIF(INDIRECT("'"&amp;D4&amp;"'"&amp;"!A:A"),结果表!B20,INDIRECT("'"&amp;D4&amp;"'"&amp;"!B:B"))</f>
        <v>29296</v>
      </c>
      <c r="E20" s="2644"/>
      <c r="F20" s="1622" t="s">
        <v>1497</v>
      </c>
      <c r="G20" s="2021">
        <f ca="1">ROUND(C20*$C$18+D20*$D$18,0)</f>
        <v>30953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0.1132075471698113</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504</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445</v>
      </c>
      <c r="D34" s="2668">
        <f ca="1">IF(D33="自定义",ROUND(C34/C32,3),1-D35)</f>
        <v>0.88200000000000001</v>
      </c>
      <c r="E34" s="1363" t="s">
        <v>1510</v>
      </c>
      <c r="F34" s="2669">
        <v>2000</v>
      </c>
      <c r="G34" s="905"/>
      <c r="H34" s="905"/>
      <c r="I34" s="905"/>
      <c r="J34" s="2765"/>
    </row>
    <row r="35" spans="1:17" ht="15.75" thickBot="1">
      <c r="A35" s="1395"/>
      <c r="B35" s="2670" t="s">
        <v>1511</v>
      </c>
      <c r="C35" s="2671">
        <f ca="1">IF(D33="自定义",F35,ROUND(C32*D35,0))</f>
        <v>59</v>
      </c>
      <c r="D35" s="2672">
        <f ca="1">IF(D33="自定义",ROUND(C35/C32,3),IF(D33="成本法成本比率",成本法!C56,IF(D33="收益法收益比率",收益法!J38,收益法!J41)))</f>
        <v>0.11799999999999999</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504</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44707</v>
      </c>
      <c r="O47" s="3430"/>
      <c r="P47" s="3430"/>
      <c r="Q47" s="1236"/>
    </row>
    <row r="48" spans="1:17" ht="25.5">
      <c r="A48" s="3503" t="s">
        <v>1536</v>
      </c>
      <c r="B48" s="3437"/>
      <c r="C48" s="3437"/>
      <c r="D48" s="12">
        <f ca="1">IF(H48="情况1",0,IF(H48="情况2",D52,IF(H48="情况3",D53,IF(H48="情况4",D54))))</f>
        <v>27</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8" t="s">
        <v>2508</v>
      </c>
      <c r="M48" s="3428"/>
      <c r="N48" s="3429">
        <f ca="1">I102</f>
        <v>504</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27</v>
      </c>
      <c r="E52" s="2020" t="s">
        <v>1553</v>
      </c>
      <c r="F52" s="2493">
        <f>'数据-取费表'!E29</f>
        <v>5.6000000000000001E-2</v>
      </c>
      <c r="G52" s="2494"/>
      <c r="H52" s="905"/>
      <c r="I52" s="2898"/>
      <c r="J52" s="2773"/>
      <c r="K52" s="2454">
        <v>1</v>
      </c>
      <c r="L52" s="3417" t="s">
        <v>2515</v>
      </c>
      <c r="M52" s="3417"/>
      <c r="N52" s="2456">
        <f ca="1">D48</f>
        <v>27</v>
      </c>
      <c r="O52" s="2454" t="str">
        <f>E48</f>
        <v>销售额×税（费）率</v>
      </c>
      <c r="P52" s="2457">
        <f>F48</f>
        <v>5.6000000000000001E-2</v>
      </c>
      <c r="Q52" s="1236"/>
    </row>
    <row r="53" spans="1:17" ht="12" customHeight="1">
      <c r="A53" s="2010" t="s">
        <v>1555</v>
      </c>
      <c r="B53" s="3488" t="s">
        <v>2593</v>
      </c>
      <c r="C53" s="3477"/>
      <c r="D53" s="1028">
        <f ca="1">ROUND(D45*'数据-取费表'!E29/(1+'数据-取费表'!F30),0)</f>
        <v>27</v>
      </c>
      <c r="E53" s="2020" t="s">
        <v>1553</v>
      </c>
      <c r="F53" s="2493">
        <f>'数据-取费表'!E29</f>
        <v>5.6000000000000001E-2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27</v>
      </c>
      <c r="E54" s="264" t="s">
        <v>1558</v>
      </c>
      <c r="F54" s="2493">
        <f>'数据-取费表'!E29</f>
        <v>5.6000000000000001E-2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27</v>
      </c>
      <c r="P57" s="2465"/>
      <c r="Q57" s="1234" t="e">
        <f ca="1">O57/N49</f>
        <v>#VALUE!</v>
      </c>
    </row>
    <row r="58" spans="1:17" ht="24.75">
      <c r="A58" s="2010" t="s">
        <v>1551</v>
      </c>
      <c r="B58" s="3488" t="s">
        <v>1569</v>
      </c>
      <c r="C58" s="3476"/>
      <c r="D58" s="12">
        <f ca="1">IF(H58="转让取得",C81,C97)</f>
        <v>285</v>
      </c>
      <c r="E58" s="2020" t="s">
        <v>1564</v>
      </c>
      <c r="F58" s="235" t="s">
        <v>48</v>
      </c>
      <c r="G58" s="2494"/>
      <c r="H58" s="2496" t="s">
        <v>1570</v>
      </c>
      <c r="I58" s="2900"/>
      <c r="J58" s="2773"/>
      <c r="K58" s="3417"/>
      <c r="L58" s="3417"/>
      <c r="M58" s="2462" t="s">
        <v>2520</v>
      </c>
      <c r="N58" s="2466"/>
      <c r="O58" s="2467" t="str">
        <f ca="1">IF(H19="元",NUMBERSTRING(INT(O57),2)&amp;"元整",NUMBERSTRING(INT(O57*10000),2)&amp;"元整")</f>
        <v>贰拾柒万元整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1"/>
      <c r="L60" s="3417"/>
      <c r="M60" s="2462" t="s">
        <v>2520</v>
      </c>
      <c r="N60" s="2466"/>
      <c r="O60" s="2467" t="e">
        <f ca="1">IF(H19="元",NUMBERSTRING(INT(O59),2)&amp;"元整",NUMBERSTRING(INT(O59*10000),2)&amp;"元整")</f>
        <v>#VALUE!</v>
      </c>
      <c r="P60" s="2468"/>
      <c r="Q60" s="1236"/>
    </row>
    <row r="61" spans="1:17" ht="13.5" thickBot="1">
      <c r="A61" s="3506" t="s">
        <v>1574</v>
      </c>
      <c r="B61" s="3506"/>
      <c r="C61" s="3506"/>
      <c r="D61" s="3506"/>
      <c r="E61" s="3506"/>
      <c r="F61" s="2901"/>
      <c r="G61" s="2901"/>
      <c r="H61" s="2903"/>
      <c r="I61" s="31"/>
      <c r="K61" s="2454">
        <f>K59+1</f>
        <v>6</v>
      </c>
      <c r="L61" s="3417" t="s">
        <v>2522</v>
      </c>
      <c r="M61" s="3417"/>
      <c r="N61" s="2472"/>
      <c r="O61" s="2473" t="e">
        <f ca="1">IF(H19="元",ROUND(O59/项目基本情况!C12,0),ROUND(O59*10000/项目基本情况!C12,0))</f>
        <v>#VALUE!</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480</v>
      </c>
      <c r="D63" s="47"/>
      <c r="E63" s="48"/>
      <c r="F63" s="2901"/>
      <c r="G63" s="2901"/>
      <c r="H63" s="2903"/>
      <c r="I63" s="31"/>
      <c r="K63" s="343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504</v>
      </c>
      <c r="D64" s="50" t="s">
        <v>41</v>
      </c>
      <c r="E64" s="52"/>
      <c r="F64" s="2901"/>
      <c r="G64" s="2901"/>
      <c r="H64" s="2903"/>
      <c r="I64" s="31"/>
      <c r="K64" s="343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6"/>
      <c r="L66" s="2476" t="s">
        <v>2528</v>
      </c>
      <c r="M66" s="2476" t="e">
        <f>N49*0.5%</f>
        <v>#VALUE!</v>
      </c>
      <c r="N66" s="2477" t="e">
        <f>IF(M66&gt;0.5,0.5,ROUND(M66,0))</f>
        <v>#VALUE!</v>
      </c>
      <c r="O66" s="2475" t="s">
        <v>2529</v>
      </c>
      <c r="P66" s="2475"/>
      <c r="Q66" s="1236"/>
    </row>
    <row r="67" spans="1:36" ht="12.75">
      <c r="A67" s="53" t="s">
        <v>42</v>
      </c>
      <c r="B67" s="54" t="s">
        <v>1591</v>
      </c>
      <c r="C67" s="2708">
        <f ca="1">C63-C66</f>
        <v>480</v>
      </c>
      <c r="D67" s="50" t="s">
        <v>41</v>
      </c>
      <c r="E67" s="52"/>
      <c r="F67" s="2901"/>
      <c r="G67" s="2901"/>
      <c r="H67" s="2903"/>
      <c r="I67" s="31"/>
      <c r="K67" s="343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27</v>
      </c>
      <c r="D68" s="2170">
        <f>'数据-取费表'!E29</f>
        <v>5.6000000000000001E-2</v>
      </c>
      <c r="E68" s="57"/>
      <c r="F68" s="2901"/>
      <c r="G68" s="2901"/>
      <c r="H68" s="2903"/>
      <c r="I68" s="31"/>
      <c r="K68" s="343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480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6.000000000000001E-3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477</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285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480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6.000000000000001E-3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477</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285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比较法-办公</v>
      </c>
      <c r="D100" s="2727" t="str">
        <f>D4</f>
        <v>收益法</v>
      </c>
      <c r="E100" s="1389"/>
      <c r="F100" s="3461" t="s">
        <v>2537</v>
      </c>
      <c r="G100" s="3463"/>
      <c r="H100" s="3461" t="s">
        <v>2538</v>
      </c>
      <c r="I100" s="3462"/>
      <c r="J100" s="2780"/>
    </row>
    <row r="101" spans="1:36" ht="12.75">
      <c r="A101" s="3478" t="s">
        <v>2570</v>
      </c>
      <c r="B101" s="2235" t="str">
        <f>IF(H19="元","总价（元）","总价（万元）")</f>
        <v>总价（万元）</v>
      </c>
      <c r="C101" s="1235">
        <f ca="1">C19</f>
        <v>531</v>
      </c>
      <c r="D101" s="2727">
        <f ca="1">D19</f>
        <v>477</v>
      </c>
      <c r="E101" s="1389"/>
      <c r="F101" s="3461" t="str">
        <f>项目基本情况!I1</f>
        <v>北京市房地产</v>
      </c>
      <c r="G101" s="3463"/>
      <c r="H101" s="3465">
        <f>项目基本情况!C12</f>
        <v>162.71</v>
      </c>
      <c r="I101" s="3462"/>
      <c r="J101" s="2780"/>
    </row>
    <row r="102" spans="1:36" ht="12.75">
      <c r="A102" s="3478"/>
      <c r="B102" s="2235" t="s">
        <v>2571</v>
      </c>
      <c r="C102" s="2728">
        <f ca="1">C20</f>
        <v>32610</v>
      </c>
      <c r="D102" s="2729">
        <f ca="1">D20</f>
        <v>29296</v>
      </c>
      <c r="E102" s="1389"/>
      <c r="F102" s="3448" t="s">
        <v>2567</v>
      </c>
      <c r="G102" s="3449"/>
      <c r="H102" s="2737" t="str">
        <f>C106</f>
        <v>总价（万元）</v>
      </c>
      <c r="I102" s="2738">
        <f ca="1">H121</f>
        <v>504</v>
      </c>
      <c r="J102" s="2780"/>
    </row>
    <row r="103" spans="1:36" ht="12.75">
      <c r="A103" s="3478" t="s">
        <v>2572</v>
      </c>
      <c r="B103" s="2173" t="str">
        <f>B101</f>
        <v>总价（万元）</v>
      </c>
      <c r="C103" s="2732">
        <f ca="1">H121</f>
        <v>504</v>
      </c>
      <c r="D103" s="2730"/>
      <c r="E103" s="1389"/>
      <c r="F103" s="3448"/>
      <c r="G103" s="3449"/>
      <c r="H103" s="2737" t="s">
        <v>2540</v>
      </c>
      <c r="I103" s="52">
        <f ca="1">I121</f>
        <v>30975</v>
      </c>
      <c r="J103" s="2764"/>
    </row>
    <row r="104" spans="1:36" ht="13.5" thickBot="1">
      <c r="A104" s="3479"/>
      <c r="B104" s="2734" t="s">
        <v>2571</v>
      </c>
      <c r="C104" s="2735">
        <f ca="1">I121</f>
        <v>30975</v>
      </c>
      <c r="D104" s="2736"/>
      <c r="E104" s="1389"/>
      <c r="F104" s="3448"/>
      <c r="G104" s="3449"/>
      <c r="H104" s="3480"/>
      <c r="I104" s="3481"/>
      <c r="J104" s="2781"/>
    </row>
    <row r="105" spans="1:36" ht="15">
      <c r="A105" s="3442" t="s">
        <v>1633</v>
      </c>
      <c r="B105" s="3443"/>
      <c r="C105" s="3443"/>
      <c r="D105" s="3444"/>
      <c r="E105" s="1389"/>
      <c r="F105" s="3484" t="s">
        <v>2541</v>
      </c>
      <c r="G105" s="3485"/>
      <c r="H105" s="2739" t="str">
        <f>C108</f>
        <v>总额（万元）</v>
      </c>
      <c r="I105" s="2738">
        <f>SUMIF(I106:I108,"&lt;9E307")</f>
        <v>0</v>
      </c>
      <c r="J105" s="2780"/>
    </row>
    <row r="106" spans="1:36" ht="14.25">
      <c r="A106" s="3448" t="s">
        <v>2564</v>
      </c>
      <c r="B106" s="3449"/>
      <c r="C106" s="2737" t="str">
        <f>B101</f>
        <v>总价（万元）</v>
      </c>
      <c r="D106" s="2738">
        <f ca="1">H121</f>
        <v>504</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30975</v>
      </c>
      <c r="E107" s="1389"/>
      <c r="F107" s="3450" t="s">
        <v>2543</v>
      </c>
      <c r="G107" s="3451"/>
      <c r="H107" s="2739" t="str">
        <f>C110</f>
        <v>总额（万元）</v>
      </c>
      <c r="I107" s="52">
        <f>C37</f>
        <v>0</v>
      </c>
      <c r="J107" s="2764"/>
    </row>
    <row r="108" spans="1:36" ht="12.75">
      <c r="A108" s="3519" t="s">
        <v>2541</v>
      </c>
      <c r="B108" s="3520"/>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504</v>
      </c>
      <c r="J110" s="2780"/>
    </row>
    <row r="111" spans="1:36" ht="12.75">
      <c r="A111" s="3450" t="s">
        <v>2545</v>
      </c>
      <c r="B111" s="3451"/>
      <c r="C111" s="2739" t="str">
        <f>C108</f>
        <v>总额（万元）</v>
      </c>
      <c r="D111" s="52">
        <f>C38</f>
        <v>0</v>
      </c>
      <c r="E111" s="1389"/>
      <c r="F111" s="3433"/>
      <c r="G111" s="3434"/>
      <c r="H111" s="2737" t="s">
        <v>2540</v>
      </c>
      <c r="I111" s="2741">
        <f ca="1">D113</f>
        <v>30975</v>
      </c>
      <c r="J111" s="2783"/>
    </row>
    <row r="112" spans="1:36" ht="26.25" customHeight="1">
      <c r="A112" s="3448" t="str">
        <f>IF(项目基本情况!F5="已注销","——","3.房地产抵押价值")</f>
        <v>3.房地产抵押价值</v>
      </c>
      <c r="B112" s="3449"/>
      <c r="C112" s="2737" t="str">
        <f>B101</f>
        <v>总价（万元）</v>
      </c>
      <c r="D112" s="2738">
        <f ca="1">IF(A112="——","——",D106-D108)</f>
        <v>504</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30975</v>
      </c>
      <c r="E113" s="1389"/>
      <c r="F113" s="3433"/>
      <c r="G113" s="3434"/>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（以上估价结果中单价为总价除以建筑面积得出）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2551</v>
      </c>
      <c r="B119" s="3439" t="s">
        <v>2561</v>
      </c>
      <c r="C119" s="3439" t="s">
        <v>2562</v>
      </c>
      <c r="D119" s="3446" t="s">
        <v>2553</v>
      </c>
      <c r="E119" s="3447"/>
      <c r="F119" s="3437" t="s">
        <v>2563</v>
      </c>
      <c r="G119" s="3437"/>
      <c r="H119" s="3437" t="s">
        <v>2554</v>
      </c>
      <c r="I119" s="3438"/>
      <c r="J119" s="2764"/>
    </row>
    <row r="120" spans="1:16" ht="12.75">
      <c r="A120" s="3441"/>
      <c r="B120" s="3440"/>
      <c r="C120" s="344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162.71</v>
      </c>
      <c r="C121" s="2020">
        <f>项目基本情况!C13</f>
        <v>0</v>
      </c>
      <c r="D121" s="2020">
        <f ca="1">ROUND(IF(B32="总价",C34,IF('数据-取费表'!B3="万元",E121*B121/10000,E121*B121)),0)</f>
        <v>445</v>
      </c>
      <c r="E121" s="2020">
        <f ca="1">ROUND(IF(B32="楼面单价",C34,IF(H19="元",D121/B121,D121*10000/B121)),0)</f>
        <v>27349</v>
      </c>
      <c r="F121" s="2020">
        <f ca="1">ROUND(IF(B32="总价",C35,IF('数据-取费表'!B3="万元",G121*B121/10000,G121*B121)),0)</f>
        <v>59</v>
      </c>
      <c r="G121" s="2020">
        <f ca="1">ROUND(IF(B32="楼面单价",C35,IF(H19="元",F121/B121,F121*10000/B121)),0)</f>
        <v>3626</v>
      </c>
      <c r="H121" s="2020">
        <f ca="1">ROUND(IF(B32="总价",C32,IF('数据-取费表'!B3="万元",I121*B121/10000,I121*B121)),0)</f>
        <v>504</v>
      </c>
      <c r="I121" s="52">
        <f ca="1">ROUND(IF(B32="楼面单价",C32,IF(H19="元",H121/B121,H121*10000/B121)),0)</f>
        <v>30975</v>
      </c>
      <c r="J121" s="2764"/>
    </row>
    <row r="122" spans="1:16" ht="12.75">
      <c r="A122" s="3441" t="s">
        <v>2557</v>
      </c>
      <c r="B122" s="3437"/>
      <c r="C122" s="3437"/>
      <c r="D122" s="3472" t="str">
        <f ca="1">IF(H19="元",NUMBERSTRING(INT(D121),2)&amp;"元整",NUMBERSTRING(INT(D121*10000),2)&amp;"元整")</f>
        <v>肆佰肆拾伍万元整</v>
      </c>
      <c r="E122" s="3473"/>
      <c r="F122" s="3472" t="str">
        <f ca="1">IF(H19="元",NUMBERSTRING(INT(F121),2)&amp;"元整",NUMBERSTRING(INT(F121*10000),2)&amp;"元整")</f>
        <v>伍拾玖万元整</v>
      </c>
      <c r="G122" s="3473"/>
      <c r="H122" s="3472" t="str">
        <f ca="1">IF(H19="元",NUMBERSTRING(INT(H121),2)&amp;"元整",NUMBERSTRING(INT(H121*10000),2)&amp;"元整")</f>
        <v>伍佰零肆万元整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2557</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504</v>
      </c>
      <c r="E125" s="3474"/>
      <c r="F125" s="3474"/>
      <c r="G125" s="3474"/>
      <c r="H125" s="3474"/>
      <c r="I125" s="3462"/>
      <c r="J125" s="2780"/>
    </row>
    <row r="126" spans="1:16" ht="12.75">
      <c r="A126" s="3441" t="s">
        <v>2557</v>
      </c>
      <c r="B126" s="3437"/>
      <c r="C126" s="3437"/>
      <c r="D126" s="3513">
        <f ca="1">I111</f>
        <v>30975</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2557</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2557</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（以上估价结果中楼面单价为总价除以建筑面积得出）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2576</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44707</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5.6000000000000001E-2</v>
      </c>
      <c r="G54" s="2494"/>
      <c r="H54" s="905"/>
      <c r="I54" s="2898"/>
      <c r="J54" s="2773"/>
      <c r="K54" s="2431">
        <v>1</v>
      </c>
      <c r="L54" s="3529" t="s">
        <v>1554</v>
      </c>
      <c r="M54" s="3529"/>
      <c r="N54" s="2433">
        <f>D50</f>
        <v>0</v>
      </c>
      <c r="O54" s="2431" t="str">
        <f>E50</f>
        <v>销售额×税（费）率</v>
      </c>
      <c r="P54" s="2434">
        <f>F50</f>
        <v>5.6000000000000001E-2</v>
      </c>
    </row>
    <row r="55" spans="1:17" ht="12" customHeight="1">
      <c r="A55" s="2010" t="s">
        <v>1555</v>
      </c>
      <c r="B55" s="3488" t="s">
        <v>2593</v>
      </c>
      <c r="C55" s="3477"/>
      <c r="D55" s="1028">
        <f>ROUND(D47*'数据-取费表'!E29/(1+'数据-取费表'!F30),0)</f>
        <v>0</v>
      </c>
      <c r="E55" s="2020" t="s">
        <v>1553</v>
      </c>
      <c r="F55" s="2493">
        <f>'数据-取费表'!E29</f>
        <v>5.6000000000000001E-2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5.6000000000000001E-2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#VALUE!</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t="e">
        <f>N51-O59</f>
        <v>#VALUE!</v>
      </c>
      <c r="P61" s="2448"/>
    </row>
    <row r="62" spans="1:17" ht="12" customHeight="1">
      <c r="A62" s="1385"/>
      <c r="B62" s="2481"/>
      <c r="C62" s="2481"/>
      <c r="D62" s="2481"/>
      <c r="E62" s="1385"/>
      <c r="F62" s="2900"/>
      <c r="G62" s="2900"/>
      <c r="H62" s="2895"/>
      <c r="I62" s="905"/>
      <c r="J62" s="2773"/>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t="e">
        <f>IF(H19="元",ROUND(O61/项目基本情况!C12,0),ROUND(O61*10000/项目基本情况!C12,0))</f>
        <v>#VALUE!</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2.75">
      <c r="A103" s="3545" t="s">
        <v>2532</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2533</v>
      </c>
      <c r="C104" s="2728" t="e">
        <f ca="1">C20</f>
        <v>#REF!</v>
      </c>
      <c r="D104" s="2729" t="e">
        <f ca="1">D20</f>
        <v>#REF!</v>
      </c>
      <c r="E104" s="1389"/>
      <c r="F104" s="3448" t="s">
        <v>2539</v>
      </c>
      <c r="G104" s="3449"/>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2.75">
      <c r="A107" s="3552" t="s">
        <v>2535</v>
      </c>
      <c r="B107" s="2731" t="str">
        <f>B103</f>
        <v>总价（万元）</v>
      </c>
      <c r="C107" s="2732">
        <f>H125</f>
        <v>0</v>
      </c>
      <c r="D107" s="2733"/>
      <c r="E107" s="1389"/>
      <c r="F107" s="3484" t="s">
        <v>2541</v>
      </c>
      <c r="G107" s="3485"/>
      <c r="H107" s="2739" t="str">
        <f>C112</f>
        <v>总额（万元）</v>
      </c>
      <c r="I107" s="2738">
        <f>SUMIF(I108:I110,"&lt;9E307")</f>
        <v>0</v>
      </c>
      <c r="J107" s="2780"/>
    </row>
    <row r="108" spans="1:36" ht="15" thickBot="1">
      <c r="A108" s="3479"/>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433"/>
      <c r="G113" s="3434"/>
      <c r="H113" s="2737" t="s">
        <v>2540</v>
      </c>
      <c r="I113" s="2741" t="e">
        <f>D117</f>
        <v>#DIV/0!</v>
      </c>
      <c r="J113" s="2783"/>
    </row>
    <row r="114" spans="1:27" ht="12.75">
      <c r="A114" s="3450" t="s">
        <v>2549</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2550</v>
      </c>
      <c r="B115" s="3451"/>
      <c r="C115" s="2739" t="str">
        <f>C112</f>
        <v>总额（万元）</v>
      </c>
      <c r="D115" s="52">
        <f>C40</f>
        <v>0</v>
      </c>
      <c r="E115" s="1389"/>
      <c r="F115" s="3433"/>
      <c r="G115" s="3434"/>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183</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11235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32542</v>
      </c>
      <c r="D10" s="1101">
        <f>IF('数据-取费表'!B10&lt;&gt;"住宅",IF(B1="仅计算典型户型",'数据-取费表'!E5,'数据-取费表'!B5),0)</f>
        <v>162.71</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32542</v>
      </c>
      <c r="D19" s="1104">
        <f>IF(B1="仅计算典型户型",'数据-取费表'!E5,'数据-取费表'!B5)</f>
        <v>162.71</v>
      </c>
      <c r="E19" s="111">
        <f>'数据-取费表'!E15</f>
        <v>200</v>
      </c>
      <c r="F19" s="112"/>
      <c r="G19" s="1446"/>
    </row>
    <row r="20" spans="1:123" s="91" customFormat="1" ht="13.5" customHeight="1">
      <c r="A20" s="120" t="s">
        <v>1702</v>
      </c>
      <c r="B20" s="89" t="s">
        <v>1703</v>
      </c>
      <c r="C20" s="99">
        <f>ROUND((C5+C19)*F20,0)</f>
        <v>21261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92064</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2791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0</v>
      </c>
      <c r="D27" s="101">
        <f>C29</f>
        <v>0</v>
      </c>
      <c r="E27" s="102" t="s">
        <v>1707</v>
      </c>
      <c r="F27" s="112">
        <f>'数据-取费表'!E28</f>
        <v>0</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1270512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639043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569485</v>
      </c>
      <c r="D34" s="1096"/>
      <c r="E34" s="115"/>
      <c r="F34" s="1107" t="str">
        <f>IF('数据-取费表'!B26=0,"",'数据-取费表'!E20)</f>
        <v/>
      </c>
      <c r="G34" s="95"/>
    </row>
    <row r="35" spans="1:123" ht="13.5" customHeight="1">
      <c r="A35" s="92" t="s">
        <v>1685</v>
      </c>
      <c r="B35" s="93" t="s">
        <v>1734</v>
      </c>
      <c r="C35" s="115">
        <f>ROUND(C34*F35,0)</f>
        <v>28474</v>
      </c>
      <c r="D35" s="115"/>
      <c r="E35" s="115"/>
      <c r="F35" s="1108">
        <f>'数据-取费表'!E21</f>
        <v>0.05</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32542</v>
      </c>
      <c r="D37" s="1096">
        <f>IF(B1="仅计算典型户型",'数据-取费表'!E5,'数据-取费表'!B5)</f>
        <v>162.71</v>
      </c>
      <c r="E37" s="115">
        <f>'数据-取费表'!E23</f>
        <v>200</v>
      </c>
      <c r="F37" s="1108"/>
      <c r="G37" s="124" t="s">
        <v>1739</v>
      </c>
    </row>
    <row r="38" spans="1:123" ht="13.5" customHeight="1">
      <c r="A38" s="92" t="s">
        <v>1740</v>
      </c>
      <c r="B38" s="93" t="s">
        <v>1741</v>
      </c>
      <c r="C38" s="115">
        <f>ROUND(C34*F38,0)</f>
        <v>8542</v>
      </c>
      <c r="D38" s="115"/>
      <c r="E38" s="115"/>
      <c r="F38" s="1108">
        <f>'数据-取费表'!E24</f>
        <v>1.4999999999999999E-2</v>
      </c>
      <c r="G38" s="95" t="s">
        <v>1735</v>
      </c>
    </row>
    <row r="39" spans="1:123" s="91" customFormat="1" ht="13.5" customHeight="1">
      <c r="A39" s="120" t="s">
        <v>1700</v>
      </c>
      <c r="B39" s="89" t="s">
        <v>1703</v>
      </c>
      <c r="C39" s="99">
        <f>ROUND(C33*F20,0)</f>
        <v>12781</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27377</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26840</v>
      </c>
      <c r="D42" s="104"/>
      <c r="E42" s="104"/>
      <c r="F42" s="105"/>
      <c r="G42" s="3554" t="s">
        <v>1745</v>
      </c>
    </row>
    <row r="43" spans="1:123" ht="13.5" customHeight="1">
      <c r="A43" s="92" t="s">
        <v>1685</v>
      </c>
      <c r="B43" s="93" t="s">
        <v>1714</v>
      </c>
      <c r="C43" s="104">
        <f ca="1">ROUND(IF('数据-取费表'!B24&lt;=1,C39*F22*'数据-取费表'!B23/2,C39*(POWER((1+F22),'数据-取费表'!B23/2)-1)),0)</f>
        <v>537</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0</v>
      </c>
      <c r="D45" s="101">
        <f>C47</f>
        <v>0</v>
      </c>
      <c r="E45" s="102" t="s">
        <v>1743</v>
      </c>
      <c r="F45" s="2807">
        <f>F27</f>
        <v>0</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733558</v>
      </c>
      <c r="D49" s="99"/>
      <c r="E49" s="99"/>
      <c r="F49" s="126"/>
      <c r="G49" s="100" t="s">
        <v>1753</v>
      </c>
    </row>
    <row r="50" spans="1:123" s="122" customFormat="1" ht="24">
      <c r="A50" s="952" t="s">
        <v>1754</v>
      </c>
      <c r="B50" s="89" t="s">
        <v>1755</v>
      </c>
      <c r="C50" s="99"/>
      <c r="D50" s="99"/>
      <c r="E50" s="99"/>
      <c r="F50" s="126">
        <f>IF('数据-取费表'!B26=0,'数据-取费表'!E20,1)</f>
        <v>0.76</v>
      </c>
      <c r="G50" s="113" t="s">
        <v>1756</v>
      </c>
    </row>
    <row r="51" spans="1:123" ht="16.5" customHeight="1">
      <c r="A51" s="952" t="s">
        <v>1757</v>
      </c>
      <c r="B51" s="89" t="s">
        <v>1758</v>
      </c>
      <c r="C51" s="99">
        <f ca="1">ROUND(C49*F50,0)</f>
        <v>557504</v>
      </c>
      <c r="D51" s="99"/>
      <c r="E51" s="99"/>
      <c r="F51" s="126"/>
      <c r="G51" s="100" t="s">
        <v>1759</v>
      </c>
    </row>
    <row r="52" spans="1:123" s="88" customFormat="1" ht="16.5" thickBot="1">
      <c r="A52" s="127" t="s">
        <v>1760</v>
      </c>
      <c r="B52" s="128"/>
      <c r="C52" s="129">
        <f ca="1">C31+C51</f>
        <v>1828016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0.30499999999999999</v>
      </c>
    </row>
    <row r="57" spans="1:123">
      <c r="B57" s="135" t="s">
        <v>1763</v>
      </c>
      <c r="C57" s="137">
        <f ca="1">1-C56</f>
        <v>0.69500000000000006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v>
      </c>
      <c r="E28" s="189" t="s">
        <v>12</v>
      </c>
      <c r="F28" s="200">
        <f>'数据-取费表'!E28</f>
        <v>0</v>
      </c>
      <c r="G28" s="185"/>
      <c r="H28" s="186"/>
      <c r="I28" s="186"/>
      <c r="J28" s="186"/>
      <c r="K28" s="187"/>
    </row>
    <row r="29" spans="1:33" s="204" customFormat="1" ht="13.5" customHeight="1">
      <c r="A29" s="954" t="s">
        <v>1102</v>
      </c>
      <c r="B29" s="202" t="s">
        <v>1103</v>
      </c>
      <c r="C29" s="193">
        <f>ROUND((1+C24)*F28,4)</f>
        <v>0</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E41" sqref="E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477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29296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321102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320701</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162.71</v>
      </c>
      <c r="G7" s="909"/>
      <c r="H7" s="237"/>
      <c r="I7" s="238"/>
      <c r="J7" s="239"/>
      <c r="K7" s="240"/>
      <c r="L7" s="235" t="s">
        <v>1777</v>
      </c>
      <c r="M7" s="236">
        <f>IF('数据-取费表'!B42="",IF(D1="仅计算典型户型",'数据-取费表'!E5,'数据-取费表'!B5),'数据-取费表'!B42)</f>
        <v>162.71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401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557504</v>
      </c>
      <c r="D13" s="1023" t="s">
        <v>1791</v>
      </c>
      <c r="E13" s="1023" t="s">
        <v>1792</v>
      </c>
      <c r="F13" s="1024">
        <f>'数据-取费表'!E20</f>
        <v>0.76</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569485</v>
      </c>
      <c r="D14" s="1256" t="s">
        <v>1795</v>
      </c>
      <c r="E14" s="1257"/>
      <c r="F14" s="757"/>
      <c r="G14" s="910"/>
      <c r="H14" s="253" t="s">
        <v>1774</v>
      </c>
      <c r="I14" s="235" t="s">
        <v>1796</v>
      </c>
      <c r="J14" s="13">
        <f ca="1">C29</f>
        <v>733558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28474</v>
      </c>
      <c r="D15" s="255" t="s">
        <v>1799</v>
      </c>
      <c r="E15" s="255" t="s">
        <v>1800</v>
      </c>
      <c r="F15" s="256">
        <f>'数据-取费表'!E21</f>
        <v>0.05</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17165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32542</v>
      </c>
      <c r="D17" s="235" t="s">
        <v>1809</v>
      </c>
      <c r="E17" s="235" t="s">
        <v>1810</v>
      </c>
      <c r="F17" s="15">
        <f>'数据-取费表'!E23</f>
        <v>200</v>
      </c>
      <c r="G17" s="910"/>
      <c r="H17" s="253" t="s">
        <v>1811</v>
      </c>
      <c r="I17" s="235" t="s">
        <v>1812</v>
      </c>
      <c r="J17" s="2745">
        <f ca="1">ROUND(IF(AND(项目基本情况!B7="自然人",项目基本情况!B6="北京市"),J6*M17/(1+'数据-取费表'!F30),J18+J19+J20),0)</f>
        <v>6162</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8542</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639043</v>
      </c>
      <c r="D19" s="33" t="s">
        <v>1820</v>
      </c>
      <c r="E19" s="1261"/>
      <c r="F19" s="15"/>
      <c r="G19" s="910"/>
      <c r="H19" s="253" t="s">
        <v>1797</v>
      </c>
      <c r="I19" s="235" t="s">
        <v>1821</v>
      </c>
      <c r="J19" s="13">
        <f ca="1">IF(项目基本情况!B7="自然人","——",IF(K19="按租金收入计税",ROUND(J6*M19/(1+'数据-取费表'!F30),0),ROUND(C29*M19*0.7,0)))</f>
        <v>6162</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12781</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11003</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27377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-17165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0</v>
      </c>
      <c r="D26" s="259" t="s">
        <v>1853</v>
      </c>
      <c r="E26" s="246" t="s">
        <v>1854</v>
      </c>
      <c r="F26" s="245">
        <f>'数据-取费表'!E28</f>
        <v>0</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0</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733558</v>
      </c>
      <c r="D29" s="1034"/>
      <c r="E29" s="1032"/>
      <c r="F29" s="1035"/>
      <c r="G29" s="652"/>
      <c r="H29" s="271" t="s">
        <v>24</v>
      </c>
      <c r="I29" s="272" t="s">
        <v>1869</v>
      </c>
      <c r="J29" s="273">
        <f ca="1">ROUND(J26/(1+F40)^F41,0)</f>
        <v>0</v>
      </c>
      <c r="K29" s="274" t="s">
        <v>1870</v>
      </c>
      <c r="L29" s="275"/>
      <c r="M29" s="276">
        <f>IF(D1="仅计算典型户型",'数据-取费表'!E5,'数据-取费表'!B5)</f>
        <v>162.71</v>
      </c>
    </row>
    <row r="30" spans="1:37" ht="18" customHeight="1" thickTop="1">
      <c r="A30" s="1021" t="s">
        <v>14</v>
      </c>
      <c r="B30" s="1022" t="s">
        <v>1871</v>
      </c>
      <c r="C30" s="243">
        <f ca="1">ROUND(C31+C36+C37+C38,0)</f>
        <v>72017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53756</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17104</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36652</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47388</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8.5000000000000006E-2</v>
      </c>
      <c r="K35" s="902"/>
      <c r="L35" s="901"/>
      <c r="M35" s="901"/>
    </row>
    <row r="36" spans="1:18" ht="18" customHeight="1">
      <c r="A36" s="1018" t="s">
        <v>1781</v>
      </c>
      <c r="B36" s="235" t="s">
        <v>1880</v>
      </c>
      <c r="C36" s="13">
        <f ca="1">ROUND(C29*F36,0)</f>
        <v>11003</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836</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6422</v>
      </c>
      <c r="D38" s="1034" t="s">
        <v>1846</v>
      </c>
      <c r="E38" s="1032" t="s">
        <v>1842</v>
      </c>
      <c r="F38" s="1027">
        <f>'数据-取费表'!B47</f>
        <v>0.02</v>
      </c>
      <c r="G38" s="652"/>
      <c r="H38" s="901"/>
      <c r="I38" s="280" t="s">
        <v>1884</v>
      </c>
      <c r="J38" s="136">
        <f ca="1">ROUND(J34/C39,3)</f>
        <v>0.19</v>
      </c>
      <c r="K38" s="906"/>
      <c r="L38" s="901"/>
      <c r="M38" s="901"/>
    </row>
    <row r="39" spans="1:18" ht="18" customHeight="1" thickTop="1">
      <c r="A39" s="1021" t="s">
        <v>22</v>
      </c>
      <c r="B39" s="1036" t="s">
        <v>1885</v>
      </c>
      <c r="C39" s="243">
        <f ca="1">C5-C30</f>
        <v>249085</v>
      </c>
      <c r="D39" s="1037" t="s">
        <v>1886</v>
      </c>
      <c r="E39" s="1038"/>
      <c r="F39" s="1039"/>
      <c r="G39" s="652"/>
      <c r="H39" s="901"/>
      <c r="I39" s="280" t="s">
        <v>1887</v>
      </c>
      <c r="J39" s="136">
        <f ca="1">1-J38</f>
        <v>0.81</v>
      </c>
      <c r="K39" s="906"/>
      <c r="L39" s="901"/>
      <c r="M39" s="901"/>
    </row>
    <row r="40" spans="1:18" s="652" customFormat="1" ht="18" customHeight="1">
      <c r="A40" s="232" t="s">
        <v>23</v>
      </c>
      <c r="B40" s="233" t="s">
        <v>1888</v>
      </c>
      <c r="C40" s="234">
        <f ca="1">ROUND(C39*(1-((1+F42)/(1+F40))^F41)/(F40-F42),0)</f>
        <v>4734070</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26.88</v>
      </c>
      <c r="H41" s="908"/>
      <c r="I41" s="135" t="s">
        <v>1762</v>
      </c>
      <c r="J41" s="136">
        <f ca="1">ROUND(C13/C40,3)</f>
        <v>0.11799999999999999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0.88200000000000001</v>
      </c>
      <c r="K42" s="905"/>
      <c r="L42" s="908"/>
      <c r="M42" s="908"/>
      <c r="Q42" s="656"/>
    </row>
    <row r="43" spans="1:18" s="652" customFormat="1" ht="18" customHeight="1" thickBot="1">
      <c r="A43" s="271" t="s">
        <v>24</v>
      </c>
      <c r="B43" s="272" t="s">
        <v>1891</v>
      </c>
      <c r="C43" s="273">
        <f ca="1">ROUND(C40/F43,0)</f>
        <v>29095</v>
      </c>
      <c r="D43" s="274" t="s">
        <v>1892</v>
      </c>
      <c r="E43" s="275" t="s">
        <v>1893</v>
      </c>
      <c r="F43" s="276">
        <f>IF(D1="仅计算典型户型",'数据-取费表'!E5,'数据-取费表'!B5)</f>
        <v>162.71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4734070</v>
      </c>
      <c r="R45" s="1008" t="s">
        <v>1900</v>
      </c>
    </row>
    <row r="46" spans="1:18" s="652" customFormat="1" ht="18" customHeight="1" thickBot="1">
      <c r="A46" s="649"/>
      <c r="D46" s="649"/>
      <c r="E46" s="649"/>
      <c r="F46" s="649"/>
      <c r="K46" s="653"/>
      <c r="O46" s="1005" t="s">
        <v>768</v>
      </c>
      <c r="P46" s="1006" t="s">
        <v>1901</v>
      </c>
      <c r="Q46" s="1007">
        <f ca="1">J61</f>
        <v>32745</v>
      </c>
      <c r="R46" s="1008" t="s">
        <v>1902</v>
      </c>
    </row>
    <row r="47" spans="1:18" s="652" customFormat="1" ht="21.75" thickBot="1">
      <c r="A47" s="1455" t="s">
        <v>1903</v>
      </c>
      <c r="C47" s="950">
        <f ca="1">IF(C2="元",C69-C40,ROUND((C69-C40)/10000,0))</f>
        <v>-575</v>
      </c>
      <c r="D47" s="1456" t="str">
        <f>C2</f>
        <v>万元</v>
      </c>
      <c r="E47" s="649"/>
      <c r="F47" s="649"/>
      <c r="I47" s="1457" t="s">
        <v>1904</v>
      </c>
      <c r="J47" s="981"/>
      <c r="K47" s="982"/>
      <c r="L47" s="995">
        <f ca="1">IF(M48="住宅",0,IF(L49&gt;J52,L61,J61))</f>
        <v>32745</v>
      </c>
      <c r="O47" s="1009" t="s">
        <v>769</v>
      </c>
      <c r="P47" s="1006" t="s">
        <v>1905</v>
      </c>
      <c r="Q47" s="1007">
        <f ca="1">C29</f>
        <v>733558</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26.88</v>
      </c>
      <c r="O49" s="1009" t="s">
        <v>771</v>
      </c>
      <c r="P49" s="1006" t="s">
        <v>1917</v>
      </c>
      <c r="Q49" s="1010">
        <f>J53</f>
        <v>8.5000000000000006E-2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2000</v>
      </c>
      <c r="K50" s="1465" t="s">
        <v>1921</v>
      </c>
      <c r="L50" s="984"/>
      <c r="O50" s="1009" t="s">
        <v>772</v>
      </c>
      <c r="P50" s="1006" t="s">
        <v>1922</v>
      </c>
      <c r="Q50" s="1007">
        <f>J54</f>
        <v>26.88</v>
      </c>
      <c r="R50" s="1008" t="s">
        <v>1923</v>
      </c>
    </row>
    <row r="51" spans="1:18" s="652" customFormat="1" ht="15.75" thickBot="1">
      <c r="A51" s="237"/>
      <c r="B51" s="238"/>
      <c r="C51" s="239"/>
      <c r="D51" s="240"/>
      <c r="E51" s="255" t="s">
        <v>1777</v>
      </c>
      <c r="F51" s="943">
        <f>F7</f>
        <v>162.71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477</v>
      </c>
      <c r="R51" s="1008" t="s">
        <v>774</v>
      </c>
    </row>
    <row r="52" spans="1:18" s="652" customFormat="1" ht="16.5" thickBot="1">
      <c r="A52" s="237"/>
      <c r="B52" s="238"/>
      <c r="C52" s="239"/>
      <c r="D52" s="240"/>
      <c r="E52" s="235" t="s">
        <v>1779</v>
      </c>
      <c r="F52" s="236">
        <f>F8</f>
        <v>365</v>
      </c>
      <c r="I52" s="1466" t="s">
        <v>1926</v>
      </c>
      <c r="J52" s="986">
        <f>IF(J50="",J51,J50+J51-YEAR('数据-取费表'!B2))</f>
        <v>38</v>
      </c>
      <c r="K52" s="1467" t="s">
        <v>1927</v>
      </c>
      <c r="L52" s="987">
        <f ca="1">ROUND(-PV('数据-取费表'!B15,J52,(C40-C13*J35)),0)</f>
        <v>79054452</v>
      </c>
      <c r="O52" s="999" t="s">
        <v>1928</v>
      </c>
      <c r="P52" s="1000"/>
      <c r="Q52" s="996"/>
      <c r="R52" s="1000"/>
    </row>
    <row r="53" spans="1:18" s="652" customFormat="1" ht="15.75" thickBot="1">
      <c r="A53" s="241"/>
      <c r="B53" s="242"/>
      <c r="C53" s="243"/>
      <c r="D53" s="244"/>
      <c r="E53" s="235" t="s">
        <v>1780</v>
      </c>
      <c r="F53" s="994"/>
      <c r="I53" s="1468" t="s">
        <v>1929</v>
      </c>
      <c r="J53" s="988">
        <f>'数据-取费表'!B18</f>
        <v>8.5000000000000006E-2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26.88</v>
      </c>
      <c r="K54" s="3557" t="s">
        <v>2460</v>
      </c>
      <c r="L54" s="3558"/>
      <c r="O54" s="1005" t="s">
        <v>767</v>
      </c>
      <c r="P54" s="1006" t="s">
        <v>1899</v>
      </c>
      <c r="Q54" s="1007">
        <f ca="1">C40+J29</f>
        <v>4734070</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0.185</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557504</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733558</v>
      </c>
      <c r="D58" s="941"/>
      <c r="E58" s="942"/>
      <c r="F58" s="949"/>
      <c r="I58" s="1476" t="s">
        <v>1939</v>
      </c>
      <c r="J58" s="992">
        <f>IF(OR(M48="住宅",J52&lt;L49,J57="是"),"——",J52-L49)</f>
        <v>11.120000000000001</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73458</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61619</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293423</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473</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f ca="1">IF(OR(M48="住宅",J52&lt;L49,J57="是"),"0",ROUND(J60/(1+J53)^J54,0))</f>
        <v>32745</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61619</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4734070</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11003</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79054452</v>
      </c>
      <c r="R65" s="1012" t="s">
        <v>1962</v>
      </c>
    </row>
    <row r="66" spans="1:18" s="652" customFormat="1" ht="20.25" thickBot="1">
      <c r="A66" s="253" t="s">
        <v>20</v>
      </c>
      <c r="B66" s="235" t="s">
        <v>1840</v>
      </c>
      <c r="C66" s="13">
        <f ca="1">ROUND(C57*F66,0)</f>
        <v>836</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201697</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249085</v>
      </c>
      <c r="R67" s="1008" t="s">
        <v>1900</v>
      </c>
    </row>
    <row r="68" spans="1:18" ht="15.75" thickBot="1">
      <c r="A68" s="248" t="s">
        <v>22</v>
      </c>
      <c r="B68" s="41" t="s">
        <v>1850</v>
      </c>
      <c r="C68" s="250">
        <f ca="1">C49-C59</f>
        <v>-73458</v>
      </c>
      <c r="D68" s="1256" t="s">
        <v>1851</v>
      </c>
      <c r="E68" s="1258"/>
      <c r="F68" s="268"/>
      <c r="H68" s="652"/>
      <c r="I68" s="652"/>
      <c r="J68" s="652"/>
      <c r="K68" s="652"/>
      <c r="L68" s="652"/>
      <c r="M68" s="652"/>
      <c r="O68" s="1009" t="s">
        <v>776</v>
      </c>
      <c r="P68" s="1013" t="s">
        <v>1966</v>
      </c>
      <c r="Q68" s="1007">
        <f ca="1">C13</f>
        <v>557504</v>
      </c>
      <c r="R68" s="1008" t="s">
        <v>1900</v>
      </c>
    </row>
    <row r="69" spans="1:18" ht="15.75" thickBot="1">
      <c r="A69" s="232" t="s">
        <v>23</v>
      </c>
      <c r="B69" s="233" t="s">
        <v>1888</v>
      </c>
      <c r="C69" s="234">
        <f ca="1">ROUND(C68*(1-((1+F71)/(1+F69))^F70)/(F69-F71),0)</f>
        <v>-1018898</v>
      </c>
      <c r="D69" s="261" t="s">
        <v>1856</v>
      </c>
      <c r="E69" s="235" t="s">
        <v>1857</v>
      </c>
      <c r="F69" s="245">
        <f>F40</f>
        <v>5.5E-2</v>
      </c>
      <c r="H69" s="652"/>
      <c r="I69" s="652"/>
      <c r="J69" s="652"/>
      <c r="K69" s="652"/>
      <c r="L69" s="652"/>
      <c r="M69" s="652"/>
      <c r="O69" s="1009" t="s">
        <v>777</v>
      </c>
      <c r="P69" s="1013" t="s">
        <v>1967</v>
      </c>
      <c r="Q69" s="1010">
        <f>J35</f>
        <v>8.5000000000000006E-2</v>
      </c>
      <c r="R69" s="1008"/>
    </row>
    <row r="70" spans="1:18" ht="15.75" thickBot="1">
      <c r="A70" s="237"/>
      <c r="B70" s="238"/>
      <c r="C70" s="239"/>
      <c r="D70" s="269" t="s">
        <v>1890</v>
      </c>
      <c r="E70" s="235" t="s">
        <v>1862</v>
      </c>
      <c r="F70" s="270">
        <f>F41</f>
        <v>26.88</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-6262</v>
      </c>
      <c r="D72" s="274" t="s">
        <v>1892</v>
      </c>
      <c r="E72" s="275" t="s">
        <v>1893</v>
      </c>
      <c r="F72" s="276">
        <f>F43</f>
        <v>162.71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473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C32" sqref="AC32"/>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15"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C32" sqref="AC32"/>
      <selection pane="bottomLeft" activeCell="AC32" sqref="AC3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AC32" sqref="AC32"/>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162.71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44707</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162.71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44707</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0" zoomScale="70" zoomScaleNormal="60" zoomScaleSheetLayoutView="70" workbookViewId="0">
      <selection activeCell="J112" sqref="J11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531</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32610</v>
      </c>
      <c r="C3" s="1588" t="s">
        <v>2005</v>
      </c>
      <c r="D3" s="1588">
        <f>IF(C1="仅计算典型户型",'数据-取费表'!E5,'数据-取费表'!B5)</f>
        <v>162.71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731" t="s">
        <v>3042</v>
      </c>
      <c r="D5" s="3607"/>
      <c r="E5" s="3731" t="s">
        <v>3042</v>
      </c>
      <c r="F5" s="3607"/>
      <c r="G5" s="3731" t="s">
        <v>3042</v>
      </c>
      <c r="H5" s="3607"/>
      <c r="I5" s="3731" t="s">
        <v>3042</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44707</v>
      </c>
      <c r="D7" s="1604">
        <v>100</v>
      </c>
      <c r="E7" s="1605">
        <v>44682</v>
      </c>
      <c r="F7" s="1606">
        <f>SUMIF(59:59,YEAR(E7)&amp;"-"&amp;MONTH(E7),60:60)</f>
        <v>100</v>
      </c>
      <c r="G7" s="1895">
        <v>44682</v>
      </c>
      <c r="H7" s="1604">
        <f>SUMIF(59:59,YEAR(G7)&amp;"-"&amp;MONTH(G7),60:60)</f>
        <v>100</v>
      </c>
      <c r="I7" s="1895">
        <v>44682</v>
      </c>
      <c r="J7" s="1604">
        <f>SUMIF(59:59,YEAR(I7)&amp;"-"&amp;MONTH(I7),60:60)</f>
        <v>100</v>
      </c>
      <c r="K7" s="1896"/>
      <c r="L7" s="2915"/>
      <c r="M7" s="2888"/>
      <c r="N7" s="2888"/>
      <c r="O7" s="2888"/>
      <c r="P7" s="3619" t="s">
        <v>2020</v>
      </c>
      <c r="Q7" s="3621"/>
      <c r="R7" s="1609" t="s">
        <v>25</v>
      </c>
      <c r="S7" s="1610">
        <f t="shared" ref="S7:S15" si="0">F7</f>
        <v>100</v>
      </c>
      <c r="T7" s="1609" t="s">
        <v>25</v>
      </c>
      <c r="U7" s="1610">
        <f t="shared" ref="U7:U15" si="1">H7</f>
        <v>100</v>
      </c>
      <c r="V7" s="1609" t="s">
        <v>25</v>
      </c>
      <c r="W7" s="1610">
        <f t="shared" ref="W7:W15" si="2">J7</f>
        <v>100</v>
      </c>
      <c r="X7" s="1611"/>
      <c r="Y7" s="3619" t="s">
        <v>2020</v>
      </c>
      <c r="Z7" s="3620"/>
      <c r="AA7" s="1612">
        <f>D7/F7</f>
        <v>1</v>
      </c>
      <c r="AB7" s="1612">
        <f>D7/H7</f>
        <v>1</v>
      </c>
      <c r="AC7" s="1612">
        <f>D7/J7</f>
        <v>1</v>
      </c>
    </row>
    <row r="8" spans="1:29" s="1613" customFormat="1" ht="15.75" thickBot="1">
      <c r="A8" s="1601" t="s">
        <v>2021</v>
      </c>
      <c r="B8" s="1602"/>
      <c r="C8" s="1614" t="s">
        <v>2022</v>
      </c>
      <c r="D8" s="1604">
        <v>100</v>
      </c>
      <c r="E8" s="1614" t="s">
        <v>3046</v>
      </c>
      <c r="F8" s="1606">
        <f>SUMIF(62:62,E8,63:63)-SUMIF(62:62,C8,63:63)+100</f>
        <v>105</v>
      </c>
      <c r="G8" s="1614" t="s">
        <v>3046</v>
      </c>
      <c r="H8" s="1604">
        <f>SUMIF(62:62,G8,63:63)-SUMIF(62:62,C8,63:63)+100</f>
        <v>105</v>
      </c>
      <c r="I8" s="1614" t="s">
        <v>3046</v>
      </c>
      <c r="J8" s="1604">
        <f>SUMIF(62:62,I8,63:63)-SUMIF(62:62,C8,63:63)+100</f>
        <v>105</v>
      </c>
      <c r="K8" s="1896"/>
      <c r="L8" s="2915"/>
      <c r="M8" s="2888"/>
      <c r="N8" s="2888"/>
      <c r="O8" s="2888"/>
      <c r="P8" s="3619" t="s">
        <v>2023</v>
      </c>
      <c r="Q8" s="3620"/>
      <c r="R8" s="1609" t="s">
        <v>25</v>
      </c>
      <c r="S8" s="1610">
        <f t="shared" si="0"/>
        <v>105</v>
      </c>
      <c r="T8" s="1609" t="s">
        <v>25</v>
      </c>
      <c r="U8" s="1610">
        <f t="shared" si="1"/>
        <v>105</v>
      </c>
      <c r="V8" s="1609" t="s">
        <v>25</v>
      </c>
      <c r="W8" s="1610">
        <f t="shared" si="2"/>
        <v>105</v>
      </c>
      <c r="X8" s="1611"/>
      <c r="Y8" s="3619" t="s">
        <v>2023</v>
      </c>
      <c r="Z8" s="3620"/>
      <c r="AA8" s="1612">
        <f t="shared" ref="AA8:AA47" si="3">D8/F8</f>
        <v>0.95238095238095233</v>
      </c>
      <c r="AB8" s="1612">
        <f t="shared" ref="AB8:AB47" si="4">D8/H8</f>
        <v>0.95238095238095233</v>
      </c>
      <c r="AC8" s="1612">
        <f t="shared" ref="AC8:AC47" si="5">D8/J8</f>
        <v>0.95238095238095233</v>
      </c>
    </row>
    <row r="9" spans="1:29" s="1613" customFormat="1" ht="15">
      <c r="A9" s="1995" t="s">
        <v>2024</v>
      </c>
      <c r="B9" s="1616" t="s">
        <v>2025</v>
      </c>
      <c r="C9" s="3732" t="s">
        <v>3043</v>
      </c>
      <c r="D9" s="1618">
        <v>100</v>
      </c>
      <c r="E9" s="1621" t="s">
        <v>3034</v>
      </c>
      <c r="F9" s="1618">
        <f>SUMIF(64:64,E9,65:65)-SUMIF(64:64,C9,65:65)+100</f>
        <v>100</v>
      </c>
      <c r="G9" s="1621" t="s">
        <v>3034</v>
      </c>
      <c r="H9" s="1618">
        <f>SUMIF(64:64,G9,65:65)-SUMIF(64:64,C9,65:65)+100</f>
        <v>100</v>
      </c>
      <c r="I9" s="1621" t="s">
        <v>3034</v>
      </c>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t="s">
        <v>3044</v>
      </c>
      <c r="D10" s="1626">
        <v>100</v>
      </c>
      <c r="E10" s="1625" t="s">
        <v>3045</v>
      </c>
      <c r="F10" s="1626">
        <f>SUMIF(66:66,E10,67:67)-SUMIF(66:66,C10,67:67)+100</f>
        <v>102</v>
      </c>
      <c r="G10" s="1625" t="s">
        <v>3045</v>
      </c>
      <c r="H10" s="1626">
        <f>SUMIF(66:66,G10,67:67)-SUMIF(66:66,C10,67:67)+100</f>
        <v>102</v>
      </c>
      <c r="I10" s="1625" t="s">
        <v>3045</v>
      </c>
      <c r="J10" s="1626">
        <f>SUMIF(66:66,I10,67:67)-SUMIF(66:66,C10,67:67)+100</f>
        <v>102</v>
      </c>
      <c r="K10" s="1921">
        <v>2</v>
      </c>
      <c r="L10" s="2917"/>
      <c r="M10" s="2918"/>
      <c r="N10" s="2918"/>
      <c r="O10" s="2918"/>
      <c r="P10" s="3623"/>
      <c r="Q10" s="2833" t="str">
        <f t="shared" si="6"/>
        <v>土地使用年限（年）</v>
      </c>
      <c r="R10" s="1609" t="s">
        <v>25</v>
      </c>
      <c r="S10" s="1610">
        <f t="shared" si="0"/>
        <v>102</v>
      </c>
      <c r="T10" s="1609" t="s">
        <v>25</v>
      </c>
      <c r="U10" s="1610">
        <f t="shared" si="1"/>
        <v>102</v>
      </c>
      <c r="V10" s="1609" t="s">
        <v>25</v>
      </c>
      <c r="W10" s="1610">
        <f t="shared" si="2"/>
        <v>102</v>
      </c>
      <c r="X10" s="1611"/>
      <c r="Y10" s="3487"/>
      <c r="Z10" s="1622" t="str">
        <f t="shared" si="7"/>
        <v>土地使用年限（年）</v>
      </c>
      <c r="AA10" s="1612">
        <f t="shared" si="3"/>
        <v>0.98039215686274506</v>
      </c>
      <c r="AB10" s="1612">
        <f t="shared" si="4"/>
        <v>0.98039215686274506</v>
      </c>
      <c r="AC10" s="1612">
        <f t="shared" si="5"/>
        <v>0.98039215686274506</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3"/>
      <c r="Q11" s="2833" t="str">
        <f t="shared" si="6"/>
        <v>容积率</v>
      </c>
      <c r="R11" s="1609" t="s">
        <v>25</v>
      </c>
      <c r="S11" s="1610">
        <f t="shared" si="0"/>
        <v>100</v>
      </c>
      <c r="T11" s="1609" t="s">
        <v>25</v>
      </c>
      <c r="U11" s="1610">
        <f t="shared" si="1"/>
        <v>100</v>
      </c>
      <c r="V11" s="1609" t="s">
        <v>25</v>
      </c>
      <c r="W11" s="1610">
        <f t="shared" si="2"/>
        <v>100</v>
      </c>
      <c r="X11" s="1611"/>
      <c r="Y11" s="3487"/>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1912" t="s">
        <v>3051</v>
      </c>
      <c r="D27" s="1640">
        <v>100</v>
      </c>
      <c r="E27" s="1920" t="s">
        <v>3049</v>
      </c>
      <c r="F27" s="1640">
        <f>SUMIF(89:89,E27,90:90)-SUMIF(89:89,C27,90:90)+100</f>
        <v>102</v>
      </c>
      <c r="G27" s="1920" t="s">
        <v>3049</v>
      </c>
      <c r="H27" s="1640">
        <f>SUMIF(89:89,G27,90:90)-SUMIF(89:89,C27,90:90)+100</f>
        <v>102</v>
      </c>
      <c r="I27" s="1912" t="s">
        <v>3051</v>
      </c>
      <c r="J27" s="1640">
        <f>SUMIF(89:89,I27,90:90)-SUMIF(89:89,C27,90:90)+100</f>
        <v>100</v>
      </c>
      <c r="K27" s="1921">
        <v>2</v>
      </c>
      <c r="L27" s="2920"/>
      <c r="M27" s="2916"/>
      <c r="N27" s="2916"/>
      <c r="O27" s="2916"/>
      <c r="P27" s="3613"/>
      <c r="Q27" s="2834" t="str">
        <f t="shared" ref="Q27:Q47" si="11">B27</f>
        <v>楼层</v>
      </c>
      <c r="R27" s="1654" t="s">
        <v>25</v>
      </c>
      <c r="S27" s="1655">
        <f>F27</f>
        <v>102</v>
      </c>
      <c r="T27" s="1654" t="s">
        <v>25</v>
      </c>
      <c r="U27" s="1655">
        <f>H27</f>
        <v>102</v>
      </c>
      <c r="V27" s="1654" t="s">
        <v>25</v>
      </c>
      <c r="W27" s="1655">
        <f>J27</f>
        <v>100</v>
      </c>
      <c r="X27" s="2003"/>
      <c r="Y27" s="3613"/>
      <c r="Z27" s="2007" t="str">
        <f>Q27</f>
        <v>楼层</v>
      </c>
      <c r="AA27" s="1998">
        <f t="shared" si="3"/>
        <v>0.98039215686274506</v>
      </c>
      <c r="AB27" s="1998">
        <f t="shared" si="4"/>
        <v>0.98039215686274506</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f>项目基本情况!C12</f>
        <v>162.71</v>
      </c>
      <c r="D34" s="1626">
        <v>100</v>
      </c>
      <c r="E34" s="1633">
        <v>340</v>
      </c>
      <c r="F34" s="1628">
        <f>LOOKUP(E34,104:104,105:105)-LOOKUP(C34,104:104,105:105)+100</f>
        <v>102</v>
      </c>
      <c r="G34" s="1632">
        <v>385</v>
      </c>
      <c r="H34" s="1626">
        <f>LOOKUP(G34,104:104,105:105)-LOOKUP(C34,104:104,105:105)+100</f>
        <v>102</v>
      </c>
      <c r="I34" s="1632">
        <v>340</v>
      </c>
      <c r="J34" s="1626">
        <f>LOOKUP(I34,104:104,105:105)-LOOKUP(C34,104:104,105:105)+100</f>
        <v>102</v>
      </c>
      <c r="K34" s="1918"/>
      <c r="L34" s="2919"/>
      <c r="M34" s="1988"/>
      <c r="N34" s="1988"/>
      <c r="O34" s="1988"/>
      <c r="P34" s="3617"/>
      <c r="Q34" s="1695" t="str">
        <f t="shared" si="11"/>
        <v>项目建筑规模</v>
      </c>
      <c r="R34" s="1696" t="s">
        <v>25</v>
      </c>
      <c r="S34" s="1697">
        <f t="shared" si="12"/>
        <v>102</v>
      </c>
      <c r="T34" s="1696" t="s">
        <v>25</v>
      </c>
      <c r="U34" s="1697">
        <f t="shared" si="13"/>
        <v>102</v>
      </c>
      <c r="V34" s="1696" t="s">
        <v>25</v>
      </c>
      <c r="W34" s="1697">
        <f t="shared" si="14"/>
        <v>102</v>
      </c>
      <c r="X34" s="1698"/>
      <c r="Y34" s="3617"/>
      <c r="Z34" s="1699" t="str">
        <f t="shared" si="15"/>
        <v>项目建筑规模</v>
      </c>
      <c r="AA34" s="1998">
        <f t="shared" si="3"/>
        <v>0.98039215686274506</v>
      </c>
      <c r="AB34" s="1998">
        <f t="shared" si="4"/>
        <v>0.98039215686274506</v>
      </c>
      <c r="AC34" s="1998">
        <f t="shared" si="5"/>
        <v>0.98039215686274506</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f>'数据-取费表'!E20</f>
        <v>0.76</v>
      </c>
      <c r="D37" s="1640">
        <v>100</v>
      </c>
      <c r="E37" s="1705">
        <f>C37</f>
        <v>0.76</v>
      </c>
      <c r="F37" s="1683">
        <f>LOOKUP(E37,111:111,112:112)-LOOKUP(C37,111:111,112:112)+100</f>
        <v>100</v>
      </c>
      <c r="G37" s="1705">
        <f>C37</f>
        <v>0.76</v>
      </c>
      <c r="H37" s="1683">
        <f>LOOKUP(G37,111:111,112:112)-LOOKUP(C37,111:111,112:112)+100</f>
        <v>100</v>
      </c>
      <c r="I37" s="1705">
        <f>C37</f>
        <v>0.76</v>
      </c>
      <c r="J37" s="1640">
        <f>LOOKUP(I37,111:111,112:112)-LOOKUP(C37,111:111,112:112)+100</f>
        <v>100</v>
      </c>
      <c r="K37" s="1921"/>
      <c r="L37" s="2920"/>
      <c r="M37" s="2916"/>
      <c r="N37" s="2916"/>
      <c r="O37" s="2916"/>
      <c r="P37" s="3617"/>
      <c r="Q37" s="2834" t="str">
        <f t="shared" si="11"/>
        <v>成新度</v>
      </c>
      <c r="R37" s="1654" t="s">
        <v>25</v>
      </c>
      <c r="S37" s="1655">
        <f t="shared" si="12"/>
        <v>100</v>
      </c>
      <c r="T37" s="1654" t="s">
        <v>25</v>
      </c>
      <c r="U37" s="1655">
        <f t="shared" si="13"/>
        <v>100</v>
      </c>
      <c r="V37" s="1654" t="s">
        <v>25</v>
      </c>
      <c r="W37" s="1655">
        <f t="shared" si="14"/>
        <v>100</v>
      </c>
      <c r="X37" s="2003"/>
      <c r="Y37" s="3617"/>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v>35794</v>
      </c>
      <c r="F48" s="1715"/>
      <c r="G48" s="1716">
        <v>36494</v>
      </c>
      <c r="H48" s="1717"/>
      <c r="I48" s="1714">
        <v>36000</v>
      </c>
      <c r="J48" s="1717"/>
      <c r="K48" s="1942"/>
      <c r="L48" s="2921"/>
      <c r="M48" s="2916"/>
      <c r="N48" s="2916"/>
      <c r="O48" s="2916"/>
      <c r="P48" s="3623" t="str">
        <f>A48</f>
        <v>成交单价（元/平方米）</v>
      </c>
      <c r="Q48" s="3623"/>
      <c r="R48" s="3624">
        <f>E48</f>
        <v>35794</v>
      </c>
      <c r="S48" s="3624"/>
      <c r="T48" s="3624">
        <f>G48</f>
        <v>36494</v>
      </c>
      <c r="U48" s="3624"/>
      <c r="V48" s="3624">
        <f>I48</f>
        <v>36000</v>
      </c>
      <c r="W48" s="3624"/>
      <c r="X48" s="1720"/>
      <c r="Y48" s="2002"/>
      <c r="Z48" s="1720"/>
      <c r="AA48" s="1720"/>
      <c r="AB48" s="1720"/>
      <c r="AC48" s="1720"/>
    </row>
    <row r="49" spans="1:29" ht="15.75" thickBot="1">
      <c r="A49" s="1722" t="s">
        <v>2132</v>
      </c>
      <c r="B49" s="1723"/>
      <c r="C49" s="1724">
        <f>R50</f>
        <v>32610</v>
      </c>
      <c r="D49" s="1725" t="s">
        <v>2503</v>
      </c>
      <c r="E49" s="1726">
        <f>R49</f>
        <v>32123</v>
      </c>
      <c r="F49" s="1727"/>
      <c r="G49" s="1724">
        <f>T49</f>
        <v>32752</v>
      </c>
      <c r="H49" s="1727"/>
      <c r="I49" s="1726">
        <f>V49</f>
        <v>32954</v>
      </c>
      <c r="J49" s="1727"/>
      <c r="K49" s="2429">
        <f>F49+H49+J49</f>
        <v>0</v>
      </c>
      <c r="L49" s="2921"/>
      <c r="M49" s="2916"/>
      <c r="N49" s="2916"/>
      <c r="O49" s="2916"/>
      <c r="P49" s="3623" t="str">
        <f>A49</f>
        <v>比较价值（元/平方米）</v>
      </c>
      <c r="Q49" s="3623"/>
      <c r="R49" s="3624">
        <f>IF(E1="售价",ROUND(PRODUCT(R48,AA7:AA47),0),ROUND(PRODUCT(R48,AA7:AA47),1))</f>
        <v>32123</v>
      </c>
      <c r="S49" s="3624"/>
      <c r="T49" s="3624">
        <f>IF(E1="售价",ROUND(PRODUCT(T48,AB7:AB47),0),ROUND(PRODUCT(T48,AB7:AB47),1))</f>
        <v>32752</v>
      </c>
      <c r="U49" s="3624"/>
      <c r="V49" s="3624">
        <f>IF(E1="售价",ROUND(PRODUCT(V48,AC7:AC47),0),ROUND(PRODUCT(V48,AC7:AC47),1))</f>
        <v>32954</v>
      </c>
      <c r="W49" s="3624"/>
      <c r="X49" s="1720"/>
      <c r="Y49" s="1720"/>
      <c r="Z49" s="1720"/>
      <c r="AA49" s="1720"/>
      <c r="AB49" s="1720"/>
      <c r="AC49" s="1720"/>
    </row>
    <row r="50" spans="1:29" ht="15.75" thickBot="1">
      <c r="A50" s="1728" t="s">
        <v>2155</v>
      </c>
      <c r="B50" s="1729"/>
      <c r="C50" s="1731">
        <f>R50</f>
        <v>32610</v>
      </c>
      <c r="D50" s="1731"/>
      <c r="E50" s="1731"/>
      <c r="F50" s="1731"/>
      <c r="G50" s="1731"/>
      <c r="H50" s="1731"/>
      <c r="I50" s="1731"/>
      <c r="J50" s="1731"/>
      <c r="K50" s="1947"/>
      <c r="L50" s="2921"/>
      <c r="M50" s="2916"/>
      <c r="N50" s="2916"/>
      <c r="O50" s="2916"/>
      <c r="P50" s="3629" t="str">
        <f>A50</f>
        <v>估价对象XX用房的比较价值（楼面单价，元/平方米）</v>
      </c>
      <c r="Q50" s="3630"/>
      <c r="R50" s="3631">
        <f>IF(E1="售价",ROUND(IF(D49="简单平均",AVERAGE(R49:V49),R49*F49+T49*H49+V49*J49),0),ROUND(IF(D49="简单平均",AVERAGE(R49:V49),R49*F49+T49*H49+V49*J49),1))</f>
        <v>32610</v>
      </c>
      <c r="S50" s="3631"/>
      <c r="T50" s="3631"/>
      <c r="U50" s="3631"/>
      <c r="V50" s="3631"/>
      <c r="W50" s="3631"/>
      <c r="X50" s="1720"/>
      <c r="Y50" s="1720"/>
      <c r="Z50" s="1720"/>
      <c r="AA50" s="1720"/>
      <c r="AB50" s="1720"/>
      <c r="AC50" s="1720"/>
    </row>
    <row r="51" spans="1:29">
      <c r="G51" s="2925"/>
    </row>
    <row r="53" spans="1:29" ht="13.5" customHeight="1">
      <c r="C53" s="383" t="s">
        <v>2134</v>
      </c>
      <c r="D53" s="1736"/>
      <c r="E53" s="1737">
        <f>IF(E48&lt;E49,E49/E48-1,E48/E49-1)</f>
        <v>0.11427948821716538</v>
      </c>
      <c r="F53" s="1738" t="str">
        <f>IF(OR(E53&gt;=0.3,E53&lt;=-0.3),"超过30%","")</f>
        <v/>
      </c>
      <c r="G53" s="1737">
        <f>IF(G48&lt;G49,G49/G48-1,G48/G49-1)</f>
        <v>0.11425256472887146</v>
      </c>
      <c r="H53" s="1738" t="str">
        <f>IF(OR(G53&gt;=0.3,G53&lt;=-0.3),"超过30%","")</f>
        <v/>
      </c>
      <c r="I53" s="1737">
        <f>IF(I48&lt;I49,I49/I48-1,I48/I49-1)</f>
        <v>9.2431874734478336E-2</v>
      </c>
      <c r="J53" s="1738" t="str">
        <f>IF(OR(I53&gt;=0.3,I53&lt;=-0.3),"超过30%","")</f>
        <v/>
      </c>
    </row>
    <row r="54" spans="1:29" ht="13.5" customHeight="1">
      <c r="C54" s="383" t="s">
        <v>2135</v>
      </c>
      <c r="D54" s="1739"/>
      <c r="E54" s="1737">
        <f>IF(E49&lt;G49,G49/E49-1,E49/G49-1)</f>
        <v>1.9580985586651334E-2</v>
      </c>
      <c r="F54" s="1738" t="str">
        <f>IF(OR(E54&gt;=0.2,E54&lt;=-0.2),"超过20%","")</f>
        <v/>
      </c>
      <c r="G54" s="1737">
        <f>IF(G49&lt;I49,I49/G49-1,G49/I49-1)</f>
        <v>6.1675622862726875E-3</v>
      </c>
      <c r="H54" s="1738" t="str">
        <f>IF(OR(G54&gt;=0.2,G54&lt;=-0.2),"超过20%","")</f>
        <v/>
      </c>
      <c r="I54" s="1737">
        <f>IF(I49&lt;E49,E49/I49-1,I49/E49-1)</f>
        <v>2.5869314821156175E-2</v>
      </c>
      <c r="J54" s="1738" t="str">
        <f>IF(OR(I54&gt;=0.2,I54&lt;=-0.2),"超过20%","")</f>
        <v/>
      </c>
    </row>
    <row r="55" spans="1:29" s="1742" customFormat="1" ht="13.5" customHeight="1">
      <c r="C55" s="383" t="s">
        <v>2136</v>
      </c>
      <c r="D55" s="1739"/>
      <c r="E55" s="1737">
        <f>IF(E48&lt;G48,G48/E48-1,E48/G48-1)</f>
        <v>1.9556350226294983E-2</v>
      </c>
      <c r="F55" s="1738" t="str">
        <f>IF(OR(E55&gt;=0.3,E55&lt;=-0.3),"超过30%","")</f>
        <v/>
      </c>
      <c r="G55" s="1737">
        <f>IF(G48&lt;I48,I48/G48-1,G48/I48-1)</f>
        <v>1.3722222222222191E-2</v>
      </c>
      <c r="H55" s="1738" t="str">
        <f>IF(OR(G55&gt;=0.3,G55&lt;=-0.3),"超过30%","")</f>
        <v/>
      </c>
      <c r="I55" s="1737">
        <f>IF(I48&lt;E48,E48/I48-1,I48/E48-1)</f>
        <v>5.7551544951668365E-3</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3733" t="s">
        <v>3047</v>
      </c>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v>105</v>
      </c>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734" t="s">
        <v>3048</v>
      </c>
      <c r="D89" s="3734" t="s">
        <v>3050</v>
      </c>
      <c r="E89" s="3734" t="s">
        <v>3052</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735" t="s">
        <v>3053</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0(含)-100</v>
      </c>
      <c r="D103" s="579" t="str">
        <f t="shared" ref="D103:L103" si="23">D104&amp;"(含)"&amp;"-"&amp;E104</f>
        <v>100(含)-300</v>
      </c>
      <c r="E103" s="579" t="str">
        <f t="shared" si="23"/>
        <v>300(含)-500</v>
      </c>
      <c r="F103" s="579" t="str">
        <f t="shared" si="23"/>
        <v>500(含)-800</v>
      </c>
      <c r="G103" s="579" t="str">
        <f t="shared" si="23"/>
        <v>800(含)-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100</v>
      </c>
      <c r="E104" s="1830">
        <v>300</v>
      </c>
      <c r="F104" s="1830">
        <v>500</v>
      </c>
      <c r="G104" s="1830">
        <v>800</v>
      </c>
      <c r="H104" s="1830"/>
      <c r="I104" s="1830"/>
      <c r="J104" s="485"/>
      <c r="K104" s="485"/>
      <c r="L104" s="485"/>
      <c r="M104" s="1831"/>
      <c r="N104" s="2936"/>
      <c r="O104" s="2936"/>
      <c r="P104" s="1987"/>
      <c r="Q104" s="1802"/>
    </row>
    <row r="105" spans="1:17" s="1700" customFormat="1" ht="15.75" thickBot="1">
      <c r="A105" s="1798"/>
      <c r="B105" s="1790"/>
      <c r="C105" s="1803">
        <v>96</v>
      </c>
      <c r="D105" s="1784">
        <v>98</v>
      </c>
      <c r="E105" s="1784">
        <v>100</v>
      </c>
      <c r="F105" s="1784">
        <v>98</v>
      </c>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60" sqref="G6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162.71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44707</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60" sqref="G6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162.71</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44707</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60" sqref="G6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162.71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44707</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44707</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125</v>
      </c>
      <c r="G10" s="1686"/>
      <c r="H10" s="1626">
        <f>ROUND(100/'数据-取费表'!B14,0)</f>
        <v>125</v>
      </c>
      <c r="I10" s="1686"/>
      <c r="J10" s="1626">
        <f>ROUND(100/'数据-取费表'!B14,0)</f>
        <v>125</v>
      </c>
      <c r="K10" s="1898"/>
      <c r="L10" s="2917"/>
      <c r="M10" s="2918"/>
      <c r="N10" s="2918"/>
      <c r="O10" s="2963"/>
      <c r="P10" s="3623"/>
      <c r="Q10" s="1563" t="str">
        <f t="shared" si="6"/>
        <v>土地使用年限（年）</v>
      </c>
      <c r="R10" s="1609" t="s">
        <v>25</v>
      </c>
      <c r="S10" s="1610">
        <f t="shared" si="0"/>
        <v>125</v>
      </c>
      <c r="T10" s="1609" t="s">
        <v>25</v>
      </c>
      <c r="U10" s="1610">
        <f t="shared" si="1"/>
        <v>125</v>
      </c>
      <c r="V10" s="1609" t="s">
        <v>25</v>
      </c>
      <c r="W10" s="1610">
        <f t="shared" si="2"/>
        <v>125</v>
      </c>
      <c r="X10" s="1611"/>
      <c r="Y10" s="3487"/>
      <c r="Z10" s="1622" t="str">
        <f t="shared" si="7"/>
        <v>土地使用年限（年）</v>
      </c>
      <c r="AA10" s="1612">
        <f t="shared" si="3"/>
        <v>0.8</v>
      </c>
      <c r="AB10" s="1612">
        <f t="shared" si="4"/>
        <v>0.8</v>
      </c>
      <c r="AC10" s="1612">
        <f t="shared" si="5"/>
        <v>0.8</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J17" sqref="J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44707</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125</v>
      </c>
      <c r="G10" s="322"/>
      <c r="H10" s="29">
        <f>ROUND(100/'数据-取费表'!B14,0)</f>
        <v>125</v>
      </c>
      <c r="I10" s="322"/>
      <c r="J10" s="29">
        <f>ROUND(100/'数据-取费表'!B14,0)</f>
        <v>125</v>
      </c>
      <c r="K10" s="553"/>
      <c r="L10" s="2948"/>
      <c r="M10" s="2949"/>
      <c r="N10" s="2949"/>
      <c r="O10" s="2950"/>
      <c r="P10" s="3637"/>
      <c r="Q10" s="1255" t="str">
        <f t="shared" si="6"/>
        <v>土地使用年限（年）</v>
      </c>
      <c r="R10" s="627" t="s">
        <v>25</v>
      </c>
      <c r="S10" s="628">
        <f t="shared" si="0"/>
        <v>125</v>
      </c>
      <c r="T10" s="627" t="s">
        <v>25</v>
      </c>
      <c r="U10" s="628">
        <f t="shared" si="1"/>
        <v>125</v>
      </c>
      <c r="V10" s="627" t="s">
        <v>25</v>
      </c>
      <c r="W10" s="628">
        <f t="shared" si="2"/>
        <v>125</v>
      </c>
      <c r="X10" s="629"/>
      <c r="Y10" s="3667"/>
      <c r="Z10" s="19" t="str">
        <f t="shared" si="7"/>
        <v>土地使用年限（年）</v>
      </c>
      <c r="AA10" s="630">
        <f t="shared" si="3"/>
        <v>0.8</v>
      </c>
      <c r="AB10" s="630">
        <f t="shared" si="4"/>
        <v>0.8</v>
      </c>
      <c r="AC10" s="630">
        <f t="shared" si="5"/>
        <v>0.8</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估价对象为北京市房地产，为XX所有。根据《》[]，估价对象建筑面积为162.71平方米。根据《》[]，估价对象（分摊）出让国有建设用地使用权面积为平方米。估价对象用途为。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2022年5月26日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本次估价的“房地产价值”是指在正常市场情况下，在价值时点2022年5月26日，估价对象规划用途为，假定未设立法定优先受偿款下的房地产市场价值。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162.71</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44707</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0.75539999999999996</v>
      </c>
      <c r="D20" s="2130" t="s">
        <v>2354</v>
      </c>
      <c r="E20" s="3072">
        <f>存贷款利率!E21/100</f>
        <v>4.3499999999999997E-2</v>
      </c>
      <c r="F20" s="2130" t="s">
        <v>2343</v>
      </c>
      <c r="G20" s="3073">
        <f>SUMIF(M26:P26,E2,M28:P28)</f>
        <v>0.05</v>
      </c>
      <c r="H20" s="2130" t="s">
        <v>2355</v>
      </c>
      <c r="I20" s="2131">
        <f>'数据-取费表'!B13</f>
        <v>26.88</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162.71</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J17" sqref="J17"/>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J17" sqref="J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44707</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 sqref="O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162.71</v>
      </c>
      <c r="D6" s="3331"/>
      <c r="E6" s="1287"/>
    </row>
    <row r="7" spans="1:5" ht="14.25">
      <c r="A7" s="1287"/>
      <c r="B7" s="3325" t="s">
        <v>594</v>
      </c>
      <c r="C7" s="1293" t="str">
        <f>IF('数据-取费表'!B3="万元","总价（万元）","总价（元）")</f>
        <v>总价（万元）</v>
      </c>
      <c r="D7" s="1294">
        <f>IF('数据-取费表'!E3="否",结果表!I102,'结果表 (1修多)'!I104)</f>
        <v>0</v>
      </c>
      <c r="E7" s="1287"/>
    </row>
    <row r="8" spans="1:5" ht="14.25">
      <c r="A8" s="1287"/>
      <c r="B8" s="3325"/>
      <c r="C8" s="1295" t="s">
        <v>924</v>
      </c>
      <c r="D8" s="1296" t="str">
        <f>IF('数据-取费表'!B3="万元",NUMBERSTRING(INT(D7*10000),2)&amp;"元整",NUMBERSTRING(INT(D7),2)&amp;"元整")</f>
        <v>零元整</v>
      </c>
      <c r="E8" s="1287"/>
    </row>
    <row r="9" spans="1:5" ht="14.25">
      <c r="A9" s="1287"/>
      <c r="B9" s="3325"/>
      <c r="C9" s="1297" t="s">
        <v>1020</v>
      </c>
      <c r="D9" s="1294" t="e">
        <f>IF('数据-取费表'!E3="否",结果表!I103,'结果表 (1修多)'!I105)</f>
        <v>#DIV/0!</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IF('数据-取费表'!E3="否",结果表!I110,'结果表 (1修多)'!I112)</f>
        <v>0</v>
      </c>
      <c r="E15" s="1287"/>
    </row>
    <row r="16" spans="1:5" ht="14.25">
      <c r="A16" s="1287"/>
      <c r="B16" s="3332"/>
      <c r="C16" s="1295" t="s">
        <v>924</v>
      </c>
      <c r="D16" s="1294" t="str">
        <f>IF('数据-取费表'!B3="万元",NUMBERSTRING(INT(D15*10000),2)&amp;"元整",NUMBERSTRING(INT(D15),2)&amp;"元整")</f>
        <v>零元整</v>
      </c>
      <c r="E16" s="1287"/>
    </row>
    <row r="17" spans="1:5" ht="14.25">
      <c r="A17" s="1287"/>
      <c r="B17" s="3332"/>
      <c r="C17" s="1297" t="s">
        <v>1020</v>
      </c>
      <c r="D17" s="1294" t="e">
        <f>IF('数据-取费表'!E3="否",结果表!I111,'结果表 (1修多)'!I113)</f>
        <v>#DIV/0!</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IF('数据-取费表'!E3="否",结果表!I102,'结果表 (1修多)'!I104)</f>
        <v>0</v>
      </c>
      <c r="E28" s="1287"/>
    </row>
    <row r="29" spans="1:5" ht="14.25">
      <c r="A29" s="1287"/>
      <c r="B29" s="3334"/>
      <c r="C29" s="1306" t="s">
        <v>924</v>
      </c>
      <c r="D29" s="1307" t="str">
        <f>IF('数据-取费表'!B3="万元",NUMBERSTRING(INT(D28*10000),2)&amp;"元整",NUMBERSTRING(INT(D28),2)&amp;"元整")</f>
        <v>零元整</v>
      </c>
      <c r="E29" s="1287"/>
    </row>
    <row r="30" spans="1:5" ht="14.25">
      <c r="A30" s="1287"/>
      <c r="B30" s="3335"/>
      <c r="C30" s="1297" t="s">
        <v>927</v>
      </c>
      <c r="D30" s="1308" t="e">
        <f>IF('数据-取费表'!E3="否",结果表!I103,'结果表 (1修多)'!I105)</f>
        <v>#DIV/0!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IF('数据-取费表'!E3="否",结果表!I110,'结果表 (1修多)'!I112)</f>
        <v>0</v>
      </c>
      <c r="E36" s="1287"/>
    </row>
    <row r="37" spans="1:5" ht="14.25">
      <c r="A37" s="1287"/>
      <c r="B37" s="3336"/>
      <c r="C37" s="1306" t="s">
        <v>924</v>
      </c>
      <c r="D37" s="1311" t="str">
        <f>IF('数据-取费表'!B3="万元",NUMBERSTRING(INT(D36*10000),2)&amp;"元整",NUMBERSTRING(INT(D36),2)&amp;"元整")</f>
        <v>零元整</v>
      </c>
      <c r="E37" s="1287"/>
    </row>
    <row r="38" spans="1:5" ht="14.25">
      <c r="A38" s="1287"/>
      <c r="B38" s="3336"/>
      <c r="C38" s="1297" t="s">
        <v>928</v>
      </c>
      <c r="D38" s="1308" t="e">
        <f>IF('数据-取费表'!E3="否",结果表!D113,'结果表 (1修多)'!D117)</f>
        <v>#DIV/0!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162.71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IF('数据-取费表'!E3="否",结果表!D125,'结果表 (1修多)'!D129)</f>
        <v>0</v>
      </c>
      <c r="E8" s="3349"/>
      <c r="F8" s="3349"/>
      <c r="G8" s="3349"/>
      <c r="H8" s="3349"/>
      <c r="I8" s="3349"/>
    </row>
    <row r="9" spans="1:9" ht="15">
      <c r="A9" s="3350" t="s">
        <v>1030</v>
      </c>
      <c r="B9" s="3350"/>
      <c r="C9" s="3350"/>
      <c r="D9" s="3348" t="e">
        <f>IF('数据-取费表'!E3="否",结果表!D126,'结果表 (1修多)'!D130)</f>
        <v>#DIV/0!</v>
      </c>
      <c r="E9" s="3348"/>
      <c r="F9" s="3348"/>
      <c r="G9" s="3348"/>
      <c r="H9" s="3348"/>
      <c r="I9" s="3348"/>
    </row>
    <row r="10" spans="1:9" ht="15.75">
      <c r="A10" s="3349" t="str">
        <f>IF('数据-取费表'!E3="否",结果表!A127,'结果表 (1修多)'!A131)</f>
        <v/>
      </c>
      <c r="B10" s="3349"/>
      <c r="C10" s="3349"/>
      <c r="D10" s="3349" t="e">
        <f>IF('数据-取费表'!E3="否",结果表!D127,'结果表 (1修多)'!D130)</f>
        <v>#DIV/0!</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1045</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44707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本次估价的“房地产价值”是指在正常市场情况下，在价值时点2022年5月26日，估价对象规划用途为，假定未设立法定优先受偿款下的房地产市场价值。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2022-05-26T03:51:03Z</dcterms:modified>
</cp:coreProperties>
</file>