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7" i="74" l="1"/>
  <c r="B16" i="74"/>
  <c r="D17" i="74" l="1"/>
  <c r="B15" i="74" l="1"/>
  <c r="D16" i="74" l="1"/>
  <c r="D15" i="74" l="1"/>
  <c r="E12" i="80" l="1"/>
  <c r="E11" i="80"/>
  <c r="E10" i="80"/>
  <c r="E13" i="80" s="1"/>
  <c r="B14" i="74"/>
  <c r="E9" i="80"/>
  <c r="G62" i="43" l="1"/>
  <c r="G63" i="43"/>
  <c r="G64" i="43"/>
  <c r="G65" i="43"/>
  <c r="G66" i="43"/>
  <c r="G67" i="43"/>
  <c r="G68" i="43"/>
  <c r="G69" i="43"/>
  <c r="G61" i="43"/>
  <c r="Y6" i="1"/>
  <c r="N6" i="1"/>
  <c r="N22" i="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E59" i="71" s="1"/>
  <c r="E60" i="71" s="1"/>
  <c r="U60" i="71" s="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C54" i="71"/>
  <c r="C55" i="71" s="1"/>
  <c r="Q53" i="71"/>
  <c r="F54" i="71"/>
  <c r="F55" i="71" s="1"/>
  <c r="F56" i="71" s="1"/>
  <c r="V56" i="71" s="1"/>
  <c r="P53" i="71"/>
  <c r="E54" i="71" s="1"/>
  <c r="E55"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C40" i="71" s="1"/>
  <c r="N37" i="71"/>
  <c r="D37" i="71"/>
  <c r="Q36" i="71"/>
  <c r="AB36" i="71"/>
  <c r="P36" i="71"/>
  <c r="O36" i="71"/>
  <c r="Y36" i="71" s="1"/>
  <c r="Z36" i="71" s="1"/>
  <c r="N36" i="71"/>
  <c r="Q35" i="71"/>
  <c r="P35" i="71"/>
  <c r="O35" i="71"/>
  <c r="Y35" i="71"/>
  <c r="Z35" i="71" s="1"/>
  <c r="N35" i="71"/>
  <c r="Q34" i="71"/>
  <c r="P34" i="71"/>
  <c r="O34" i="71"/>
  <c r="N34" i="71"/>
  <c r="Q33" i="71"/>
  <c r="AB30" i="71" s="1"/>
  <c r="P33" i="71"/>
  <c r="O33" i="71"/>
  <c r="C34" i="71" s="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Y33" i="71"/>
  <c r="Z33" i="71" s="1"/>
  <c r="AA34" i="71"/>
  <c r="X36" i="71"/>
  <c r="AA36" i="71"/>
  <c r="Y37" i="71"/>
  <c r="Z37" i="71" s="1"/>
  <c r="X38" i="71"/>
  <c r="AA38" i="71"/>
  <c r="F51" i="71"/>
  <c r="F52" i="71"/>
  <c r="V52" i="71" s="1"/>
  <c r="C28" i="71"/>
  <c r="T28" i="71" s="1"/>
  <c r="X25" i="71"/>
  <c r="C31" i="71"/>
  <c r="C32" i="71" s="1"/>
  <c r="D38" i="71"/>
  <c r="C51" i="71"/>
  <c r="D50" i="71"/>
  <c r="P28" i="71"/>
  <c r="E56" i="71"/>
  <c r="U56" i="71" s="1"/>
  <c r="E63" i="71"/>
  <c r="E64" i="71" s="1"/>
  <c r="U64" i="71" s="1"/>
  <c r="U68" i="71"/>
  <c r="E67" i="71"/>
  <c r="Q28" i="71"/>
  <c r="AB25" i="71" s="1"/>
  <c r="D54" i="71"/>
  <c r="C59" i="71"/>
  <c r="D58" i="71"/>
  <c r="D62" i="71"/>
  <c r="B66" i="71"/>
  <c r="N66" i="71" s="1"/>
  <c r="T68" i="71"/>
  <c r="O68" i="71"/>
  <c r="D68" i="71"/>
  <c r="C67" i="71"/>
  <c r="Q68" i="71"/>
  <c r="C71" i="71"/>
  <c r="E71" i="71"/>
  <c r="E70" i="71" s="1"/>
  <c r="D72" i="71"/>
  <c r="C75" i="71"/>
  <c r="E75" i="71"/>
  <c r="E74" i="71" s="1"/>
  <c r="D76" i="71"/>
  <c r="C79" i="71"/>
  <c r="E79" i="71"/>
  <c r="E78" i="71" s="1"/>
  <c r="D80" i="71"/>
  <c r="C83" i="71"/>
  <c r="C87" i="71"/>
  <c r="C86" i="71" s="1"/>
  <c r="D86" i="71" s="1"/>
  <c r="C27" i="71"/>
  <c r="C26" i="71" s="1"/>
  <c r="D26" i="71" s="1"/>
  <c r="F28" i="71"/>
  <c r="F27" i="71" s="1"/>
  <c r="F26" i="71" s="1"/>
  <c r="AB26" i="71"/>
  <c r="AB28" i="71"/>
  <c r="E28" i="71"/>
  <c r="E27" i="71"/>
  <c r="E26" i="71" s="1"/>
  <c r="AA3" i="71"/>
  <c r="AA26" i="71"/>
  <c r="AA28" i="71"/>
  <c r="C66" i="71"/>
  <c r="O67" i="71"/>
  <c r="D67" i="71"/>
  <c r="D83" i="71"/>
  <c r="C82" i="71"/>
  <c r="D82" i="71"/>
  <c r="D75" i="71"/>
  <c r="C74" i="71"/>
  <c r="D74" i="71" s="1"/>
  <c r="N65" i="71"/>
  <c r="D87" i="71"/>
  <c r="D79" i="71"/>
  <c r="C78" i="71"/>
  <c r="D78" i="71" s="1"/>
  <c r="D71" i="71"/>
  <c r="C70" i="71"/>
  <c r="D70" i="71"/>
  <c r="C60" i="71"/>
  <c r="D59" i="71"/>
  <c r="P67" i="71"/>
  <c r="E66" i="71"/>
  <c r="P65" i="71" s="1"/>
  <c r="C52" i="71"/>
  <c r="D51" i="71"/>
  <c r="D43" i="71"/>
  <c r="D39" i="71"/>
  <c r="D31" i="71"/>
  <c r="V28" i="71"/>
  <c r="P66" i="71"/>
  <c r="O66" i="71"/>
  <c r="D66" i="71"/>
  <c r="O65" i="71"/>
  <c r="T52" i="71"/>
  <c r="D5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G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F28" i="6" s="1"/>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F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J101" i="21"/>
  <c r="K101" i="21" s="1"/>
  <c r="L101" i="21" s="1"/>
  <c r="M101" i="21" s="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AB32" i="21" s="1"/>
  <c r="H9" i="21"/>
  <c r="J9" i="21"/>
  <c r="W9" i="21" s="1"/>
  <c r="J32" i="21"/>
  <c r="W32" i="21" s="1"/>
  <c r="F32" i="21"/>
  <c r="AA32" i="21" s="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AC23" i="33"/>
  <c r="W23" i="33"/>
  <c r="AA19" i="33"/>
  <c r="H19" i="33"/>
  <c r="G79" i="33"/>
  <c r="H17" i="33"/>
  <c r="F17" i="33"/>
  <c r="S17" i="33" s="1"/>
  <c r="W17" i="33"/>
  <c r="AC17" i="33"/>
  <c r="S37" i="21"/>
  <c r="AA23" i="21"/>
  <c r="J23" i="21"/>
  <c r="G85" i="21"/>
  <c r="H23" i="21"/>
  <c r="S13" i="21"/>
  <c r="D6" i="52"/>
  <c r="AP7" i="1"/>
  <c r="AB45" i="21"/>
  <c r="AB9" i="21"/>
  <c r="U9" i="21"/>
  <c r="S32" i="21"/>
  <c r="AC9"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F9" i="67"/>
  <c r="B12" i="76"/>
  <c r="F6" i="73"/>
  <c r="F38" i="67"/>
  <c r="M24" i="15"/>
  <c r="C76" i="15"/>
  <c r="J15" i="15"/>
  <c r="B11" i="76"/>
  <c r="F38" i="15"/>
  <c r="F8" i="67"/>
  <c r="M8" i="67"/>
  <c r="M24" i="67"/>
  <c r="M26" i="67"/>
  <c r="J15" i="67"/>
  <c r="F16" i="15"/>
  <c r="D35" i="9"/>
  <c r="D7" i="73"/>
  <c r="F40" i="67"/>
  <c r="E11" i="76"/>
  <c r="F37" i="67"/>
  <c r="L47" i="15"/>
  <c r="F8" i="15"/>
  <c r="F40" i="15"/>
  <c r="F6" i="15"/>
  <c r="M22" i="67"/>
  <c r="F26" i="67"/>
  <c r="M23" i="15"/>
  <c r="F26" i="15"/>
  <c r="D4" i="73"/>
  <c r="B13" i="76"/>
  <c r="B10" i="76"/>
  <c r="F7" i="67"/>
  <c r="F16" i="67"/>
  <c r="L47" i="67"/>
  <c r="E8" i="76"/>
  <c r="E12" i="76"/>
  <c r="B9" i="76"/>
  <c r="M29" i="67"/>
  <c r="F6" i="67"/>
  <c r="F36" i="67"/>
  <c r="E7" i="76"/>
  <c r="E9" i="76"/>
  <c r="F9" i="15"/>
  <c r="L48" i="67"/>
  <c r="F13" i="67"/>
  <c r="F43" i="67"/>
  <c r="M28" i="67"/>
  <c r="F42" i="15"/>
  <c r="M23" i="67"/>
  <c r="F3" i="73"/>
  <c r="D5" i="73"/>
  <c r="E13" i="76"/>
  <c r="B7" i="76"/>
  <c r="F20" i="31"/>
  <c r="F5" i="73"/>
  <c r="E10" i="76"/>
  <c r="M22" i="15"/>
  <c r="M28" i="15"/>
  <c r="M9" i="15"/>
  <c r="F42" i="67"/>
  <c r="D34" i="9"/>
  <c r="F43" i="15"/>
  <c r="M6" i="67"/>
  <c r="D3" i="73"/>
  <c r="F36" i="15"/>
  <c r="F13" i="15"/>
  <c r="AO13" i="1"/>
  <c r="D6" i="73"/>
  <c r="E2" i="68"/>
  <c r="M8" i="15"/>
  <c r="C76" i="67"/>
  <c r="F7" i="15"/>
  <c r="L48" i="15"/>
  <c r="F7" i="73"/>
  <c r="E2" i="69"/>
  <c r="B8" i="76"/>
  <c r="M29" i="15"/>
  <c r="M9" i="67"/>
  <c r="M26" i="15"/>
  <c r="F4" i="73"/>
  <c r="M6" i="15"/>
  <c r="C28" i="67" l="1"/>
  <c r="G6" i="1"/>
  <c r="I24" i="43"/>
  <c r="E19" i="71"/>
  <c r="E18" i="71" s="1"/>
  <c r="E17" i="71" s="1"/>
  <c r="E16" i="71" s="1"/>
  <c r="V20" i="71"/>
  <c r="U15" i="21"/>
  <c r="AB15" i="21"/>
  <c r="S12" i="21"/>
  <c r="AA12" i="21"/>
  <c r="AC9" i="34"/>
  <c r="W9" i="34"/>
  <c r="D17" i="71"/>
  <c r="C16" i="71"/>
  <c r="D19" i="53"/>
  <c r="B38" i="72" s="1"/>
  <c r="D16" i="53"/>
  <c r="B34" i="72" s="1"/>
  <c r="AC17" i="21"/>
  <c r="W17" i="21"/>
  <c r="AZ557" i="3"/>
  <c r="W29" i="21"/>
  <c r="AC29" i="21"/>
  <c r="G5" i="3"/>
  <c r="B3" i="3" s="1"/>
  <c r="J34" i="35"/>
  <c r="H34" i="35"/>
  <c r="F34" i="35"/>
  <c r="AZ399" i="3"/>
  <c r="AZ404" i="3"/>
  <c r="AZ414" i="3"/>
  <c r="AZ421" i="3"/>
  <c r="AC15" i="21"/>
  <c r="BA5" i="3"/>
  <c r="S20" i="35"/>
  <c r="U12" i="39"/>
  <c r="AA27" i="40"/>
  <c r="AB27" i="40"/>
  <c r="G28" i="6"/>
  <c r="F29" i="6"/>
  <c r="F30" i="6" s="1"/>
  <c r="AA25" i="21"/>
  <c r="U43" i="33"/>
  <c r="AA41" i="34"/>
  <c r="W29" i="33"/>
  <c r="S45" i="33"/>
  <c r="AC30" i="34"/>
  <c r="U46" i="33"/>
  <c r="AA13" i="35"/>
  <c r="B73" i="43"/>
  <c r="B79" i="43"/>
  <c r="B76" i="43"/>
  <c r="B75" i="43"/>
  <c r="F9" i="34"/>
  <c r="AA9" i="34" s="1"/>
  <c r="J12" i="35"/>
  <c r="H36" i="35"/>
  <c r="J36" i="35"/>
  <c r="J23" i="36"/>
  <c r="H23" i="36"/>
  <c r="F23" i="36"/>
  <c r="W31" i="35"/>
  <c r="AC31" i="35"/>
  <c r="G551" i="3"/>
  <c r="BL548" i="3"/>
  <c r="AZ548" i="3" s="1"/>
  <c r="AZ409" i="3"/>
  <c r="AZ425" i="3"/>
  <c r="AZ432" i="3"/>
  <c r="AZ439" i="3"/>
  <c r="AZ444" i="3"/>
  <c r="AZ448" i="3"/>
  <c r="AZ452" i="3"/>
  <c r="AZ247" i="3"/>
  <c r="AZ264" i="3"/>
  <c r="AZ293" i="3"/>
  <c r="AZ461" i="3"/>
  <c r="AZ463" i="3"/>
  <c r="AZ468" i="3"/>
  <c r="AZ470" i="3"/>
  <c r="AZ479" i="3"/>
  <c r="AZ485" i="3"/>
  <c r="AZ385" i="3"/>
  <c r="AZ210" i="3"/>
  <c r="AZ225" i="3"/>
  <c r="AZ239" i="3"/>
  <c r="AZ255" i="3"/>
  <c r="AZ270" i="3"/>
  <c r="AZ274" i="3"/>
  <c r="AZ277" i="3"/>
  <c r="AZ121" i="3"/>
  <c r="AZ134" i="3"/>
  <c r="AZ137" i="3"/>
  <c r="AZ145" i="3"/>
  <c r="AZ161" i="3"/>
  <c r="AZ177" i="3"/>
  <c r="AZ193" i="3"/>
  <c r="AZ34" i="3"/>
  <c r="AZ40" i="3"/>
  <c r="AZ46" i="3"/>
  <c r="AZ49" i="3"/>
  <c r="AZ62" i="3"/>
  <c r="AZ65" i="3"/>
  <c r="AZ76" i="3"/>
  <c r="AZ81" i="3"/>
  <c r="AZ90" i="3"/>
  <c r="D40" i="71"/>
  <c r="T40" i="71"/>
  <c r="C56" i="71"/>
  <c r="D55" i="71"/>
  <c r="D63" i="71"/>
  <c r="C64" i="71"/>
  <c r="AZ108" i="3"/>
  <c r="AB21" i="21"/>
  <c r="AB21" i="33"/>
  <c r="D32" i="71"/>
  <c r="T32" i="71"/>
  <c r="C35" i="71"/>
  <c r="D34" i="71"/>
  <c r="D44" i="71"/>
  <c r="T44"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X22" i="71"/>
  <c r="X21" i="71"/>
  <c r="AA22" i="71"/>
  <c r="AA18" i="71"/>
  <c r="X17" i="71"/>
  <c r="Y17" i="71"/>
  <c r="Z17" i="71" s="1"/>
  <c r="AA17" i="71"/>
  <c r="AB18" i="71"/>
  <c r="Y14" i="71"/>
  <c r="Z14" i="71" s="1"/>
  <c r="S21" i="21"/>
  <c r="U18" i="36"/>
  <c r="S25" i="40"/>
  <c r="D27" i="71"/>
  <c r="D28" i="71"/>
  <c r="U28" i="71" s="1"/>
  <c r="AA27" i="71"/>
  <c r="AA25" i="71"/>
  <c r="AB27" i="71"/>
  <c r="AA24" i="71"/>
  <c r="D42" i="71"/>
  <c r="X27" i="71"/>
  <c r="AB37" i="71"/>
  <c r="AA35" i="71"/>
  <c r="AB33" i="71"/>
  <c r="Y30" i="71"/>
  <c r="Z30" i="71" s="1"/>
  <c r="AB31" i="71"/>
  <c r="Y34" i="71"/>
  <c r="Z34" i="71" s="1"/>
  <c r="X33" i="71"/>
  <c r="X34" i="71"/>
  <c r="X35" i="71"/>
  <c r="AB35" i="71"/>
  <c r="Y38" i="71"/>
  <c r="Z38" i="71" s="1"/>
  <c r="AA9" i="71"/>
  <c r="AA10" i="71"/>
  <c r="AA39" i="71"/>
  <c r="AA37" i="71"/>
  <c r="C47" i="71"/>
  <c r="D47" i="71" s="1"/>
  <c r="D46" i="71"/>
  <c r="B59" i="71"/>
  <c r="B60" i="71" s="1"/>
  <c r="S60" i="71" s="1"/>
  <c r="V68" i="71"/>
  <c r="F67" i="71"/>
  <c r="X9" i="71"/>
  <c r="X10" i="71"/>
  <c r="AB10" i="71"/>
  <c r="AB9" i="71"/>
  <c r="AB24" i="71"/>
  <c r="Y21" i="71"/>
  <c r="Z21" i="71" s="1"/>
  <c r="AB21" i="71"/>
  <c r="X18" i="71"/>
  <c r="X12" i="71"/>
  <c r="AA14" i="71"/>
  <c r="AB17" i="71"/>
  <c r="X24" i="71"/>
  <c r="Y24" i="71"/>
  <c r="Z24" i="71" s="1"/>
  <c r="AA21" i="71"/>
  <c r="Y18" i="71"/>
  <c r="Z18" i="71" s="1"/>
  <c r="AB15" i="71"/>
  <c r="AB12" i="71"/>
  <c r="AB14" i="71"/>
  <c r="Y12" i="71"/>
  <c r="Z12" i="71" s="1"/>
  <c r="Y13" i="71"/>
  <c r="Z13" i="71" s="1"/>
  <c r="AA11" i="71"/>
  <c r="X13" i="71"/>
  <c r="Y23" i="71"/>
  <c r="Z23" i="71" s="1"/>
  <c r="Y22" i="71"/>
  <c r="Z22" i="71" s="1"/>
  <c r="AA23" i="71"/>
  <c r="AB23" i="71"/>
  <c r="X15" i="71"/>
  <c r="AA15" i="71"/>
  <c r="AB11" i="71"/>
  <c r="AB13" i="71"/>
  <c r="Y11" i="71"/>
  <c r="Z11" i="71" s="1"/>
  <c r="AA12"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N94" i="46" l="1"/>
  <c r="E26" i="43"/>
  <c r="J26" i="43"/>
  <c r="B15" i="71"/>
  <c r="B14" i="71" s="1"/>
  <c r="B13" i="71" s="1"/>
  <c r="B12" i="71" s="1"/>
  <c r="S16" i="71"/>
  <c r="B27" i="71"/>
  <c r="B26" i="71" s="1"/>
  <c r="S28" i="71"/>
  <c r="C36" i="71"/>
  <c r="D35" i="71"/>
  <c r="D64" i="71"/>
  <c r="T64" i="71"/>
  <c r="AA23" i="36"/>
  <c r="S23" i="36"/>
  <c r="AC23" i="36"/>
  <c r="W23" i="36"/>
  <c r="AB36" i="35"/>
  <c r="U36" i="35"/>
  <c r="AB34" i="35"/>
  <c r="U34"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205" i="3"/>
  <c r="E296" i="3"/>
  <c r="E140" i="3"/>
  <c r="E197" i="3"/>
  <c r="E173" i="3"/>
  <c r="E369" i="3"/>
  <c r="E525" i="3"/>
  <c r="E534" i="3"/>
  <c r="T6" i="3"/>
  <c r="E405" i="3"/>
  <c r="E456" i="3"/>
  <c r="E469" i="3"/>
  <c r="E512" i="3"/>
  <c r="E408" i="3"/>
  <c r="E451" i="3"/>
  <c r="E360"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80" i="3"/>
  <c r="E62" i="3"/>
  <c r="E113" i="3"/>
  <c r="E176" i="3"/>
  <c r="E158" i="3"/>
  <c r="E218" i="3"/>
  <c r="E287" i="3"/>
  <c r="E265" i="3"/>
  <c r="E308" i="3"/>
  <c r="E365" i="3"/>
  <c r="E326" i="3"/>
  <c r="E524" i="3"/>
  <c r="E22" i="3"/>
  <c r="E101" i="3"/>
  <c r="E20" i="3"/>
  <c r="E83" i="3"/>
  <c r="F7" i="36"/>
  <c r="J7" i="37"/>
  <c r="H7" i="36"/>
  <c r="AZ5" i="3"/>
  <c r="S9" i="34"/>
  <c r="F66" i="71"/>
  <c r="Q67" i="71"/>
  <c r="D56" i="71"/>
  <c r="T56" i="71"/>
  <c r="U23" i="36"/>
  <c r="AB23" i="36"/>
  <c r="W36" i="35"/>
  <c r="AC36" i="35"/>
  <c r="W12" i="35"/>
  <c r="AC12" i="35"/>
  <c r="AA34" i="35"/>
  <c r="S34" i="35"/>
  <c r="AC34" i="35"/>
  <c r="W34" i="35"/>
  <c r="BL5" i="3"/>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Q66" i="71"/>
  <c r="Q65" i="71"/>
  <c r="E11" i="71"/>
  <c r="E10" i="71" s="1"/>
  <c r="E9" i="71" s="1"/>
  <c r="E8" i="71" s="1"/>
  <c r="E7" i="71" s="1"/>
  <c r="E6" i="71" s="1"/>
  <c r="E5" i="71" s="1"/>
  <c r="V12" i="71"/>
  <c r="C14" i="71"/>
  <c r="D15" i="71"/>
  <c r="D36" i="71"/>
  <c r="T3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I5"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4" i="71" l="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C6" i="69" s="1"/>
  <c r="C7" i="69" s="1"/>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C8" i="68" l="1"/>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27" i="12" s="1"/>
  <c r="C25"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15"/>
  <c r="M21" i="67"/>
  <c r="F35" i="15"/>
  <c r="C25" i="68" l="1"/>
  <c r="C22" i="68" s="1"/>
  <c r="C31" i="68" s="1"/>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2" i="21"/>
  <c r="L51" i="67"/>
  <c r="C102" i="9" l="1"/>
  <c r="C21" i="9"/>
  <c r="B3"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20" i="9"/>
  <c r="C103" i="9" l="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19" i="9"/>
  <c r="D2" i="34"/>
  <c r="L51" i="15"/>
  <c r="D2" i="37"/>
  <c r="D102" i="9" l="1"/>
  <c r="D21" i="9"/>
  <c r="D22" i="9"/>
  <c r="G19" i="9"/>
  <c r="G21"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0" i="1"/>
  <c r="AO7" i="1"/>
  <c r="AO11" i="1"/>
  <c r="D20" i="9"/>
  <c r="AO8" i="1"/>
  <c r="AO9"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X26"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H118" i="9" l="1"/>
  <c r="H4" i="52" s="1"/>
  <c r="E14" i="74"/>
  <c r="F118" i="9"/>
  <c r="F4" i="52" s="1"/>
  <c r="B51" i="72" s="1"/>
  <c r="E118" i="9"/>
  <c r="E4" i="52" s="1"/>
  <c r="B48" i="72" s="1"/>
  <c r="C105" i="9"/>
  <c r="I4" i="52"/>
  <c r="H102" i="9"/>
  <c r="C104" i="9" l="1"/>
  <c r="D14" i="74"/>
  <c r="F9" i="80" s="1"/>
  <c r="G9" i="80"/>
  <c r="F119" i="9"/>
  <c r="F5" i="52" s="1"/>
  <c r="B53" i="72" s="1"/>
  <c r="H119" i="9"/>
  <c r="H5" i="52" s="1"/>
  <c r="H101" i="9"/>
  <c r="H107" i="9" s="1"/>
  <c r="D118" i="9"/>
  <c r="D119" i="9" s="1"/>
  <c r="D5" i="52" s="1"/>
  <c r="B49" i="72" s="1"/>
  <c r="D7" i="53"/>
  <c r="B21" i="72" s="1"/>
  <c r="D45" i="9"/>
  <c r="B5" i="74" l="1"/>
  <c r="D5" i="74" s="1"/>
  <c r="M48" i="9"/>
  <c r="F14" i="74"/>
  <c r="D4" i="52"/>
  <c r="B47" i="72" s="1"/>
  <c r="D5" i="53"/>
  <c r="D6" i="53" s="1"/>
  <c r="B22" i="72" s="1"/>
  <c r="D52" i="9"/>
  <c r="D53" i="9"/>
  <c r="C93" i="9"/>
  <c r="C86" i="9" s="1"/>
  <c r="C85" i="9"/>
  <c r="C72" i="9"/>
  <c r="C78" i="9"/>
  <c r="C73" i="9" s="1"/>
  <c r="D55" i="9"/>
  <c r="M53" i="9" s="1"/>
  <c r="C64" i="9"/>
  <c r="C63" i="9" s="1"/>
  <c r="C67" i="9" s="1"/>
  <c r="D13" i="53"/>
  <c r="H108" i="9"/>
  <c r="D122" i="9"/>
  <c r="M49" i="9"/>
  <c r="C5" i="74" l="1"/>
  <c r="B20" i="72"/>
  <c r="C79" i="9"/>
  <c r="C80" i="9" s="1"/>
  <c r="E80" i="9" s="1"/>
  <c r="E81" i="9" s="1"/>
  <c r="D123" i="9"/>
  <c r="D9" i="52" s="1"/>
  <c r="D8" i="52"/>
  <c r="B30" i="72"/>
  <c r="D14" i="53"/>
  <c r="B32" i="72" s="1"/>
  <c r="L68" i="9"/>
  <c r="M68" i="9" s="1"/>
  <c r="L67" i="9"/>
  <c r="M67" i="9" s="1"/>
  <c r="L64" i="9"/>
  <c r="M64" i="9" s="1"/>
  <c r="L66" i="9"/>
  <c r="M66" i="9" s="1"/>
  <c r="L63" i="9"/>
  <c r="M63" i="9" s="1"/>
  <c r="L65" i="9"/>
  <c r="M65" i="9" s="1"/>
  <c r="C6" i="74"/>
  <c r="D15" i="53"/>
  <c r="B31" i="72" s="1"/>
  <c r="C68" i="9"/>
  <c r="D54" i="9" s="1"/>
  <c r="D59" i="9"/>
  <c r="M55" i="9" s="1"/>
  <c r="C95" i="9"/>
  <c r="C96" i="9" l="1"/>
  <c r="E96" i="9" s="1"/>
  <c r="E97" i="9" s="1"/>
  <c r="M69" i="9"/>
  <c r="N69" i="9" s="1"/>
  <c r="C81" i="9"/>
  <c r="C97" i="9" l="1"/>
  <c r="D58" i="9" s="1"/>
  <c r="D56" i="9" s="1"/>
  <c r="M54" i="9" s="1"/>
  <c r="N57" i="9" s="1"/>
  <c r="N58" i="9" l="1"/>
  <c r="P57" i="9"/>
  <c r="N59" i="9"/>
  <c r="N61" i="9" l="1"/>
  <c r="N60" i="9"/>
  <c r="G11" i="80" l="1"/>
  <c r="F11" i="80" l="1"/>
  <c r="G10" i="80"/>
  <c r="F10" i="80" l="1"/>
  <c r="G12" i="80" l="1"/>
  <c r="F12" i="80" l="1"/>
  <c r="F13"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<sst xmlns="http://schemas.openxmlformats.org/spreadsheetml/2006/main" count="7805" uniqueCount="3409">
  <si>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</si>
  <si>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</si>
  <si>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</si>
  <si>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</si>
  <si>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</si>
  <si>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</si>
  <si>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</si>
  <si>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</si>
  <si>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</si>
  <si>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</si>
  <si>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</si>
  <si>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</si>
  <si>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</si>
  <si>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</si>
  <si>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</si>
  <si>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</si>
  <si>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</si>
  <si>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</si>
  <si>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</si>
  <si>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</si>
  <si>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</si>
  <si>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</si>
  <si>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</si>
  <si>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</si>
  <si>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</si>
  <si>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</si>
  <si>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</si>
  <si>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</si>
  <si>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</si>
  <si>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</si>
  <si>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</si>
  <si>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</si>
  <si>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</si>
  <si>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</si>
  <si>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</si>
  <si>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</si>
  <si>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</si>
  <si>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</si>
  <si>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</si>
  <si>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</si>
  <si>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</si>
  <si>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</si>
  <si>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</si>
  <si>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</si>
  <si>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</si>
  <si>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</si>
  <si>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</si>
  <si>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</si>
  <si>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</si>
  <si>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</si>
  <si>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</si>
  <si>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</si>
  <si>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</si>
  <si>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</si>
  <si>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</si>
  <si>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</si>
  <si>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</si>
  <si>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</si>
  <si>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</si>
  <si>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</si>
  <si>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</si>
  <si>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</si>
  <si>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</si>
  <si>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</si>
  <si>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</si>
  <si>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</si>
  <si>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</si>
  <si>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</si>
  <si>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</si>
  <si>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</si>
  <si>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</si>
  <si>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</si>
  <si>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</si>
  <si>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</si>
  <si>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</si>
  <si>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</si>
  <si>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</si>
  <si>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</si>
  <si>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</si>
  <si>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</si>
  <si>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</si>
  <si>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</si>
  <si>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</si>
  <si>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</si>
  <si>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</si>
  <si>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</si>
  <si>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</si>
  <si>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</si>
  <si>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</si>
  <si>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</si>
  <si>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</si>
  <si>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</si>
  <si>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</si>
  <si>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</si>
  <si>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</si>
  <si>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</si>
  <si>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</si>
  <si>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</si>
  <si>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</si>
  <si>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</si>
  <si>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</si>
  <si>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</si>
  <si>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</si>
  <si>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</si>
  <si>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</si>
  <si>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</si>
  <si>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</si>
  <si>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</si>
  <si>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</si>
  <si>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</si>
  <si>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</si>
  <si>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</si>
  <si>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</si>
  <si>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</si>
  <si>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</si>
  <si>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</si>
  <si>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</si>
  <si>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</si>
  <si>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</si>
  <si>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</si>
  <si>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</si>
  <si>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</si>
  <si>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</si>
  <si>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</si>
  <si>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</si>
  <si>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</si>
  <si>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</si>
  <si>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</si>
  <si>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</si>
  <si>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</si>
  <si>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</si>
  <si>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</si>
  <si>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</si>
  <si>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</si>
  <si>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</si>
  <si>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</si>
  <si>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</si>
  <si>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</si>
  <si>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</si>
  <si>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</si>
  <si>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</si>
  <si>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</si>
  <si>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</si>
  <si>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</si>
  <si>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</si>
  <si>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</si>
  <si>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</si>
  <si>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</si>
  <si>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</si>
  <si>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</si>
  <si>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</si>
  <si>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</si>
  <si>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</si>
  <si>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</si>
  <si>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</si>
  <si>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</si>
  <si>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</si>
  <si>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</si>
  <si>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</si>
  <si>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</si>
  <si>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</si>
  <si>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</si>
  <si>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</si>
  <si>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</si>
  <si>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</si>
  <si>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</si>
  <si>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</si>
  <si>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</si>
  <si>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</si>
  <si>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</si>
  <si>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</si>
  <si>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</si>
  <si>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</si>
  <si>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</si>
  <si>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</si>
  <si>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</si>
  <si>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</si>
  <si>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</si>
  <si>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</si>
  <si>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</si>
  <si>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</si>
  <si>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</si>
  <si>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</si>
  <si>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</si>
  <si>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</si>
  <si>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</si>
  <si>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</si>
  <si>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</si>
  <si>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</si>
  <si>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</si>
  <si>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</si>
  <si>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</si>
  <si>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</si>
  <si>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</si>
  <si>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</si>
  <si>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</si>
  <si>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</si>
  <si>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</si>
  <si>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</si>
  <si>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</si>
  <si>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</si>
  <si>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</si>
  <si>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</si>
  <si>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</si>
  <si>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</si>
  <si>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</si>
  <si>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</si>
  <si>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</si>
  <si>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</si>
  <si>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</si>
  <si>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</si>
  <si>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</si>
  <si>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</si>
  <si>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</si>
  <si>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</si>
  <si>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</si>
  <si>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</si>
  <si>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</si>
  <si>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</si>
  <si>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</si>
  <si>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</si>
  <si>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</si>
  <si>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</si>
  <si>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</si>
  <si>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</si>
  <si>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</si>
  <si>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</si>
  <si>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</si>
  <si>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</si>
  <si>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</si>
  <si>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</si>
  <si>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</si>
  <si>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</si>
  <si>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</si>
  <si>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</si>
  <si>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</si>
  <si>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</si>
  <si>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</si>
  <si>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</si>
  <si>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</si>
  <si>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</si>
  <si>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</si>
  <si>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</si>
  <si>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</si>
  <si>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</si>
  <si>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</si>
  <si>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</si>
  <si>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</si>
  <si>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</si>
  <si>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</si>
  <si>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</si>
  <si>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</si>
  <si>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</si>
  <si>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</si>
  <si>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</si>
  <si>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</si>
  <si>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</si>
  <si>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</si>
  <si>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</si>
  <si>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</si>
  <si>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</si>
  <si>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</si>
  <si>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</si>
  <si>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</si>
  <si>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</si>
  <si>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</si>
  <si>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</si>
  <si>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</si>
  <si>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</si>
  <si>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</si>
  <si>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</si>
  <si>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</si>
  <si>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</si>
  <si>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</si>
  <si>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</si>
  <si>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</si>
  <si>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</si>
  <si>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</si>
  <si>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</si>
  <si>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</si>
  <si>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</si>
  <si>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</si>
  <si>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</si>
  <si>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</si>
  <si>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</si>
  <si>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</si>
  <si>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</si>
  <si>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</si>
  <si>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</si>
  <si>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</si>
  <si>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</si>
  <si>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</si>
  <si>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</si>
  <si>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</si>
  <si>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</si>
  <si>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</si>
  <si>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</si>
  <si>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</si>
  <si>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</si>
  <si>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</si>
  <si>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</si>
  <si>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</si>
  <si>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</si>
  <si>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</si>
  <si>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</si>
  <si>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</si>
  <si>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</si>
  <si>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</si>
  <si>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</si>
  <si>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</si>
  <si>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</si>
  <si>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</si>
  <si>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</si>
  <si>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</si>
  <si>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</si>
  <si>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</si>
  <si>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</si>
  <si>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</si>
  <si>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</si>
  <si>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</si>
  <si>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</si>
  <si>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</si>
  <si>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</si>
  <si>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</si>
  <si>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</si>
  <si>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</si>
  <si>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</si>
  <si>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</si>
  <si>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</si>
  <si>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</si>
  <si>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</si>
  <si>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</si>
  <si>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</si>
  <si>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</si>
  <si>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</si>
  <si>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</si>
  <si>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</si>
  <si>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</si>
  <si>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</si>
  <si>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</si>
  <si>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</si>
  <si>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</si>
  <si>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</si>
  <si>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</si>
  <si>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</si>
  <si>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</si>
  <si>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</si>
  <si>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</si>
  <si>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</si>
  <si>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</si>
  <si>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</si>
  <si>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</si>
  <si>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</si>
  <si>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</si>
  <si>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</si>
  <si>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</si>
  <si>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</si>
  <si>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</si>
  <si>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</si>
  <si>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</si>
  <si>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</si>
  <si>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</si>
  <si>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</si>
  <si>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</si>
  <si>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</si>
  <si>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</si>
  <si>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</si>
  <si>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</si>
  <si>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</si>
  <si>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</si>
  <si>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</si>
  <si>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</si>
  <si>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</si>
  <si>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</si>
  <si>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</si>
  <si>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</si>
  <si>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</si>
  <si>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</si>
  <si>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</si>
  <si>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</si>
  <si>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</si>
  <si>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</si>
  <si>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</si>
  <si>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</si>
  <si>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</si>
  <si>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</si>
  <si>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</si>
  <si>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</si>
  <si>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</si>
  <si>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</si>
  <si>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</si>
  <si>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</si>
  <si>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</si>
  <si>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</si>
  <si>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</si>
  <si>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</si>
  <si>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</si>
  <si>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</si>
  <si>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</si>
  <si>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</si>
  <si>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</si>
  <si>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</si>
  <si>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</si>
  <si>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</si>
  <si>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</si>
  <si>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</si>
  <si>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</si>
  <si>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</si>
  <si>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</si>
  <si>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</si>
  <si>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</si>
  <si>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</si>
  <si>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</si>
  <si>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</si>
  <si>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</si>
  <si>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</si>
  <si>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</si>
  <si>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</si>
  <si>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</si>
  <si>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</si>
  <si>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</si>
  <si>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</si>
  <si>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</si>
  <si>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</si>
  <si>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</si>
  <si>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</si>
  <si>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</si>
  <si>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</si>
  <si>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</si>
  <si>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</si>
  <si>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</si>
  <si>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</si>
  <si>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</si>
  <si>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</si>
  <si>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</si>
  <si>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</si>
  <si>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</si>
  <si>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</si>
  <si>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</si>
  <si>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</si>
  <si>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</si>
  <si>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</si>
  <si>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</si>
  <si>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</si>
  <si>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</si>
  <si>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</si>
  <si>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</si>
  <si>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</si>
  <si>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</si>
  <si>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</si>
  <si>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</si>
  <si>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</si>
  <si>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</si>
  <si>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</si>
  <si>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</si>
  <si>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</si>
  <si>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</si>
  <si>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</si>
  <si>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</si>
  <si>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</si>
  <si>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</si>
  <si>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</si>
  <si>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</si>
  <si>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</si>
  <si>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</si>
  <si>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</si>
  <si>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</si>
  <si>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</si>
  <si>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</si>
  <si>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</si>
  <si>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</si>
  <si>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</si>
  <si>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</si>
  <si>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</si>
  <si>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</si>
  <si>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</si>
  <si>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</si>
  <si>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</si>
  <si>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</si>
  <si>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</si>
  <si>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</si>
  <si>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</si>
  <si>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</si>
  <si>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</si>
  <si>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</si>
  <si>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</si>
  <si>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</si>
  <si>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</si>
  <si>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</si>
  <si>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</si>
  <si>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</si>
  <si>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</si>
  <si>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</si>
  <si>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</si>
  <si>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</si>
  <si>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</si>
  <si>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</si>
  <si>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</si>
  <si>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</si>
  <si>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</si>
  <si>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</si>
  <si>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</si>
  <si>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</si>
  <si>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</si>
  <si>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</si>
  <si>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</si>
  <si>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</si>
  <si>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</si>
  <si>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</si>
  <si>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</si>
  <si>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</si>
  <si>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</si>
  <si>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</si>
  <si>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</si>
  <si>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</si>
  <si>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</si>
  <si>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</si>
  <si>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</si>
  <si>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</si>
  <si>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</si>
  <si>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</si>
  <si>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</si>
  <si>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</si>
  <si>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</si>
  <si>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</si>
  <si>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</si>
  <si>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</si>
  <si>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</si>
  <si>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</si>
  <si>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</si>
  <si>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</si>
  <si>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</si>
  <si>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</si>
  <si>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</si>
  <si>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</si>
  <si>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</si>
  <si>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</si>
  <si>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</si>
  <si>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</si>
  <si>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</si>
  <si>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</si>
  <si>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</si>
  <si>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</si>
  <si>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</si>
  <si>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</si>
  <si>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</si>
  <si>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</si>
  <si>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</si>
  <si>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</si>
  <si>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</si>
  <si>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</si>
  <si>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</si>
  <si>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</si>
  <si>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</si>
  <si>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</si>
  <si>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</si>
  <si>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</si>
  <si>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</si>
  <si>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</si>
  <si>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</si>
  <si>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</si>
  <si>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</si>
  <si>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</si>
  <si>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</si>
  <si>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</si>
  <si>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</si>
  <si>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</si>
  <si>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</si>
  <si>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</si>
  <si>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</si>
  <si>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</si>
  <si>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</si>
  <si>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</si>
  <si>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</si>
  <si>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</si>
  <si>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</si>
  <si>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</si>
  <si>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</si>
  <si>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</si>
  <si>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</si>
  <si>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</si>
  <si>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</si>
  <si>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</si>
  <si>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</si>
  <si>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</si>
  <si>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</si>
  <si>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</si>
  <si>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</si>
  <si>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</si>
  <si>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</si>
  <si>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</si>
  <si>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</si>
  <si>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</si>
  <si>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</si>
  <si>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</si>
  <si>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</si>
  <si>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</si>
  <si>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</si>
  <si>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</si>
  <si>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</si>
  <si>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</si>
  <si>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</si>
  <si>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</si>
  <si>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</si>
  <si>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</si>
  <si>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</si>
  <si>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</si>
  <si>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</si>
  <si>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</si>
  <si>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</si>
  <si>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</si>
  <si>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</si>
  <si>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</si>
  <si>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</si>
  <si>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</si>
  <si>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</si>
  <si>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</si>
  <si>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</si>
  <si>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</si>
  <si>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</si>
  <si>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</si>
  <si>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</si>
  <si>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</si>
  <si>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</si>
  <si>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</si>
  <si>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</si>
  <si>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</si>
  <si>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</si>
  <si>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</si>
  <si>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</si>
  <si>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</si>
  <si>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</si>
  <si>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</si>
  <si>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</si>
  <si>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</si>
  <si>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</si>
  <si>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</si>
  <si>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</si>
  <si>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</si>
  <si>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</si>
  <si>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</si>
  <si>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</si>
  <si>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</si>
  <si>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</si>
  <si>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</si>
  <si>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</si>
  <si>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</si>
  <si>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</si>
  <si>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</si>
  <si>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</si>
  <si>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</si>
  <si>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</si>
  <si>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</si>
  <si>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</si>
  <si>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</si>
  <si>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</si>
  <si>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</si>
  <si>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</si>
  <si>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</si>
  <si>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</si>
  <si>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</si>
  <si>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</si>
  <si>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</si>
  <si>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</si>
  <si>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</si>
  <si>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</si>
  <si>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</si>
  <si>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</si>
  <si>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</si>
  <si>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</si>
  <si>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</si>
  <si>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</si>
  <si>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</si>
  <si>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</si>
  <si>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</si>
  <si>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</si>
  <si>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</si>
  <si>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</si>
  <si>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</si>
  <si>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</si>
  <si>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</si>
  <si>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</si>
  <si>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</si>
  <si>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</si>
  <si>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</si>
  <si>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</si>
  <si>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</si>
  <si>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</si>
  <si>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</si>
  <si>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</si>
  <si>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</si>
  <si>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</si>
  <si>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</si>
  <si>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</si>
  <si>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</si>
  <si>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</si>
  <si>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</si>
  <si>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</si>
  <si>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</si>
  <si>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</si>
  <si>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</si>
  <si>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</si>
  <si>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</si>
  <si>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</si>
  <si>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</si>
  <si>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</si>
  <si>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</si>
  <si>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</si>
  <si>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</si>
  <si>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</si>
  <si>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</si>
  <si>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</si>
  <si>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</si>
  <si>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</si>
  <si>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</si>
  <si>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</si>
  <si>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</si>
  <si>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</si>
  <si>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</si>
  <si>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</si>
  <si>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</si>
  <si>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</si>
  <si>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</si>
  <si>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</si>
  <si>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</si>
  <si>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</si>
  <si>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</si>
  <si>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</si>
  <si>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</si>
  <si>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</si>
  <si>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</si>
  <si>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</si>
  <si>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</si>
  <si>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</si>
  <si>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</si>
  <si>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</si>
  <si>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</si>
  <si>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</si>
  <si>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</si>
  <si>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</si>
  <si>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</si>
  <si>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</si>
  <si>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</si>
  <si>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</si>
  <si>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</si>
  <si>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</si>
  <si>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</si>
  <si>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</si>
  <si>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</si>
  <si>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</si>
  <si>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</si>
  <si>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</si>
  <si>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</si>
  <si>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</si>
  <si>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</si>
  <si>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</si>
  <si>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</si>
  <si>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</si>
  <si>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</si>
  <si>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</si>
  <si>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</si>
  <si>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</si>
  <si>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</si>
  <si>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</si>
  <si>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</si>
  <si>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</si>
  <si>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</si>
  <si>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</si>
  <si>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</si>
  <si>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</si>
  <si>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</si>
  <si>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</si>
  <si>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</si>
  <si>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</si>
  <si>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</si>
  <si>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</si>
  <si>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</si>
  <si>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</si>
  <si>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</si>
  <si>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</si>
  <si>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</si>
  <si>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</si>
  <si>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</si>
  <si>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</si>
  <si>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</si>
  <si>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</si>
  <si>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</si>
  <si>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</si>
  <si>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</si>
  <si>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</si>
  <si>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</si>
  <si>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</si>
  <si>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</si>
  <si>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</si>
  <si>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</si>
  <si>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</si>
  <si>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</si>
  <si>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</si>
  <si>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</si>
  <si>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</si>
  <si>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</si>
  <si>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</si>
  <si>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</si>
  <si>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</si>
  <si>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</si>
  <si>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</si>
  <si>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</si>
  <si>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</si>
  <si>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</si>
  <si>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</si>
  <si>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</si>
  <si>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</si>
  <si>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</si>
  <si>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</si>
  <si>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</si>
  <si>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</si>
  <si>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</si>
  <si>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</si>
  <si>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</si>
  <si>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</si>
  <si>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</si>
  <si>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</si>
  <si>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</si>
  <si>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</si>
  <si>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</si>
  <si>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</si>
  <si>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</si>
  <si>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</si>
  <si>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</si>
  <si>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</si>
  <si>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</si>
  <si>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</si>
  <si>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</si>
  <si>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</si>
  <si>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</si>
  <si>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</si>
  <si>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</si>
  <si>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</si>
  <si>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</si>
  <si>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</si>
  <si>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</si>
  <si>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</si>
  <si>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</si>
  <si>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</si>
  <si>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</si>
  <si>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</si>
  <si>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</si>
  <si>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</si>
  <si>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</si>
  <si>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</si>
  <si>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</si>
  <si>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</si>
  <si>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</si>
  <si>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</si>
  <si>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</si>
  <si>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</si>
  <si>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</si>
  <si>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</si>
  <si>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</si>
  <si>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</si>
  <si>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</si>
  <si>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</si>
  <si>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</si>
  <si>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</si>
  <si>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</si>
  <si>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</si>
  <si>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</si>
  <si>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</si>
  <si>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</si>
  <si>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</si>
  <si>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</si>
  <si>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</si>
  <si>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</si>
  <si>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</si>
  <si>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</si>
  <si>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</si>
  <si>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</si>
  <si>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</si>
  <si>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</si>
  <si>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</si>
  <si>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</si>
  <si>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</si>
  <si>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</si>
  <si>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</si>
  <si>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</si>
  <si>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</si>
  <si>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</si>
  <si>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</si>
  <si>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</si>
  <si>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</si>
  <si>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</si>
  <si>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</si>
  <si>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</si>
  <si>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</si>
  <si>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</si>
  <si>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</si>
  <si>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</si>
  <si>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</si>
  <si>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</si>
  <si>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</si>
  <si>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</si>
  <si>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</si>
  <si>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</si>
  <si>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</si>
  <si>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</si>
  <si>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</si>
  <si>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</si>
  <si>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</si>
  <si>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</si>
  <si>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</si>
  <si>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</si>
  <si>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</si>
  <si>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</si>
  <si>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</si>
  <si>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</si>
  <si>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</si>
  <si>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</si>
  <si>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</si>
  <si>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</si>
  <si>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</si>
  <si>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</si>
  <si>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</si>
  <si>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</si>
  <si>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</si>
  <si>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</si>
  <si>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</si>
  <si>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</si>
  <si>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</si>
  <si>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</si>
  <si>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</si>
  <si>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</si>
  <si>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</si>
  <si>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</si>
  <si>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</si>
  <si>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</si>
  <si>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</si>
  <si>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</si>
  <si>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</si>
  <si>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</si>
  <si>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</si>
  <si>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</si>
  <si>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</si>
  <si>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</si>
  <si>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</si>
  <si>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</si>
  <si>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</si>
  <si>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</si>
  <si>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</si>
  <si>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</si>
  <si>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</si>
  <si>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</si>
  <si>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</si>
  <si>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</si>
  <si>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</si>
  <si>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</si>
  <si>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</si>
  <si>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</si>
  <si>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</si>
  <si>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</si>
  <si>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</si>
  <si>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</si>
  <si>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</si>
  <si>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</si>
  <si>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</si>
  <si>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</si>
  <si>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</si>
  <si>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</si>
  <si>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</si>
  <si>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</si>
  <si>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</si>
  <si>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</si>
  <si>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</si>
  <si>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</si>
  <si>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</si>
  <si>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</si>
  <si>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</si>
  <si>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</si>
  <si>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</si>
  <si>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</si>
  <si>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</si>
  <si>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</si>
  <si>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</si>
  <si>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</si>
  <si>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</si>
  <si>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</si>
  <si>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</si>
  <si>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</si>
  <si>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</si>
  <si>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</si>
  <si>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</si>
  <si>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</si>
  <si>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</si>
  <si>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</si>
  <si>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</si>
  <si>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</si>
  <si>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</si>
  <si>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</si>
  <si>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</si>
  <si>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</si>
  <si>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</si>
  <si>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</si>
  <si>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</si>
  <si>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</si>
  <si>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</si>
  <si>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</si>
  <si>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</si>
  <si>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</si>
  <si>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</si>
  <si>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</si>
  <si>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</si>
  <si>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</si>
  <si>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</si>
  <si>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</si>
  <si>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</si>
  <si>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</si>
  <si>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</si>
  <si>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</si>
  <si>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</si>
  <si>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</si>
  <si>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</si>
  <si>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</si>
  <si>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</si>
  <si>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</si>
  <si>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</si>
  <si>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</si>
  <si>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</si>
  <si>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</si>
  <si>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</si>
  <si>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</si>
  <si>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</si>
  <si>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</si>
  <si>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</si>
  <si>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</si>
  <si>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</si>
  <si>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</si>
  <si>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</si>
  <si>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</si>
  <si>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</si>
  <si>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</si>
  <si>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</si>
  <si>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</si>
  <si>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</si>
  <si>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</si>
  <si>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</si>
  <si>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</si>
  <si>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</si>
  <si>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</si>
  <si>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</si>
  <si>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</si>
  <si>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</si>
  <si>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</si>
  <si>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</si>
  <si>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</si>
  <si>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</si>
  <si>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</si>
  <si>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</si>
  <si>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</si>
  <si>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</si>
  <si>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</si>
  <si>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</si>
  <si>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</si>
  <si>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</si>
  <si>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</si>
  <si>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</si>
  <si>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</si>
  <si>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</si>
  <si>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</si>
  <si>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</si>
  <si>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</si>
  <si>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</si>
  <si>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</si>
  <si>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</si>
  <si>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</si>
  <si>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</si>
  <si>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</si>
  <si>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</si>
  <si>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</si>
  <si>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</si>
  <si>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</si>
  <si>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</si>
  <si>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</si>
  <si>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</si>
  <si>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</si>
  <si>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</si>
  <si>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</si>
  <si>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</si>
  <si>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</si>
  <si>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</si>
  <si>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</si>
  <si>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</si>
  <si>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</si>
  <si>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</si>
  <si>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</si>
  <si>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</si>
  <si>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</si>
  <si>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</si>
  <si>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</si>
  <si>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</si>
  <si>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</si>
  <si>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</si>
  <si>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</si>
  <si>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</si>
  <si>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</si>
  <si>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</si>
  <si>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</si>
  <si>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</si>
  <si>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</si>
  <si>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</si>
  <si>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</si>
  <si>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</si>
  <si>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</si>
  <si>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</si>
  <si>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</si>
  <si>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</si>
  <si>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</si>
  <si>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</si>
  <si>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</si>
  <si>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</si>
  <si>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</si>
  <si>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</si>
  <si>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</si>
  <si>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</si>
  <si>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</si>
  <si>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</si>
  <si>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</si>
  <si>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</si>
  <si>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</si>
  <si>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</si>
  <si>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</si>
  <si>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</si>
  <si>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</si>
  <si>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</si>
  <si>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</si>
  <si>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</si>
  <si>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</si>
  <si>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</si>
  <si>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</si>
  <si>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</si>
  <si>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</si>
  <si>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</si>
  <si>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</si>
  <si>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</si>
  <si>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</si>
  <si>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</si>
  <si>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</si>
  <si>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</si>
  <si>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</si>
  <si>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</si>
  <si>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</si>
  <si>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</si>
  <si>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</si>
  <si>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</si>
  <si>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</si>
  <si>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</si>
  <si>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</si>
  <si>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</si>
  <si>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</si>
  <si>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</si>
  <si>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</si>
  <si>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</si>
  <si>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</si>
  <si>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</si>
  <si>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</si>
  <si>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</si>
  <si>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</si>
  <si>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</si>
  <si>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</si>
  <si>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</si>
  <si>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</si>
  <si>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</si>
  <si>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</si>
  <si>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</si>
  <si>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</si>
  <si>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</si>
  <si>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</si>
  <si>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</si>
  <si>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</si>
  <si>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</si>
  <si>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</si>
  <si>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</si>
  <si>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</si>
  <si>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</si>
  <si>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</si>
  <si>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</si>
  <si>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</si>
  <si>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</si>
  <si>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</si>
  <si>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</si>
  <si>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</si>
  <si>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</si>
  <si>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</si>
  <si>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</si>
  <si>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</si>
  <si>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</si>
  <si>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</si>
  <si>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</si>
  <si>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</si>
  <si>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</si>
  <si>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</si>
  <si>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</si>
  <si>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</si>
  <si>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</si>
  <si>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</si>
  <si>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</si>
  <si>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</si>
  <si>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</si>
  <si>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</si>
  <si>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</si>
  <si>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</si>
  <si>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</si>
  <si>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</si>
  <si>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</si>
  <si>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</si>
  <si>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</si>
  <si>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</si>
  <si>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</si>
  <si>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</si>
  <si>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</si>
  <si>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</si>
  <si>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</si>
  <si>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</si>
  <si>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</si>
  <si>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</si>
  <si>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</si>
  <si>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</si>
  <si>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</si>
  <si>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</si>
  <si>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</si>
  <si>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</si>
  <si>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</si>
  <si>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</si>
  <si>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</si>
  <si>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</si>
  <si>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</si>
  <si>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</si>
  <si>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</si>
  <si>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</si>
  <si>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</si>
  <si>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</si>
  <si>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</si>
  <si>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</si>
  <si>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</si>
  <si>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</si>
  <si>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</si>
  <si>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</si>
  <si>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</si>
  <si>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</si>
  <si>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</si>
  <si>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</si>
  <si>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</si>
  <si>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</si>
  <si>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</si>
  <si>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</si>
  <si>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</si>
  <si>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</si>
  <si>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</si>
  <si>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</si>
  <si>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</si>
  <si>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</si>
  <si>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</si>
  <si>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</si>
  <si>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</si>
  <si>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</si>
  <si>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</si>
  <si>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</si>
  <si>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</si>
  <si>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</si>
  <si>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</si>
  <si>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</si>
  <si>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</si>
  <si>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</si>
  <si>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</si>
  <si>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</si>
  <si>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</si>
  <si>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</si>
  <si>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</si>
  <si>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</si>
  <si>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</si>
  <si>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</si>
  <si>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</si>
  <si>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</si>
  <si>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</si>
  <si>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</si>
  <si>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</si>
  <si>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</si>
  <si>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</si>
  <si>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</si>
  <si>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</si>
  <si>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</si>
  <si>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</si>
  <si>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</si>
  <si>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</si>
  <si>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</si>
  <si>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</si>
  <si>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</si>
  <si>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</si>
  <si>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</si>
  <si>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</si>
  <si>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</si>
  <si>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</si>
  <si>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</si>
  <si>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</si>
  <si>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</si>
  <si>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</si>
  <si>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</si>
  <si>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</si>
  <si>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</si>
  <si>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</si>
  <si>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</si>
  <si>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</si>
  <si>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</si>
  <si>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</si>
  <si>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</si>
  <si>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</si>
  <si>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</si>
  <si>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</si>
  <si>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</si>
  <si>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</si>
  <si>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</si>
  <si>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</si>
  <si>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</si>
  <si>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</si>
  <si>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</si>
  <si>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</si>
  <si>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</si>
  <si>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</si>
  <si>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</si>
  <si>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</si>
  <si>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</si>
  <si>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</si>
  <si>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</si>
  <si>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</si>
  <si>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</si>
  <si>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</si>
  <si>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</si>
  <si>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</si>
  <si>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</si>
  <si>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</si>
  <si>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</si>
  <si>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</si>
  <si>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</si>
  <si>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</si>
  <si>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</si>
  <si>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</si>
  <si>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</si>
  <si>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</si>
  <si>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</si>
  <si>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</si>
  <si>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</si>
  <si>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</si>
  <si>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</si>
  <si>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</si>
  <si>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</si>
  <si>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</si>
  <si>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</si>
  <si>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</si>
  <si>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</si>
  <si>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</si>
  <si>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</si>
  <si>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</si>
  <si>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</si>
  <si>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</si>
  <si>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</si>
  <si>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</si>
  <si>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</si>
  <si>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</si>
  <si>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</si>
  <si>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</si>
  <si>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</si>
  <si>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</si>
  <si>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</si>
  <si>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</si>
  <si>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</si>
  <si>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</si>
  <si>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</si>
  <si>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</si>
  <si>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</si>
  <si>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</si>
  <si>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</si>
  <si>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</si>
  <si>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</si>
  <si>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</si>
  <si>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</si>
  <si>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</si>
  <si>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</si>
  <si>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</si>
  <si>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</si>
  <si>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</si>
  <si>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</si>
  <si>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</si>
  <si>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</si>
  <si>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</si>
  <si>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</si>
  <si>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</si>
  <si>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</si>
  <si>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</si>
  <si>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</si>
  <si>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</si>
  <si>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</si>
  <si>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</si>
  <si>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</si>
  <si>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</si>
  <si>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</si>
  <si>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</si>
  <si>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</si>
  <si>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</si>
  <si>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</si>
  <si>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</si>
  <si>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</si>
  <si>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</si>
  <si>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</si>
  <si>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</si>
  <si>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</si>
  <si>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</si>
  <si>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</si>
  <si>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</si>
  <si>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</si>
  <si>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</si>
  <si>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</si>
  <si>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</si>
  <si>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</si>
  <si>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</si>
  <si>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</si>
  <si>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</si>
  <si>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</si>
  <si>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</si>
  <si>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</si>
  <si>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</si>
  <si>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</si>
  <si>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</si>
  <si>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</si>
  <si>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</si>
  <si>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</si>
  <si>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</si>
  <si>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</si>
  <si>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</si>
  <si>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</si>
  <si>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</si>
  <si>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</si>
  <si>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</si>
  <si>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</si>
  <si>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</si>
  <si>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</si>
  <si>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</si>
  <si>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</si>
  <si>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</si>
  <si>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</si>
  <si>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</si>
  <si>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</si>
  <si>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</si>
  <si>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</si>
  <si>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</si>
  <si>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</si>
  <si>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</si>
  <si>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</si>
  <si>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</si>
  <si>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</si>
  <si>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</si>
  <si>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</si>
  <si>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</si>
  <si>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</si>
  <si>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</si>
  <si>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</si>
  <si>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</si>
  <si>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</si>
  <si>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</si>
  <si>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</si>
  <si>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</si>
  <si>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</si>
  <si>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</si>
  <si>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</si>
  <si>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</si>
  <si>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</si>
  <si>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</si>
  <si>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</si>
  <si>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</si>
  <si>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</si>
  <si>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</si>
  <si>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</si>
  <si>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</si>
  <si>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</si>
  <si>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</si>
  <si>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</si>
  <si>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</si>
  <si>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</si>
  <si>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</si>
  <si>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</si>
  <si>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</si>
  <si>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</si>
  <si>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</si>
  <si>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</si>
  <si>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</si>
  <si>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</si>
  <si>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</si>
  <si>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</si>
  <si>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</si>
  <si>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</si>
  <si>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</si>
  <si>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</si>
  <si>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</si>
  <si>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</si>
  <si>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</si>
  <si>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</si>
  <si>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</si>
  <si>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</si>
  <si>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</si>
  <si>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</si>
  <si>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</si>
  <si>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</si>
  <si>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</si>
  <si>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</si>
  <si>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</si>
  <si>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</si>
  <si>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</si>
  <si>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</si>
  <si>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</si>
  <si>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</si>
  <si>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</si>
  <si>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</si>
  <si>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</si>
  <si>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</si>
  <si>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</si>
  <si>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</si>
  <si>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</si>
  <si>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</si>
  <si>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</si>
  <si>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</si>
  <si>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</si>
  <si>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</si>
  <si>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</si>
  <si>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</si>
  <si>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</si>
  <si>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</si>
  <si>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</si>
  <si>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</si>
  <si>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</si>
  <si>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</si>
  <si>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</si>
  <si>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</si>
  <si>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</si>
  <si>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</si>
  <si>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</si>
  <si>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</si>
  <si>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</si>
  <si>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</si>
  <si>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</si>
  <si>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</si>
  <si>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</si>
  <si>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</si>
  <si>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</si>
  <si>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</si>
  <si>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</si>
  <si>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</si>
  <si>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</si>
  <si>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</si>
  <si>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</si>
  <si>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</si>
  <si>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</si>
  <si>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</si>
  <si>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</si>
  <si>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</si>
  <si>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</si>
  <si>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</si>
  <si>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</si>
  <si>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</si>
  <si>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</si>
  <si>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</si>
  <si>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</si>
  <si>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</si>
  <si>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</si>
  <si>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</si>
  <si>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</si>
  <si>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</si>
  <si>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</si>
  <si>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</si>
  <si>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</si>
  <si>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</si>
  <si>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</si>
  <si>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</si>
  <si>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</si>
  <si>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</si>
  <si>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</si>
  <si>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</si>
  <si>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</si>
  <si>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</si>
  <si>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</si>
  <si>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</si>
  <si>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</si>
  <si>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</si>
  <si>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</si>
  <si>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</si>
  <si>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</si>
  <si>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</si>
  <si>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</si>
  <si>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</si>
  <si>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</si>
  <si>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</si>
  <si>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</si>
  <si>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</si>
  <si>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</si>
  <si>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</si>
  <si>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</si>
  <si>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</si>
  <si>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</si>
  <si>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</si>
  <si>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</si>
  <si>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</si>
  <si>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</si>
  <si>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</si>
  <si>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</si>
  <si>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</si>
  <si>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</si>
  <si>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</si>
  <si>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</si>
  <si>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</si>
  <si>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</si>
  <si>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</si>
  <si>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</si>
  <si>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</si>
  <si>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</si>
  <si>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</si>
  <si>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</si>
  <si>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</si>
  <si>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</si>
  <si>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</si>
  <si>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</si>
  <si>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</si>
  <si>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</si>
  <si>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</si>
  <si>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</si>
  <si>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</si>
  <si>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</si>
  <si>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</si>
  <si>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</si>
  <si>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</si>
  <si>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</si>
  <si>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</si>
  <si>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</si>
  <si>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</si>
  <si>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</si>
  <si>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</si>
  <si>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</si>
  <si>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</si>
  <si>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</si>
  <si>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</si>
  <si>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</si>
  <si>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</si>
  <si>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</si>
  <si>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</si>
  <si>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</si>
  <si>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</si>
  <si>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</si>
  <si>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</si>
  <si>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</si>
  <si>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</si>
  <si>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</si>
  <si>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</si>
  <si>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</si>
  <si>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</si>
  <si>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</si>
  <si>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</si>
  <si>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</si>
  <si>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</si>
  <si>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</si>
  <si>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</si>
  <si>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</si>
  <si>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</si>
  <si>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</si>
  <si>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</si>
  <si>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</si>
  <si>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</si>
  <si>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</si>
  <si>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</si>
  <si>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</si>
  <si>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</si>
  <si>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</si>
  <si>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</si>
  <si>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</si>
  <si>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</si>
  <si>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</si>
  <si>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</si>
  <si>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</si>
  <si>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</si>
  <si>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</si>
  <si>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</si>
  <si>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</si>
  <si>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</si>
  <si>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</si>
  <si>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</si>
  <si>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</si>
  <si>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</si>
  <si>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</si>
  <si>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</si>
  <si>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</si>
  <si>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</si>
  <si>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</si>
  <si>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</si>
  <si>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</si>
  <si>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</si>
  <si>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</si>
  <si>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</si>
  <si>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</si>
  <si>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</si>
  <si>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</si>
  <si>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</si>
  <si>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</si>
  <si>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</si>
  <si>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</si>
  <si>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</si>
  <si>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</si>
  <si>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</si>
  <si>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</si>
  <si>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</si>
  <si>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</si>
  <si>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</si>
  <si>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</si>
  <si>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</si>
  <si>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</si>
  <si>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</si>
  <si>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</si>
  <si>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</si>
  <si>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</si>
  <si>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</si>
  <si>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</si>
  <si>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</si>
  <si>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</si>
  <si>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</si>
  <si>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</si>
  <si>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</si>
  <si>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</si>
  <si>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</si>
  <si>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</si>
  <si>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</si>
  <si>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</si>
  <si>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</si>
  <si>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</si>
  <si>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</si>
  <si>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</si>
  <si>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</si>
  <si>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</si>
  <si>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</si>
  <si>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</si>
  <si>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</si>
  <si>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</si>
  <si>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</si>
  <si>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</si>
  <si>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</si>
  <si>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</si>
  <si>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</si>
  <si>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</si>
  <si>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</si>
  <si>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</si>
  <si>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</si>
  <si>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</si>
  <si>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</si>
  <si>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</si>
  <si>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</si>
  <si>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</si>
  <si>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</si>
  <si>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</si>
  <si>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</si>
  <si>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</si>
  <si>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</si>
  <si>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</si>
  <si>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</si>
  <si>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</si>
  <si>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</si>
  <si>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</si>
  <si>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</si>
  <si>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</si>
  <si>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</si>
  <si>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</si>
  <si>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</si>
  <si>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</si>
  <si>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</si>
  <si>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</si>
  <si>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</si>
  <si>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</si>
  <si>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</si>
  <si>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</si>
  <si>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</si>
  <si>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</si>
  <si>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</si>
  <si>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</si>
  <si>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</si>
  <si>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</si>
  <si>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</si>
  <si>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</si>
  <si>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</si>
  <si>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</si>
  <si>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</si>
  <si>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</si>
  <si>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</si>
  <si>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</si>
  <si>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</si>
  <si>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</si>
  <si>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</si>
  <si>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</si>
  <si>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</si>
  <si>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</si>
  <si>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</si>
  <si>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</si>
  <si>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</si>
  <si>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</si>
  <si>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</si>
  <si>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</si>
  <si>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</si>
  <si>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</si>
  <si>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</si>
  <si>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</si>
  <si>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</si>
  <si>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</si>
  <si>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</si>
  <si>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</si>
  <si>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</si>
  <si>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</si>
  <si>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</si>
  <si>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</si>
  <si>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</si>
  <si>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</si>
  <si>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</si>
  <si>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</si>
  <si>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</si>
  <si>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</si>
  <si>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</si>
  <si>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</si>
  <si>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</si>
  <si>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</si>
  <si>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</si>
  <si>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</si>
  <si>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</si>
  <si>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</si>
  <si>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</si>
  <si>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</si>
  <si>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</si>
  <si>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</si>
  <si>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</si>
  <si>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</si>
  <si>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</si>
  <si>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</si>
  <si>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</si>
  <si>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</si>
  <si>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</si>
  <si>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</si>
  <si>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</si>
  <si>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</si>
  <si>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</si>
  <si>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</si>
  <si>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</si>
  <si>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</si>
  <si>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</si>
  <si>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</si>
  <si>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</si>
  <si>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</si>
  <si>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</si>
  <si>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</si>
  <si>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</si>
  <si>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</si>
  <si>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</si>
  <si>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</si>
  <si>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</si>
  <si>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</si>
  <si>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</si>
  <si>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</si>
  <si>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</si>
  <si>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</si>
  <si>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</si>
  <si>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</si>
  <si>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</si>
  <si>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</si>
  <si>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</si>
  <si>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</si>
  <si>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</si>
  <si>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</si>
  <si>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</si>
  <si>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</si>
  <si>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</si>
  <si>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</si>
  <si>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</si>
  <si>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</si>
  <si>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</si>
  <si>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</si>
  <si>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</si>
  <si>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</si>
  <si>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</si>
  <si>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</si>
  <si>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</si>
  <si>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</si>
  <si>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</si>
  <si>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</si>
  <si>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</si>
  <si>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</si>
  <si>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</si>
  <si>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</si>
  <si>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</si>
  <si>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</si>
  <si>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</si>
  <si>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</si>
  <si>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</si>
  <si>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</si>
  <si>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</si>
  <si>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</si>
  <si>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</si>
  <si>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</si>
  <si>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</si>
  <si>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</si>
  <si>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</si>
  <si>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</si>
  <si>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</si>
  <si>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</si>
  <si>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</si>
  <si>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</si>
  <si>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</si>
  <si>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</si>
  <si>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</si>
  <si>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</si>
  <si>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</si>
  <si>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</si>
  <si>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</si>
  <si>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</si>
  <si>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</si>
  <si>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</si>
  <si>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</si>
  <si>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</si>
  <si>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</si>
  <si>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</si>
  <si>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</si>
  <si>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</si>
  <si>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</si>
  <si>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</si>
  <si>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</si>
  <si>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</si>
  <si>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</si>
  <si>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</si>
  <si>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</si>
  <si>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</si>
  <si>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</si>
  <si>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</si>
  <si>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</si>
  <si>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</si>
  <si>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</si>
  <si>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</si>
  <si>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</si>
  <si>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</si>
  <si>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</si>
  <si>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</si>
  <si>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</si>
  <si>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</si>
  <si>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</si>
  <si>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</si>
  <si>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</si>
  <si>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</si>
  <si>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</si>
  <si>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</si>
  <si>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</si>
  <si>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</si>
  <si>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</si>
  <si>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</si>
  <si>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</si>
  <si>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</si>
  <si>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</si>
  <si>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</si>
  <si>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</si>
  <si>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</si>
  <si>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</si>
  <si>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</si>
  <si>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</si>
  <si>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</si>
  <si>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</si>
  <si>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</si>
  <si>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</si>
  <si>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</si>
  <si>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</si>
  <si>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</si>
  <si>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</si>
  <si>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</si>
  <si>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</si>
  <si>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</si>
  <si>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</si>
  <si>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</si>
  <si>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</si>
  <si>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</si>
  <si>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</si>
  <si>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</si>
  <si>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</si>
  <si>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</si>
  <si>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</si>
  <si>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</si>
  <si>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</si>
  <si>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</si>
  <si>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</si>
  <si>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</si>
  <si>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</si>
  <si>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</si>
  <si>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</si>
  <si>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</si>
  <si>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</si>
  <si>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</si>
  <si>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</si>
  <si>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</si>
  <si>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</si>
  <si>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</si>
  <si>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</si>
  <si>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</si>
  <si>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</si>
  <si>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</si>
  <si>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</si>
  <si>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</si>
  <si>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</si>
  <si>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</si>
  <si>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</si>
  <si>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</si>
  <si>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</si>
  <si>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</si>
  <si>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</si>
  <si>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</si>
  <si>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</si>
  <si>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</si>
  <si>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</si>
  <si>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</si>
  <si>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</si>
  <si>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</si>
  <si>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</si>
  <si>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</si>
  <si>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</si>
  <si>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</si>
  <si>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</si>
  <si>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</si>
  <si>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</si>
  <si>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</si>
  <si>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</si>
  <si>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</si>
  <si>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</si>
  <si>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</si>
  <si>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</si>
  <si>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</si>
  <si>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</si>
  <si>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</si>
  <si>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</si>
  <si>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</si>
  <si>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</si>
  <si>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</si>
  <si>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</si>
  <si>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</si>
  <si>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</si>
  <si>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</si>
  <si>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</si>
  <si>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</si>
  <si>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</si>
  <si>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</si>
  <si>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</si>
  <si>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</si>
  <si>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</si>
  <si>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</si>
  <si>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</si>
  <si>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</si>
  <si>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</si>
  <si>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</si>
  <si>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</si>
  <si>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</si>
  <si>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</si>
  <si>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</si>
  <si>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</si>
  <si>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</si>
  <si>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</si>
  <si>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</si>
  <si>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</si>
  <si>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</si>
  <si>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</si>
  <si>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</si>
  <si>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</si>
  <si>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</si>
  <si>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</si>
  <si>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</si>
  <si>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</si>
  <si>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</si>
  <si>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</si>
  <si>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</si>
  <si>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</si>
  <si>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</si>
  <si>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</si>
  <si>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</si>
  <si>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</si>
  <si>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</si>
  <si>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</si>
  <si>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</si>
  <si>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</si>
  <si>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</si>
  <si>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</si>
  <si>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</si>
  <si>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</si>
  <si>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</si>
  <si>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</si>
  <si>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</si>
  <si>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</si>
  <si>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</si>
  <si>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</si>
  <si>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</si>
  <si>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</si>
  <si>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</si>
  <si>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</si>
  <si>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</si>
  <si>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</si>
  <si>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</si>
  <si>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</si>
  <si>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</si>
  <si>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</si>
  <si>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</si>
  <si>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</si>
  <si>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</si>
  <si>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</si>
  <si>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</si>
  <si>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</si>
  <si>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</si>
  <si>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</si>
  <si>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</si>
  <si>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</si>
  <si>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</si>
  <si>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</si>
  <si>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</si>
  <si>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</si>
  <si>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</si>
  <si>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</si>
  <si>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</si>
  <si>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</si>
  <si>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</si>
  <si>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</si>
  <si>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</si>
  <si>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</si>
  <si>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</si>
  <si>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</si>
  <si>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</si>
  <si>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</si>
  <si>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</si>
  <si>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</si>
  <si>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</si>
  <si>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</si>
  <si>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</si>
  <si>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</si>
  <si>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</si>
  <si>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</si>
  <si>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</si>
  <si>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</si>
  <si>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</si>
  <si>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</si>
  <si>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</si>
  <si>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</si>
  <si>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</si>
  <si>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</si>
  <si>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</si>
  <si>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</si>
  <si>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</si>
  <si>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</si>
  <si>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</si>
  <si>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</si>
  <si>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</si>
  <si>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</si>
  <si>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</si>
  <si>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</si>
  <si>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</si>
  <si>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</si>
  <si>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</si>
  <si>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</si>
  <si>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</si>
  <si>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</si>
  <si>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</si>
  <si>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</si>
  <si>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</si>
  <si>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</si>
  <si>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</si>
  <si>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</si>
  <si>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</si>
  <si>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</si>
  <si>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</si>
  <si>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</si>
  <si>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</si>
  <si>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</si>
  <si>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</si>
  <si>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</si>
  <si>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</si>
  <si>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</si>
  <si>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</si>
  <si>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</si>
  <si>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</si>
  <si>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</si>
  <si>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</si>
  <si>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</si>
  <si>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</si>
  <si>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</si>
  <si>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</si>
  <si>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</si>
  <si>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</si>
  <si>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</si>
  <si>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</si>
  <si>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</si>
  <si>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</si>
  <si>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</si>
  <si>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</si>
  <si>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</si>
  <si>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</si>
  <si>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</si>
  <si>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</si>
  <si>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</si>
  <si>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</si>
  <si>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</si>
  <si>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</si>
  <si>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</si>
  <si>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</si>
  <si>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</si>
  <si>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</si>
  <si>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</si>
  <si>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</si>
  <si>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</si>
  <si>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</si>
  <si>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</si>
  <si>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</si>
  <si>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</si>
  <si>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</si>
  <si>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</si>
  <si>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</si>
  <si>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</si>
  <si>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</si>
  <si>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</si>
  <si>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</si>
  <si>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</si>
  <si>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</si>
  <si>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</si>
  <si>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</si>
  <si>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</si>
  <si>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</si>
  <si>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</si>
  <si>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</si>
  <si>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</si>
  <si>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</si>
  <si>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</si>
  <si>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</si>
  <si>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</si>
  <si>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</si>
  <si>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</si>
  <si>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</si>
  <si>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</si>
  <si>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</si>
  <si>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</si>
  <si>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</si>
  <si>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</si>
  <si>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</si>
  <si>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</si>
  <si>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</si>
  <si>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</si>
  <si>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</si>
  <si>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</si>
  <si>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</si>
  <si>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</si>
  <si>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</si>
  <si>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</si>
  <si>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</si>
  <si>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</si>
  <si>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</si>
  <si>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</si>
  <si>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</si>
  <si>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</si>
  <si>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</si>
  <si>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</si>
  <si>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</si>
  <si>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</si>
  <si>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</si>
  <si>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</si>
  <si>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</si>
  <si>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</si>
  <si>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</si>
  <si>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</si>
  <si>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</si>
  <si>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</si>
  <si>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</si>
  <si>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</si>
  <si>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</si>
  <si>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</si>
  <si>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</si>
  <si>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</si>
  <si>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</si>
  <si>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</si>
  <si>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</si>
  <si>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</si>
  <si>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</si>
  <si>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</si>
  <si>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</si>
  <si>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</si>
  <si>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</si>
  <si>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</si>
  <si>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</si>
  <si>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</si>
  <si>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</si>
  <si>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</si>
  <si>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</si>
  <si>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</si>
  <si>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</si>
  <si>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</si>
  <si>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</si>
  <si>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</si>
  <si>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</si>
  <si>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</si>
  <si>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</si>
  <si>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</si>
  <si>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</si>
  <si>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</si>
  <si>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</si>
  <si>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</si>
  <si>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</si>
  <si>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</si>
  <si>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</si>
  <si>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</si>
  <si>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</si>
  <si>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</si>
  <si>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</si>
  <si>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</si>
  <si>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</si>
  <si>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</si>
  <si>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</si>
  <si>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</si>
  <si>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</si>
  <si>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</si>
  <si>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</si>
  <si>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</si>
  <si>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</si>
  <si>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</si>
  <si>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</si>
  <si>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</si>
  <si>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</si>
  <si>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</si>
  <si>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</si>
  <si>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</si>
  <si>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</si>
  <si>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</si>
  <si>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</si>
  <si>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</si>
  <si>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</si>
  <si>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</si>
  <si>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</si>
  <si>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</si>
  <si>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</si>
  <si>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</si>
  <si>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</si>
  <si>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</si>
  <si>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</si>
  <si>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</si>
  <si>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</si>
  <si>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</si>
  <si>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</si>
  <si>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</si>
  <si>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</si>
  <si>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</si>
  <si>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</si>
  <si>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</si>
  <si>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</si>
  <si>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</si>
  <si>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</si>
  <si>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</si>
  <si>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</si>
  <si>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</si>
  <si>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</si>
  <si>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</si>
  <si>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</si>
  <si>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</si>
  <si>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</si>
  <si>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</si>
  <si>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</si>
  <si>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</si>
  <si>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</si>
  <si>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</si>
  <si>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</si>
  <si>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</si>
  <si>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</si>
  <si>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</si>
  <si>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</si>
  <si>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</si>
  <si>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</si>
  <si>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</si>
  <si>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</si>
  <si>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</si>
  <si>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</si>
  <si>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</si>
  <si>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</si>
  <si>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</si>
  <si>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</si>
  <si>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</si>
  <si>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</si>
  <si>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</si>
  <si>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</si>
  <si>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</si>
  <si>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</si>
  <si>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</si>
  <si>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</si>
  <si>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</si>
  <si>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</si>
  <si>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</si>
  <si>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</si>
  <si>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</si>
  <si>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</si>
  <si>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</si>
  <si>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</si>
  <si>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</si>
  <si>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</si>
  <si>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</si>
  <si>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</si>
  <si>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</si>
  <si>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</si>
  <si>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</si>
  <si>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</si>
  <si>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</si>
  <si>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</si>
  <si>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</si>
  <si>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</si>
  <si>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</si>
  <si>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</si>
  <si>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</si>
  <si>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</si>
  <si>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</si>
  <si>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</si>
  <si>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</si>
  <si>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</si>
  <si>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</si>
  <si>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</si>
  <si>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</si>
  <si>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</si>
  <si>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</si>
  <si>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</si>
  <si>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</si>
  <si>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</si>
  <si>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</si>
  <si>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</si>
  <si>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</si>
  <si>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</si>
  <si>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</si>
  <si>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</si>
  <si>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</si>
  <si>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</si>
  <si>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</si>
  <si>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</si>
  <si>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</si>
  <si>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</si>
  <si>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</si>
  <si>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</si>
  <si>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</si>
  <si>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</si>
  <si>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</si>
  <si>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</si>
  <si>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</si>
  <si>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</si>
  <si>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</si>
  <si>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</si>
  <si>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</si>
  <si>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</si>
  <si>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</si>
  <si>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</si>
  <si>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</si>
  <si>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</si>
  <si>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</si>
  <si>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</si>
  <si>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</si>
  <si>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</si>
  <si>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</si>
  <si>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</si>
  <si>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</si>
  <si>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</si>
  <si>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</si>
  <si>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</si>
  <si>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</si>
  <si>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</si>
  <si>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</si>
  <si>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</si>
  <si>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</si>
  <si>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</si>
  <si>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</si>
  <si>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</si>
  <si>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</si>
  <si>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</si>
  <si>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</si>
  <si>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</si>
  <si>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</si>
  <si>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</si>
  <si>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</si>
  <si>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</si>
  <si>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</si>
  <si>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</si>
  <si>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</si>
  <si>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</si>
  <si>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</si>
  <si>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</si>
  <si>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</si>
  <si>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</si>
  <si>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</si>
  <si>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</si>
  <si>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</si>
  <si>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</si>
  <si>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</si>
  <si>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</si>
  <si>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</si>
  <si>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</si>
  <si>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</si>
  <si>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</si>
  <si>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</si>
  <si>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</si>
  <si>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</si>
  <si>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</si>
  <si>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</si>
  <si>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</si>
  <si>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</si>
  <si>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</si>
  <si>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</si>
  <si>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</si>
  <si>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</si>
  <si>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</si>
  <si>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</si>
  <si>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</si>
  <si>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</si>
  <si>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</si>
  <si>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</si>
  <si>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</si>
  <si>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</si>
  <si>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</si>
  <si>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</si>
  <si>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</si>
  <si>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</si>
  <si>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</si>
  <si>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</si>
  <si>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</si>
  <si>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</si>
  <si>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</si>
  <si>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</si>
  <si>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</si>
  <si>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</si>
  <si>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</si>
  <si>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</si>
  <si>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</si>
  <si>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</si>
  <si>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</si>
  <si>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</si>
  <si>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</si>
  <si>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</si>
  <si>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</si>
  <si>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</si>
  <si>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</si>
  <si>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</si>
  <si>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</si>
  <si>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</si>
  <si>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</si>
  <si>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</si>
  <si>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</si>
  <si>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</si>
  <si>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</si>
  <si>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</si>
  <si>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</si>
  <si>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</si>
  <si>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</si>
  <si>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</si>
  <si>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</si>
  <si>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</si>
  <si>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</si>
  <si>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</si>
  <si>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</si>
  <si>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</si>
  <si>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</si>
  <si>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</si>
  <si>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</si>
  <si>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</si>
  <si>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</si>
  <si>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</si>
  <si>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</si>
  <si>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</si>
  <si>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</si>
  <si>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</si>
  <si>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</si>
  <si>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</si>
  <si>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</si>
  <si>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</si>
  <si>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</si>
  <si>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</si>
  <si>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</si>
  <si>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</si>
  <si>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</si>
  <si>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</si>
  <si>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</si>
  <si>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</si>
  <si>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</si>
  <si>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</si>
  <si>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</si>
  <si>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</si>
  <si>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</si>
  <si>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</si>
  <si>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</si>
  <si>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</si>
  <si>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</si>
  <si>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</si>
  <si>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</si>
  <si>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</si>
  <si>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</si>
  <si>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</si>
  <si>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</si>
  <si>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</si>
  <si>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</si>
  <si>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</si>
  <si>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</si>
  <si>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</si>
  <si>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</si>
  <si>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</si>
  <si>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</si>
  <si>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</si>
  <si>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</si>
  <si>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</si>
  <si>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</si>
  <si>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</si>
  <si>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</si>
  <si>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</si>
  <si>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</si>
  <si>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</si>
  <si>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</si>
  <si>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</si>
  <si>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</si>
  <si>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</si>
  <si>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</si>
  <si>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</si>
  <si>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</si>
  <si>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</si>
  <si>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</si>
  <si>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</si>
  <si>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</si>
  <si>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</si>
  <si>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</si>
  <si>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</si>
  <si>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</si>
  <si>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</si>
  <si>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</si>
  <si>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</si>
  <si>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</si>
  <si>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</si>
  <si>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</si>
  <si>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</si>
  <si>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</si>
  <si>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</si>
  <si>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</si>
  <si>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</si>
  <si>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</si>
  <si>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</si>
  <si>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</si>
  <si>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</si>
  <si>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</si>
  <si>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</si>
  <si>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</si>
  <si>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</si>
  <si>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</si>
  <si>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</si>
  <si>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</si>
  <si>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</si>
  <si>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</si>
  <si>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</si>
  <si>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</si>
  <si>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</si>
  <si>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</si>
  <si>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</si>
  <si>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</si>
  <si>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</si>
  <si>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</si>
  <si>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</si>
  <si>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</si>
  <si>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</si>
  <si>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</si>
  <si>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</si>
  <si>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</si>
  <si>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</si>
  <si>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</si>
  <si>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</si>
  <si>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</si>
  <si>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</si>
  <si>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</si>
  <si>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</si>
  <si>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</si>
  <si>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</si>
  <si>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</si>
  <si>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</si>
  <si>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</si>
  <si>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</si>
  <si>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</si>
  <si>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</si>
  <si>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</si>
  <si>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</si>
  <si>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</si>
  <si>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</si>
  <si>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</si>
  <si>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</si>
  <si>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</si>
  <si>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</si>
  <si>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</si>
  <si>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</si>
  <si>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</si>
  <si>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</si>
  <si>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</si>
  <si>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</si>
  <si>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</si>
  <si>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</si>
  <si>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</si>
  <si>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</si>
  <si>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</si>
  <si>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</si>
  <si>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</si>
  <si>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</si>
  <si>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</si>
  <si>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</si>
  <si>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</si>
  <si>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</si>
  <si>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</si>
  <si>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</si>
  <si>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</si>
  <si>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</si>
  <si>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</si>
  <si>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</si>
  <si>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</si>
  <si>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</si>
  <si>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</si>
  <si>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</si>
  <si>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</si>
  <si>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</si>
  <si>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</si>
  <si>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</si>
  <si>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</si>
  <si>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</si>
  <si>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</si>
  <si>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</si>
  <si>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</si>
  <si>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</si>
  <si>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</si>
  <si>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</si>
  <si>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</si>
  <si>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</si>
  <si>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</si>
  <si>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</si>
  <si>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</si>
  <si>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</si>
  <si>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</si>
  <si>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</si>
  <si>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</si>
  <si>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</si>
  <si>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</si>
  <si>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</si>
  <si>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</si>
  <si>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</si>
  <si>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</si>
  <si>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</si>
  <si>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</si>
  <si>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</si>
  <si>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</si>
  <si>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</si>
  <si>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</si>
  <si>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</si>
  <si>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</si>
  <si>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</si>
  <si>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</si>
  <si>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</si>
  <si>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</si>
  <si>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</si>
  <si>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</si>
  <si>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</si>
  <si>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</si>
  <si>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</si>
  <si>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</si>
  <si>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</si>
  <si>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</si>
  <si>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</si>
  <si>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</si>
  <si>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</si>
  <si>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</si>
  <si>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</si>
  <si>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</si>
  <si>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</si>
  <si>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</si>
  <si>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</si>
  <si>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</si>
  <si>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</si>
  <si>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</si>
  <si>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</si>
  <si>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</si>
  <si>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</si>
  <si>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</si>
  <si>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</si>
  <si>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</si>
  <si>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</si>
  <si>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</si>
  <si>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</si>
  <si>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</si>
  <si>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</si>
  <si>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</si>
  <si>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</si>
  <si>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</si>
  <si>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</si>
  <si>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</si>
  <si>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</si>
  <si>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</si>
  <si>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</si>
  <si>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</si>
  <si>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</si>
  <si>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</si>
  <si>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</si>
  <si>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</si>
  <si>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</si>
  <si>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</si>
  <si>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</si>
  <si>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</si>
  <si>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</si>
  <si>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</si>
  <si>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</si>
  <si>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</si>
  <si>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</si>
  <si>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</si>
  <si>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</si>
  <si>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</si>
  <si>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</si>
  <si>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</si>
  <si>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</si>
  <si>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</si>
  <si>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</si>
  <si>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</si>
  <si>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</si>
  <si>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</si>
  <si>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</si>
  <si>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</si>
  <si>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</si>
  <si>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</si>
  <si>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</si>
  <si>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</si>
  <si>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</si>
  <si>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</si>
  <si>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</si>
  <si>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</si>
  <si>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</si>
  <si>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</si>
  <si>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</si>
  <si>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</si>
  <si>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</si>
  <si>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</si>
  <si>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</si>
  <si>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</si>
  <si>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</si>
  <si>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</si>
  <si>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</si>
  <si>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</si>
  <si>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</si>
  <si>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</si>
  <si>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</si>
  <si>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</si>
  <si>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</si>
  <si>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</si>
  <si>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</si>
  <si>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</si>
  <si>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</si>
  <si>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</si>
  <si>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</si>
  <si>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</si>
  <si>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</si>
  <si>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</si>
  <si>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</si>
  <si>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</si>
  <si>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</si>
  <si>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</si>
  <si>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</si>
  <si>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</si>
  <si>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</si>
  <si>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</si>
  <si>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</si>
  <si>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</si>
  <si>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</si>
  <si>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</si>
  <si>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</si>
  <si>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</si>
  <si>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</si>
  <si>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</si>
  <si>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</si>
  <si>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</si>
  <si>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</si>
  <si>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</si>
  <si>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</si>
  <si>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</si>
  <si>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</si>
  <si>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</si>
  <si>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</si>
  <si>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</si>
  <si>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</si>
  <si>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</si>
  <si>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</si>
  <si>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</si>
  <si>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</si>
  <si>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</si>
  <si>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</si>
  <si>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</si>
  <si>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</si>
  <si>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</si>
  <si>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</si>
  <si>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</si>
  <si>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</si>
  <si>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</si>
  <si>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</si>
  <si>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</si>
  <si>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</si>
  <si>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</si>
  <si>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</si>
  <si>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</si>
  <si>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</si>
  <si>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</si>
  <si>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</si>
  <si>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</si>
  <si>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</si>
  <si>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</si>
  <si>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</si>
  <si>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</si>
  <si>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</si>
  <si>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</si>
  <si>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</si>
  <si>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</si>
  <si>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</si>
  <si>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</si>
  <si>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</si>
  <si>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</si>
  <si>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</si>
  <si>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</si>
  <si>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</si>
  <si>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</si>
  <si>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</si>
  <si>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</si>
  <si>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</si>
  <si>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</si>
  <si>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</si>
  <si>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</si>
  <si>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</si>
  <si>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</si>
  <si>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</si>
  <si>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</si>
  <si>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</si>
  <si>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</si>
  <si>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</si>
  <si>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</si>
  <si>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</si>
  <si>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</si>
  <si>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</si>
  <si>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</si>
  <si>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</si>
  <si>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</si>
  <si>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</si>
  <si>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</si>
  <si>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</si>
  <si>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</si>
  <si>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</si>
  <si>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</si>
  <si>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</si>
  <si>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</si>
  <si>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</si>
  <si>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</si>
  <si>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</si>
  <si>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</si>
  <si>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</si>
  <si>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</si>
  <si>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</si>
  <si>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</si>
  <si>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</si>
  <si>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</si>
  <si>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</si>
  <si>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</si>
  <si>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</si>
  <si>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</si>
  <si>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</si>
  <si>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</si>
  <si>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</si>
  <si>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</si>
  <si>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</si>
  <si>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</si>
  <si>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</si>
  <si>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</si>
  <si>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</si>
  <si>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</si>
  <si>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</si>
  <si>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</si>
  <si>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</si>
  <si>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</si>
  <si>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</si>
  <si>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</si>
  <si>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</si>
  <si>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</si>
  <si>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</si>
  <si>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</si>
  <si>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</si>
  <si>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</si>
  <si>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</si>
  <si>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</si>
  <si>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</si>
  <si>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</si>
  <si>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</si>
  <si>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</si>
  <si>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</si>
  <si>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</si>
  <si>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</si>
  <si>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</si>
  <si>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</si>
  <si>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</si>
  <si>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</si>
  <si>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</si>
  <si>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</si>
  <si>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</si>
  <si>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</si>
  <si>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</si>
  <si>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</si>
  <si>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</si>
  <si>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</si>
  <si>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</si>
  <si>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</si>
  <si>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</si>
  <si>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</si>
  <si>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</si>
  <si>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</si>
  <si>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</si>
  <si>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</si>
  <si>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</si>
  <si>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</si>
  <si>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</si>
  <si>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</si>
  <si>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</si>
  <si>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</si>
  <si>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</si>
  <si>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</si>
  <si>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</si>
  <si>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</si>
  <si>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</si>
  <si>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</si>
  <si>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</si>
  <si>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</si>
  <si>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</si>
  <si>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</si>
  <si>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</si>
  <si>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</si>
  <si>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</si>
  <si>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</si>
  <si>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</si>
  <si>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</si>
  <si>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</si>
  <si>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</si>
  <si>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</si>
  <si>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</si>
  <si>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</si>
  <si>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</si>
  <si>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</si>
  <si>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</si>
  <si>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</si>
  <si>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</si>
  <si>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</si>
  <si>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</si>
  <si>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</si>
  <si>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</si>
  <si>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</si>
  <si>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</si>
  <si>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</si>
  <si>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</si>
  <si>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</si>
  <si>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</si>
  <si>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</si>
  <si>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</si>
  <si>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</si>
  <si>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</si>
  <si>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</si>
  <si>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</si>
  <si>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</si>
  <si>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</si>
  <si>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</si>
  <si>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</si>
  <si>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</si>
  <si>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</si>
  <si>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</si>
  <si>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</si>
  <si>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</si>
  <si>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</si>
  <si>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</si>
  <si>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</si>
  <si>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</si>
  <si>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</si>
  <si>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</si>
  <si>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</si>
  <si>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</si>
  <si>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</si>
  <si>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</si>
  <si>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</si>
  <si>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</si>
  <si>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</si>
  <si>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</si>
  <si>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</si>
  <si>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</si>
  <si>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</si>
  <si>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</si>
  <si>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</si>
  <si>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</si>
  <si>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</si>
  <si>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</si>
  <si>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</si>
  <si>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</si>
  <si>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</si>
  <si>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</si>
  <si>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</si>
  <si>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</si>
  <si>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</si>
  <si>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</si>
  <si>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</si>
  <si>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</si>
  <si>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</si>
  <si>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</si>
  <si>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</si>
  <si>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</si>
  <si>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</si>
  <si>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</si>
  <si>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</si>
  <si>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</si>
  <si>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</si>
  <si>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</si>
  <si>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</si>
  <si>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</si>
  <si>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</si>
  <si>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</si>
  <si>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</si>
  <si>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</si>
  <si>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</si>
  <si>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</si>
  <si>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</si>
  <si>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</si>
  <si>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</si>
  <si>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</si>
  <si>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</si>
  <si>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</si>
  <si>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</si>
  <si>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</si>
  <si>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</si>
  <si>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</si>
  <si>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</si>
  <si>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</si>
  <si>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</si>
  <si>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</si>
  <si>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</si>
  <si>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</si>
  <si>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</si>
  <si>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</si>
  <si>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</si>
  <si>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</si>
  <si>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</si>
  <si>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</si>
  <si>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</si>
  <si>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</si>
  <si>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</si>
  <si>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</si>
  <si>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</si>
  <si>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</si>
  <si>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</si>
  <si>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</si>
  <si>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</si>
  <si>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</si>
  <si>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</si>
  <si>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</si>
  <si>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</si>
  <si>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</si>
  <si>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</si>
  <si>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</si>
  <si>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</si>
  <si>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</si>
  <si>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</si>
  <si>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</si>
  <si>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</si>
  <si>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</si>
  <si>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</si>
  <si>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</si>
  <si>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</si>
  <si>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</si>
  <si>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</si>
  <si>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</si>
  <si>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</si>
  <si>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</si>
  <si>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</si>
  <si>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</si>
  <si>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</si>
  <si>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</si>
  <si>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</si>
  <si>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</si>
  <si>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</si>
  <si>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</si>
  <si>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</si>
  <si>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</si>
  <si>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</si>
  <si>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</si>
  <si>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</si>
  <si>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</si>
  <si>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</si>
  <si>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</si>
  <si>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</si>
  <si>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</si>
  <si>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</si>
  <si>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</si>
  <si>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</si>
  <si>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</si>
  <si>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</si>
  <si>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</si>
  <si>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</si>
  <si>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</si>
  <si>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</si>
  <si>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</si>
  <si>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</si>
  <si>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</si>
  <si>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</si>
  <si>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</si>
  <si>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</si>
  <si>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</si>
  <si>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</si>
  <si>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</si>
  <si>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</si>
  <si>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</si>
  <si>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</si>
  <si>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</si>
  <si>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</si>
  <si>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</si>
  <si>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</si>
  <si>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</si>
  <si>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</si>
  <si>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</si>
  <si>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</si>
  <si>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</si>
  <si>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</si>
  <si>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</si>
  <si>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</si>
  <si>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</si>
  <si>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</si>
  <si>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</si>
  <si>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</si>
  <si>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</si>
  <si>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</si>
  <si>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</si>
  <si>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</si>
  <si>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</si>
  <si>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</si>
  <si>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</si>
  <si>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</si>
  <si>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</si>
  <si>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</si>
  <si>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</si>
  <si>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</si>
  <si>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</si>
  <si>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</si>
  <si>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</si>
  <si>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</si>
  <si>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</si>
  <si>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</si>
  <si>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</si>
  <si>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</si>
  <si>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</si>
  <si>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</si>
  <si>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</si>
  <si>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</si>
  <si>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</si>
  <si>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</si>
  <si>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</si>
  <si>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</si>
  <si>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</si>
  <si>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</si>
  <si>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</si>
  <si>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</si>
  <si>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</si>
  <si>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</si>
  <si>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</si>
  <si>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</si>
  <si>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</si>
  <si>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</si>
  <si>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</si>
  <si>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</si>
  <si>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</si>
  <si>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</si>
  <si>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</si>
  <si>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</si>
  <si>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</si>
  <si>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</si>
  <si>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</si>
  <si>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</si>
  <si>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</si>
  <si>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</si>
  <si>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</si>
  <si>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</si>
  <si>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</si>
  <si>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</si>
  <si>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</si>
  <si>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</si>
  <si>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</si>
  <si>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</si>
  <si>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</si>
  <si>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</si>
  <si>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</si>
  <si>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</si>
  <si>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</si>
  <si>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</si>
  <si>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</si>
  <si>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</si>
  <si>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</si>
  <si>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</si>
  <si>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</si>
  <si>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</si>
  <si>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</si>
  <si>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</si>
  <si>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</si>
  <si>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</si>
  <si>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</si>
  <si>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</si>
  <si>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</si>
  <si>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</si>
  <si>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</si>
  <si>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</si>
  <si>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</si>
  <si>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</si>
  <si>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</si>
  <si>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</si>
  <si>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</si>
  <si>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</si>
  <si>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</si>
  <si>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</si>
  <si>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</si>
  <si>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</si>
  <si>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</si>
  <si>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</si>
  <si>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</si>
  <si>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</si>
  <si>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</si>
  <si>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</si>
  <si>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</si>
  <si>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</si>
  <si>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</si>
  <si>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</si>
  <si>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</si>
  <si>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</si>
  <si>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</si>
  <si>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</si>
  <si>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</si>
  <si>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</si>
  <si>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</si>
  <si>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</si>
  <si>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</si>
  <si>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</si>
  <si>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</si>
  <si>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</si>
  <si>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</si>
  <si>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</si>
  <si>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</si>
  <si>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</si>
  <si>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</si>
  <si>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</si>
  <si>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</si>
  <si>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</si>
  <si>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</si>
  <si>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</si>
  <si>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</si>
  <si>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</si>
  <si>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</si>
  <si>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</si>
  <si>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</si>
  <si>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</si>
  <si>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</si>
  <si>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</si>
  <si>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</si>
  <si>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</si>
  <si>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</si>
  <si>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</si>
  <si>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</si>
  <si>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</si>
  <si>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</si>
  <si>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</si>
  <si>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</si>
  <si>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</si>
  <si>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</si>
  <si>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</si>
  <si>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</si>
  <si>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</si>
  <si>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</si>
  <si>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</si>
  <si>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</si>
  <si>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</si>
  <si>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</si>
  <si>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</si>
  <si>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</si>
  <si>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</si>
  <si>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</si>
  <si>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办公</t>
    <phoneticPr fontId="7" type="noConversion"/>
  </si>
  <si>
    <t>办公</t>
    <phoneticPr fontId="3" type="noConversion"/>
  </si>
  <si>
    <t>成新度</t>
  </si>
  <si>
    <t>收益法 (元)</t>
  </si>
  <si>
    <t>利息：取LPR加浮动点数</t>
  </si>
  <si>
    <t>未包含在土地购买价格中</t>
  </si>
  <si>
    <t>已包含在土地取得成本中</t>
  </si>
  <si>
    <t>商务金融用地</t>
  </si>
  <si>
    <t>自定义容积率</t>
  </si>
  <si>
    <t>通路</t>
  </si>
  <si>
    <t>通电</t>
  </si>
  <si>
    <t>通讯</t>
  </si>
  <si>
    <t>通上水</t>
  </si>
  <si>
    <t>通下水</t>
  </si>
  <si>
    <t>平整</t>
  </si>
  <si>
    <t>与级别开发程度不一致</t>
  </si>
  <si>
    <t>较好</t>
  </si>
  <si>
    <t>好</t>
  </si>
  <si>
    <t>一般</t>
  </si>
  <si>
    <t>押一</t>
  </si>
  <si>
    <t>钢混</t>
  </si>
  <si>
    <t>非生产用房</t>
  </si>
  <si>
    <t>否</t>
  </si>
  <si>
    <t>成本法 (元)</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</si>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</sst>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77" fontId="128" fillId="2" borderId="5" xfId="1"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26519;&#36798;&#28023;&#28180;&#24191;&#22330;12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26519;&#36798;&#28023;&#28180;&#24191;&#22330;12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26519;&#36798;&#28023;&#28180;&#24191;&#22330;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98.9</v>
          </cell>
          <cell r="D14">
            <v>286.82979999999998</v>
          </cell>
          <cell r="E14">
            <v>29002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75.87</v>
          </cell>
          <cell r="D14">
            <v>220.04580000000001</v>
          </cell>
          <cell r="E14">
            <v>29003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72.5</v>
          </cell>
          <cell r="D14">
            <v>210.27180000000001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估价对象为北京市房地产，为所有。根据《国有土地使用证》[]，估价对象（分摊）出让国有建设用地使用权面积为0平方米，建筑面积为54.9平方米。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估价对象为北京市房地产,属开发建设的，该项目尚在开发建设中。根据《国有土地使用证》[]，估价对象（分摊）出让国有建设用地使用权面积为0平方米，规划建筑面积为54.9平方米。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2023年5月29日</v>
      </c>
    </row>
    <row r="13" spans="1:2" s="1203" customFormat="1">
      <c r="A13" s="1201" t="s">
        <v>529</v>
      </c>
      <c r="B13" s="1202"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159</v>
      </c>
    </row>
    <row r="21" spans="1:2" s="1203" customFormat="1">
      <c r="A21" s="1201" t="s">
        <v>537</v>
      </c>
      <c r="B21" s="1202">
        <f ca="1">'预评函-2'!D7</f>
        <v>29003</v>
      </c>
    </row>
    <row r="22" spans="1:2" s="1203" customFormat="1">
      <c r="A22" s="1201" t="s">
        <v>538</v>
      </c>
      <c r="B22" s="1202" t="str">
        <f ca="1">'预评函-2'!D6</f>
        <v>壹佰伍拾玖万元整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159</v>
      </c>
    </row>
    <row r="31" spans="1:2" s="1203" customFormat="1">
      <c r="A31" s="1201" t="s">
        <v>576</v>
      </c>
      <c r="B31" s="1202">
        <f ca="1">'预评函-2'!D15</f>
        <v>29003</v>
      </c>
    </row>
    <row r="32" spans="1:2" s="1203" customFormat="1">
      <c r="A32" s="1201" t="s">
        <v>543</v>
      </c>
      <c r="B32" s="1202" t="str">
        <f ca="1">'预评函-2'!D14</f>
        <v>壹佰伍拾玖万元整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54.9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2" t="s">
        <v>2583</v>
      </c>
      <c r="J2" s="3492"/>
      <c r="K2" s="3492"/>
      <c r="L2" s="3492"/>
      <c r="M2" s="3492"/>
      <c r="N2" s="3492"/>
      <c r="O2" s="3492"/>
      <c r="P2" s="3492"/>
      <c r="Q2" s="3492"/>
      <c r="R2" s="3492"/>
    </row>
    <row r="3" spans="1:18">
      <c r="A3" s="3020" t="s">
        <v>2504</v>
      </c>
      <c r="B3" s="3021">
        <f>项目基本情况!D3</f>
        <v>45075</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13.56</v>
      </c>
      <c r="D6" s="3025">
        <f>IF(ISERROR(ROUND(POWER(1+E6,A6-C6)*(POWER(1+E6,C6)-1)/(POWER(1+E6,A6)-1),3)),0,ROUND(POWER(1+E6,A6-C6)*(POWER(1+E6,C6)-1)/(POWER(1+E6,A6)-1),4))</f>
        <v>0.48</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33.58</v>
      </c>
      <c r="D7" s="3025">
        <f>IF(ISERROR(ROUND(POWER(1+E7,A7-C7)*(POWER(1+E7,C7)-1)/(POWER(1+E7,A7)-1),3)),0,ROUND(POWER(1+E7,A7-C7)*(POWER(1+E7,C7)-1)/(POWER(1+E7,A7)-1),4))</f>
        <v>0.7823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4"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05"/>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c r="E13" s="856">
        <v>57853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54.9</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5"/>
      <c r="B30" s="302" t="s">
        <v>2218</v>
      </c>
      <c r="C30" s="3496"/>
      <c r="D30" s="3497"/>
      <c r="E30" s="2664"/>
      <c r="F30" s="2664"/>
      <c r="G30" s="2664"/>
      <c r="H30" s="2664"/>
      <c r="I30" s="2664"/>
      <c r="J30" s="2439"/>
      <c r="K30" s="2616"/>
      <c r="L30" s="2613"/>
      <c r="M30" s="2613"/>
      <c r="N30" s="2439"/>
      <c r="O30" s="2450"/>
      <c r="P30" s="2439"/>
      <c r="Q30" s="2439"/>
      <c r="R30" s="2439"/>
      <c r="S30" s="2439"/>
      <c r="T30" s="2439"/>
      <c r="U30" s="2439"/>
      <c r="V30" s="2439"/>
    </row>
    <row r="31" spans="1:28">
      <c r="A31" s="349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3" t="s">
        <v>2228</v>
      </c>
      <c r="T34" s="2428" t="str">
        <f>NUMBERSTRING(7-K34,1)&amp;"通"</f>
        <v>七通</v>
      </c>
      <c r="U34" s="2439"/>
      <c r="V34" s="2439"/>
    </row>
    <row r="35" spans="1:30">
      <c r="A35" s="2429"/>
      <c r="B35" s="3500" t="s">
        <v>2229</v>
      </c>
      <c r="C35" s="3500"/>
      <c r="D35" s="3500"/>
      <c r="E35" s="350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54.9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54.9</v>
      </c>
      <c r="H5" s="13">
        <f t="shared" ref="H5:AT5" si="0">SUM(H13:H656)</f>
        <v>54.9</v>
      </c>
      <c r="I5" s="13">
        <f t="shared" si="0"/>
        <v>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54.9</v>
      </c>
      <c r="BA5" s="15">
        <f t="shared" si="1"/>
        <v>54.9</v>
      </c>
      <c r="BB5" s="15">
        <f t="shared" si="1"/>
        <v>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54.9</v>
      </c>
      <c r="H13" s="17">
        <f>SUMIF(I$12:AB$12,"总值",I13:AB13)</f>
        <v>54.9</v>
      </c>
      <c r="I13" s="1626">
        <v>54.9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54.9</v>
      </c>
      <c r="BA13" s="13">
        <f>SUM(BB13:BK13)</f>
        <v>54.9</v>
      </c>
      <c r="BB13" s="13">
        <f>IF($D13="是",I13-J13,0)</f>
        <v>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10" sqref="M1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9"/>
      <c r="G2" s="2650"/>
      <c r="H2" s="2651"/>
      <c r="I2" s="2325" t="s">
        <v>1132</v>
      </c>
      <c r="J2" s="2659"/>
      <c r="K2" s="2659"/>
      <c r="L2" s="2659"/>
      <c r="M2" s="2659"/>
      <c r="N2" s="2661"/>
      <c r="O2" s="2659"/>
      <c r="P2" s="2659"/>
    </row>
    <row r="3" spans="1:16" ht="15.75" thickBot="1">
      <c r="A3" s="3533" t="s">
        <v>1105</v>
      </c>
      <c r="B3" s="3533"/>
      <c r="C3" s="3533"/>
      <c r="D3" s="43">
        <f>'数据-基础表'!AY6</f>
        <v>0</v>
      </c>
      <c r="E3" s="43">
        <f>'数据-基础表'!AZ5</f>
        <v>54.9</v>
      </c>
      <c r="F3" s="2659"/>
      <c r="G3" s="1145"/>
      <c r="H3" s="1026" t="s">
        <v>1106</v>
      </c>
      <c r="I3" s="855" t="e">
        <f>ROUND('数据-基础表'!B3/'数据-基础表'!A3,2)</f>
        <v>#DIV/0!</v>
      </c>
      <c r="J3" s="2659"/>
      <c r="K3" s="2659"/>
      <c r="L3" s="2659"/>
      <c r="M3" s="2659"/>
      <c r="N3" s="2661"/>
      <c r="O3" s="2659"/>
      <c r="P3" s="2659"/>
    </row>
    <row r="4" spans="1:16" ht="15">
      <c r="A4" s="3534"/>
      <c r="B4" s="3535"/>
      <c r="C4" s="353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7" t="s">
        <v>1110</v>
      </c>
      <c r="C5" s="3537"/>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7" t="s">
        <v>1111</v>
      </c>
      <c r="C6" s="3537"/>
      <c r="D6" s="45">
        <f>ROUND($D$3*E6/$E$3,2)</f>
        <v>0</v>
      </c>
      <c r="E6" s="46">
        <f>E3-E5</f>
        <v>54.9</v>
      </c>
      <c r="F6" s="2659"/>
      <c r="G6" s="2653" t="s">
        <v>1112</v>
      </c>
      <c r="H6" s="1146" t="s">
        <v>1113</v>
      </c>
      <c r="I6" s="2654" t="e">
        <f>ROUND(F31/D31,2)</f>
        <v>#DIV/0!</v>
      </c>
      <c r="J6" s="2659"/>
      <c r="K6" s="2659"/>
      <c r="L6" s="2659"/>
      <c r="M6" s="2659"/>
      <c r="N6" s="2659"/>
      <c r="O6" s="2659"/>
      <c r="P6" s="2659"/>
    </row>
    <row r="7" spans="1:16" ht="15.75" thickBot="1">
      <c r="A7" s="3529"/>
      <c r="B7" s="3530"/>
      <c r="C7" s="3531"/>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54.9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54.9</v>
      </c>
      <c r="F16" s="2659"/>
      <c r="G16" s="2660"/>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3384</v>
      </c>
      <c r="D19" s="45">
        <f>ROUND($D$3*E19/$E$3,2)</f>
        <v>0</v>
      </c>
      <c r="E19" s="53">
        <f t="shared" ref="E19:E26" si="1">SUM(F19:G19)</f>
        <v>54.9</v>
      </c>
      <c r="F19" s="2795">
        <f>'数据-基础表'!I13</f>
        <v>54.9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54.9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54.9</v>
      </c>
      <c r="F27" s="1140">
        <f>IF(SUM(F19:F26)=E8,SUM(F19:F26),"地上面积有误")</f>
        <v>54.9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54.9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54.9</v>
      </c>
      <c r="F31" s="677">
        <f>F27+F30</f>
        <v>54.9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O6" activePane="bottomRight" state="frozen"/>
      <selection activeCell="C50" sqref="C50"/>
      <selection pane="topRight" activeCell="C50" sqref="C50"/>
      <selection pane="bottomLeft" activeCell="C50" sqref="C50"/>
      <selection pane="bottomRight" activeCell="AM27" sqref="AM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3450" t="s">
        <v>3385</v>
      </c>
      <c r="D6" s="858">
        <f>SUMIF(项目基本情况!C$12:I$12,C6,项目基本情况!C$14:I$14)</f>
        <v>50</v>
      </c>
      <c r="E6" s="857">
        <f>IF(B6="","",SUMIF(项目基本情况!C$12:I$12,C6,项目基本情况!C$13:I$13))</f>
        <v>57853</v>
      </c>
      <c r="F6" s="64">
        <f>SUMIF(项目基本情况!C$12:I$12,C6,项目基本情况!C$15:I$15)</f>
        <v>35</v>
      </c>
      <c r="G6" s="65">
        <f>IF(ISERROR(ROUND(POWER(1+H6,D6-F6)*(POWER(1+H6,F6)-1)/(POWER(1+H6,D6)-1),3)),0,ROUND(POWER(1+H6,D6-F6)*(POWER(1+H6,F6)-1)/(POWER(1+H6,D6)-1),3))</f>
        <v>0.89700000000000002</v>
      </c>
      <c r="H6" s="732">
        <v>0.05</v>
      </c>
      <c r="I6" s="732">
        <v>5.5E-2</v>
      </c>
      <c r="J6" s="66">
        <v>7.0000000000000007E-2</v>
      </c>
      <c r="K6" s="1030">
        <f>SUMIF('数据-汇总表'!C$19:C$33,A6,'数据-汇总表'!E$19:E$33)</f>
        <v>54.9</v>
      </c>
      <c r="L6" s="733">
        <v>5000</v>
      </c>
      <c r="M6" s="67">
        <f t="shared" ref="M6:M14" si="0">ROUND(K6*L6/10000,0)</f>
        <v>27</v>
      </c>
      <c r="N6" s="731">
        <f>N22</f>
        <v>0.78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0.03</v>
      </c>
      <c r="W6" s="70">
        <v>0.1</v>
      </c>
      <c r="X6" s="1040"/>
      <c r="Y6" s="71">
        <f>N6</f>
        <v>0.78</v>
      </c>
      <c r="Z6" s="72"/>
      <c r="AA6" s="66"/>
      <c r="AB6" s="66"/>
      <c r="AC6" s="1040"/>
      <c r="AD6" s="73"/>
      <c r="AE6" s="1041">
        <f ca="1">IF(AN6="",0,SUMIF(INDIRECT("'"&amp;AN6&amp;"'"&amp;"!E:E"),$AE$5,INDIRECT("'"&amp;AN6&amp;"'"&amp;"!F:F")))</f>
        <v>35</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148.46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0.05</v>
      </c>
      <c r="I16" s="91"/>
      <c r="J16" s="91"/>
      <c r="K16" s="92">
        <f>SUM(K6:K15)</f>
        <v>54.9</v>
      </c>
      <c r="L16" s="93">
        <f>ROUND(M16*10000/SUM(K6:K14),0)</f>
        <v>4918</v>
      </c>
      <c r="M16" s="93">
        <f>SUM(M6:M14)</f>
        <v>27</v>
      </c>
      <c r="N16" s="94">
        <f>ROUND(SUMPRODUCT(M6:M14,N6:N14)/M16,3)</f>
        <v>0.78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v>2010</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ROUND(1-(2023-N21)/60,2)</f>
        <v>0.78</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f ca="1">结果表!G20</f>
        <v>29003</v>
      </c>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10980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8" t="s">
        <v>2286</v>
      </c>
      <c r="B1" s="3539"/>
      <c r="C1" s="3539"/>
      <c r="D1" s="3539"/>
      <c r="E1" s="3539"/>
      <c r="F1" s="3539"/>
      <c r="G1" s="353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19" sqref="K1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302.17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876.37389999999994</v>
      </c>
      <c r="C5" s="2512">
        <f ca="1">IF(B5=D14,结果表!H102,ROUND(B5*10000/$B$1,0))</f>
        <v>29003</v>
      </c>
      <c r="D5" s="2512" t="e">
        <f ca="1">ROUND(B5*10000/$B$2,0)</f>
        <v>#DIV/0!</v>
      </c>
      <c r="E5" s="2686"/>
      <c r="F5" s="2687"/>
      <c r="G5" s="2687"/>
      <c r="H5" s="2688"/>
      <c r="I5" s="2688"/>
      <c r="J5" s="2688"/>
      <c r="K5" s="2688"/>
    </row>
    <row r="6" spans="1:11" ht="16.5">
      <c r="A6" s="2512" t="s">
        <v>656</v>
      </c>
      <c r="B6" s="2512">
        <f>SUM(G14:G23)</f>
        <v>0</v>
      </c>
      <c r="C6" s="2512">
        <f ca="1">IF(B6=G14,结果表!H108,ROUND(B6*10000/$B$1,0))</f>
        <v>29003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54.9</v>
      </c>
      <c r="C14" s="2518"/>
      <c r="D14" s="2518">
        <f ca="1">ROUND(B14*E14/10000,4)</f>
        <v>159.22649999999999</v>
      </c>
      <c r="E14" s="2518">
        <f ca="1">结果表!I118</f>
        <v>29003</v>
      </c>
      <c r="F14" s="2518" t="e">
        <f ca="1">ROUND(D14*10000/C14,0)</f>
        <v>#DIV/0!</v>
      </c>
      <c r="G14" s="2518"/>
      <c r="H14" s="2518"/>
      <c r="I14" s="2518"/>
      <c r="J14" s="2687"/>
      <c r="K14" s="2688"/>
    </row>
    <row r="15" spans="1:11" ht="16.5">
      <c r="A15" s="2517" t="s">
        <v>649</v>
      </c>
      <c r="B15" s="2519">
        <f>[3]系统读取表!$B$14</f>
        <v>98.9</v>
      </c>
      <c r="C15" s="2519"/>
      <c r="D15" s="2519">
        <f ca="1">[3]系统读取表!$D$14</f>
        <v>286.82979999999998</v>
      </c>
      <c r="E15" s="2518">
        <f t="shared" ref="E15:E23" ca="1" si="0">ROUND(D15*10000/B15,0)</f>
        <v>29002</v>
      </c>
      <c r="F15" s="2518" t="e">
        <f t="shared" ref="F15:F23" ca="1" si="1">ROUND(D15*10000/C15,0)</f>
        <v>#DIV/0!</v>
      </c>
      <c r="G15" s="1331"/>
      <c r="H15" s="1331"/>
      <c r="I15" s="2519"/>
      <c r="J15" s="2687"/>
      <c r="K15" s="2688"/>
    </row>
    <row r="16" spans="1:11" ht="16.5">
      <c r="A16" s="2517" t="s">
        <v>648</v>
      </c>
      <c r="B16" s="2519">
        <f>[5]系统读取表!$B$14</f>
        <v>75.87</v>
      </c>
      <c r="C16" s="2519"/>
      <c r="D16" s="2519">
        <f ca="1">[5]系统读取表!$D$14</f>
        <v>220.04580000000001</v>
      </c>
      <c r="E16" s="2518">
        <f t="shared" ca="1" si="0"/>
        <v>29003</v>
      </c>
      <c r="F16" s="2518" t="e">
        <f t="shared" ca="1" si="1"/>
        <v>#DIV/0!</v>
      </c>
      <c r="G16" s="1331"/>
      <c r="H16" s="1331"/>
      <c r="I16" s="2519"/>
      <c r="J16" s="2688"/>
      <c r="K16" s="2688"/>
    </row>
    <row r="17" spans="1:11" ht="16.5">
      <c r="A17" s="2517" t="s">
        <v>647</v>
      </c>
      <c r="B17" s="2519">
        <f>[6]系统读取表!$B$14</f>
        <v>72.5</v>
      </c>
      <c r="C17" s="2519"/>
      <c r="D17" s="2519">
        <f ca="1">[6]系统读取表!$D$14</f>
        <v>210.27180000000001</v>
      </c>
      <c r="E17" s="2518">
        <f t="shared" ca="1" si="0"/>
        <v>29003</v>
      </c>
      <c r="F17" s="2518" t="e">
        <f t="shared" ca="1"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H38" sqref="H3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3407</v>
      </c>
      <c r="D4" s="1756" t="s">
        <v>3387</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5</v>
      </c>
      <c r="D14" s="3577">
        <v>5</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4" t="s">
        <v>2131</v>
      </c>
      <c r="F18" s="3565"/>
      <c r="G18" s="3565"/>
      <c r="H18" s="3565"/>
      <c r="I18" s="3565"/>
      <c r="K18" s="302" t="s">
        <v>1289</v>
      </c>
      <c r="L18" s="302">
        <f>IF(C1="",'数据-汇总表'!E3,SUMIF(项目类型,C1,'数据-汇总表'!E17:E26)+SUMIF(项目类型,C1,'数据-汇总表'!I17:I26))</f>
        <v>54.9</v>
      </c>
      <c r="M18" s="302">
        <f>IF(C1="",'数据-汇总表'!E3,SUMIF(项目类型,C1,'数据-汇总表'!E17:E26))</f>
        <v>54.9</v>
      </c>
    </row>
    <row r="19" spans="1:36" ht="15">
      <c r="A19" s="1761" t="s">
        <v>1290</v>
      </c>
      <c r="B19" s="1762" t="s">
        <v>1291</v>
      </c>
      <c r="C19" s="134">
        <f ca="1">SUMIF(INDIRECT("'"&amp;C4&amp;"'"&amp;"!A:A"),结果表!B19,INDIRECT("'"&amp;C4&amp;"'"&amp;"!B:B"))</f>
        <v>169.98750000000001</v>
      </c>
      <c r="D19" s="135">
        <f ca="1">SUMIF(INDIRECT("'"&amp;D4&amp;"'"&amp;"!A:A"),结果表!B19,INDIRECT("'"&amp;D4&amp;"'"&amp;"!B:B"))</f>
        <v>148.46</v>
      </c>
      <c r="E19" s="1761" t="s">
        <v>1292</v>
      </c>
      <c r="F19" s="1762" t="s">
        <v>1291</v>
      </c>
      <c r="G19" s="136">
        <f ca="1">ROUND(C19*$C$18+D19*$D$18,0)</f>
        <v>159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30963</v>
      </c>
      <c r="D20" s="138">
        <f ca="1">SUMIF(INDIRECT("'"&amp;D4&amp;"'"&amp;"!A:A"),结果表!B20,INDIRECT("'"&amp;D4&amp;"'"&amp;"!B:B"))</f>
        <v>27042</v>
      </c>
      <c r="E20" s="1764"/>
      <c r="F20" s="1026" t="s">
        <v>1295</v>
      </c>
      <c r="G20" s="139">
        <f ca="1">ROUND(C20*$C$18+D20*$D$18,0)</f>
        <v>29003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0.1450053886568774</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29003</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159</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3">
        <v>1</v>
      </c>
      <c r="K46" s="3604" t="s">
        <v>1331</v>
      </c>
      <c r="L46" s="3604"/>
      <c r="M46" s="3624"/>
      <c r="N46" s="3624"/>
      <c r="O46" s="3624"/>
    </row>
    <row r="47" spans="1:15" ht="12" customHeight="1">
      <c r="A47" s="160" t="s">
        <v>1332</v>
      </c>
      <c r="B47" s="161"/>
      <c r="C47" s="162"/>
      <c r="D47" s="1087" t="s">
        <v>1333</v>
      </c>
      <c r="E47" s="302" t="s">
        <v>1334</v>
      </c>
      <c r="F47" s="163" t="s">
        <v>1335</v>
      </c>
      <c r="G47" s="2546" t="s">
        <v>1336</v>
      </c>
      <c r="H47" s="2547"/>
      <c r="I47" s="159"/>
      <c r="J47" s="2523">
        <v>2</v>
      </c>
      <c r="K47" s="3604" t="s">
        <v>1337</v>
      </c>
      <c r="L47" s="3604"/>
      <c r="M47" s="3625">
        <f>'数据-取费表'!B2</f>
        <v>45075</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4" t="s">
        <v>1340</v>
      </c>
      <c r="L48" s="3604"/>
      <c r="M48" s="3626">
        <f ca="1">H101</f>
        <v>159</v>
      </c>
      <c r="N48" s="3626"/>
      <c r="O48" s="3626"/>
    </row>
    <row r="49" spans="1:35" ht="25.5" customHeight="1">
      <c r="A49" s="2333" t="s">
        <v>1341</v>
      </c>
      <c r="B49" s="3540" t="s">
        <v>1342</v>
      </c>
      <c r="C49" s="3540"/>
      <c r="D49" s="1590">
        <v>0</v>
      </c>
      <c r="E49" s="324" t="s">
        <v>1343</v>
      </c>
      <c r="F49" s="2424" t="s">
        <v>28</v>
      </c>
      <c r="G49" s="3610"/>
      <c r="H49" s="2310" t="s">
        <v>2134</v>
      </c>
      <c r="I49" s="2311"/>
      <c r="J49" s="2523">
        <v>4</v>
      </c>
      <c r="K49" s="3604" t="str">
        <f>IF(项目基本情况!E8="房地产抵押价值","房地产抵押价值","抵押担保权已注销时的房地产抵押价值")</f>
        <v>房地产抵押价值</v>
      </c>
      <c r="L49" s="3604"/>
      <c r="M49" s="3626">
        <f ca="1">IF(项目基本情况!E8="房地产抵押价值",H107,H109)</f>
        <v>159</v>
      </c>
      <c r="N49" s="3626"/>
      <c r="O49" s="3626"/>
    </row>
    <row r="50" spans="1:35" ht="25.5" customHeight="1">
      <c r="A50" s="2551"/>
      <c r="B50" s="3540" t="s">
        <v>1344</v>
      </c>
      <c r="C50" s="3540"/>
      <c r="D50" s="2552"/>
      <c r="E50" s="332"/>
      <c r="F50" s="2424"/>
      <c r="G50" s="3611"/>
      <c r="H50" s="2312" t="s">
        <v>2135</v>
      </c>
      <c r="I50" s="2311"/>
      <c r="J50" s="3623" t="s">
        <v>1345</v>
      </c>
      <c r="K50" s="3623"/>
      <c r="L50" s="3623"/>
      <c r="M50" s="3623"/>
      <c r="N50" s="3623"/>
      <c r="O50" s="3623"/>
    </row>
    <row r="51" spans="1:35" ht="20.45" customHeight="1">
      <c r="A51" s="2553"/>
      <c r="B51" s="3540" t="s">
        <v>1346</v>
      </c>
      <c r="C51" s="3540"/>
      <c r="D51" s="1087"/>
      <c r="E51" s="327"/>
      <c r="F51" s="2424"/>
      <c r="G51" s="3612"/>
      <c r="H51" s="2312" t="s">
        <v>2136</v>
      </c>
      <c r="I51" s="2311"/>
      <c r="J51" s="2524" t="s">
        <v>1347</v>
      </c>
      <c r="K51" s="3604" t="s">
        <v>1348</v>
      </c>
      <c r="L51" s="3604"/>
      <c r="M51" s="2524" t="s">
        <v>1349</v>
      </c>
      <c r="N51" s="2524" t="s">
        <v>1350</v>
      </c>
      <c r="O51" s="2524" t="s">
        <v>1351</v>
      </c>
    </row>
    <row r="52" spans="1:35" ht="24" customHeight="1">
      <c r="A52" s="2335" t="s">
        <v>1352</v>
      </c>
      <c r="B52" s="3540" t="s">
        <v>1353</v>
      </c>
      <c r="C52" s="3540"/>
      <c r="D52" s="1087">
        <f ca="1">ROUND(D45*'数据-取费表'!B41/(1+'数据-取费表'!C42),0)</f>
        <v>8</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566" t="s">
        <v>2291</v>
      </c>
      <c r="C53" s="3567"/>
      <c r="D53" s="1087">
        <f ca="1">ROUND(D45*'数据-取费表'!B41/(1+'数据-取费表'!C42),0)</f>
        <v>8</v>
      </c>
      <c r="E53" s="2334" t="s">
        <v>1354</v>
      </c>
      <c r="F53" s="2554">
        <f>'数据-取费表'!B41</f>
        <v>5.6000000000000001E-2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566" t="s">
        <v>2292</v>
      </c>
      <c r="C54" s="3567"/>
      <c r="D54" s="1087">
        <f ca="1">C68</f>
        <v>8</v>
      </c>
      <c r="E54" s="327" t="s">
        <v>1359</v>
      </c>
      <c r="F54" s="2554">
        <f>'数据-取费表'!B41</f>
        <v>5.6000000000000001E-2</v>
      </c>
      <c r="G54" s="2555"/>
      <c r="H54" s="2556"/>
      <c r="I54" s="1807"/>
      <c r="J54" s="2523">
        <v>3</v>
      </c>
      <c r="K54" s="3605" t="s">
        <v>1360</v>
      </c>
      <c r="L54" s="3605"/>
      <c r="M54" s="2525">
        <f t="shared" ca="1" si="0"/>
        <v>90</v>
      </c>
      <c r="N54" s="2523" t="str">
        <f t="shared" si="0"/>
        <v>增值额×税（费）率</v>
      </c>
      <c r="O54" s="2527" t="str">
        <f t="shared" si="0"/>
        <v>免征</v>
      </c>
    </row>
    <row r="55" spans="1:35" ht="24" customHeight="1">
      <c r="A55" s="3555" t="s">
        <v>1361</v>
      </c>
      <c r="B55" s="3556"/>
      <c r="C55" s="3556"/>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v>
      </c>
      <c r="N55" s="2040" t="str">
        <f>E59</f>
        <v>差额计税</v>
      </c>
      <c r="O55" s="2529">
        <f>F59</f>
        <v>0.01</v>
      </c>
    </row>
    <row r="56" spans="1:35" ht="24.75">
      <c r="A56" s="3555" t="s">
        <v>1363</v>
      </c>
      <c r="B56" s="3556"/>
      <c r="C56" s="3556"/>
      <c r="D56" s="2324">
        <f ca="1">IF(H56="个人住宅",D57,D58)</f>
        <v>90</v>
      </c>
      <c r="E56" s="2334" t="s">
        <v>1364</v>
      </c>
      <c r="F56" s="2554" t="str">
        <f>IF(H56="正常",F58,"免征")</f>
        <v>免征</v>
      </c>
      <c r="G56" s="2557" t="s">
        <v>1365</v>
      </c>
      <c r="H56" s="2558"/>
      <c r="I56" s="1808"/>
      <c r="J56" s="2523" t="str">
        <f>IF(项目基本情况!K6="上海银行",IF(J55="",4,J55+1),"")</f>
        <v/>
      </c>
      <c r="K56" s="3628" t="str">
        <f>IF(项目基本情况!K6="上海银行","其他处置费用","")</f>
        <v/>
      </c>
      <c r="L56" s="3629"/>
      <c r="M56" s="2525"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92</v>
      </c>
      <c r="O57" s="2533"/>
      <c r="P57" s="2690">
        <f ca="1">N57/M49</f>
        <v>0.57861635220125784</v>
      </c>
    </row>
    <row r="58" spans="1:35" ht="24.75">
      <c r="A58" s="2335" t="s">
        <v>1352</v>
      </c>
      <c r="B58" s="3566" t="s">
        <v>1369</v>
      </c>
      <c r="C58" s="3540"/>
      <c r="D58" s="2324">
        <f ca="1">IF(H58="转让取得",C81,C97)</f>
        <v>90</v>
      </c>
      <c r="E58" s="2334" t="s">
        <v>1364</v>
      </c>
      <c r="F58" s="302" t="s">
        <v>28</v>
      </c>
      <c r="G58" s="2555"/>
      <c r="H58" s="2558"/>
      <c r="I58" s="1808"/>
      <c r="J58" s="3605"/>
      <c r="K58" s="3605"/>
      <c r="L58" s="2530" t="s">
        <v>1370</v>
      </c>
      <c r="M58" s="2534"/>
      <c r="N58" s="2535" t="str">
        <f ca="1">NUMBERSTRING(INT(N57*10000),2)&amp;"元整"</f>
        <v>玖拾贰万元整</v>
      </c>
      <c r="O58" s="2536"/>
    </row>
    <row r="59" spans="1:35" ht="24.75" thickBot="1">
      <c r="A59" s="3608" t="s">
        <v>1371</v>
      </c>
      <c r="B59" s="3609"/>
      <c r="C59" s="3609"/>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6">
        <f>J57+1</f>
        <v>6</v>
      </c>
      <c r="K59" s="3605" t="s">
        <v>1372</v>
      </c>
      <c r="L59" s="2523" t="s">
        <v>1368</v>
      </c>
      <c r="M59" s="2537"/>
      <c r="N59" s="2538">
        <f ca="1">M49-N57</f>
        <v>67</v>
      </c>
      <c r="O59" s="2539"/>
    </row>
    <row r="60" spans="1:35" ht="12" customHeight="1">
      <c r="A60" s="1809"/>
      <c r="B60" s="1747"/>
      <c r="C60" s="1747"/>
      <c r="D60" s="1747"/>
      <c r="E60" s="1578"/>
      <c r="F60" s="1808"/>
      <c r="G60" s="1808"/>
      <c r="H60" s="1810"/>
      <c r="I60" s="129"/>
      <c r="J60" s="3607"/>
      <c r="K60" s="3605"/>
      <c r="L60" s="2530" t="s">
        <v>1370</v>
      </c>
      <c r="M60" s="2534"/>
      <c r="N60" s="2535" t="str">
        <f ca="1">NUMBERSTRING(INT(N59*10000),2)&amp;"元整"</f>
        <v>陆拾柒万元整</v>
      </c>
      <c r="O60" s="2536"/>
    </row>
    <row r="61" spans="1:35" ht="13.5" thickBot="1">
      <c r="A61" s="3553" t="s">
        <v>1373</v>
      </c>
      <c r="B61" s="3553"/>
      <c r="C61" s="3553"/>
      <c r="D61" s="3553"/>
      <c r="E61" s="3553"/>
      <c r="F61" s="1808"/>
      <c r="G61" s="1808"/>
      <c r="H61" s="1810"/>
      <c r="I61" s="129"/>
      <c r="J61" s="2523">
        <f>J59+1</f>
        <v>7</v>
      </c>
      <c r="K61" s="3605" t="s">
        <v>1374</v>
      </c>
      <c r="L61" s="3605"/>
      <c r="M61" s="2540"/>
      <c r="N61" s="2541">
        <f ca="1">ROUND(N59*10000/'数据-汇总表'!E3,0)</f>
        <v>12204</v>
      </c>
      <c r="O61" s="2542"/>
    </row>
    <row r="62" spans="1:35" ht="12.75">
      <c r="A62" s="3571" t="s">
        <v>1375</v>
      </c>
      <c r="B62" s="3572"/>
      <c r="C62" s="2021"/>
      <c r="D62" s="2021" t="s">
        <v>1376</v>
      </c>
      <c r="E62" s="166" t="s">
        <v>1377</v>
      </c>
      <c r="F62" s="1808"/>
      <c r="G62" s="1808"/>
      <c r="H62" s="1810"/>
      <c r="I62" s="129"/>
    </row>
    <row r="63" spans="1:35" ht="12.75">
      <c r="A63" s="173" t="s">
        <v>330</v>
      </c>
      <c r="B63" s="167" t="s">
        <v>1378</v>
      </c>
      <c r="C63" s="2564">
        <f ca="1">ROUND((C64+C65)/(1+'数据-取费表'!C42),0)</f>
        <v>151</v>
      </c>
      <c r="D63" s="167"/>
      <c r="E63" s="168"/>
      <c r="F63" s="1808"/>
      <c r="G63" s="1808"/>
      <c r="H63" s="1810"/>
      <c r="I63" s="129"/>
      <c r="J63" s="3630" t="s">
        <v>1379</v>
      </c>
      <c r="K63" s="1332" t="s">
        <v>1380</v>
      </c>
      <c r="L63" s="1332">
        <f ca="1">IF(M49&gt;10000,M49*0.5%,IF(AND(M49&gt;1000,M49&lt;=10000),M49*1%,IF(AND(M49&gt;100,M49&lt;=1000),M49*3%,IF(AND(M49&gt;10,M49&lt;=100),M49*5%,M49*8%))))</f>
        <v>4.7699999999999996</v>
      </c>
      <c r="M63" s="302">
        <f ca="1">ROUND(L63,1)</f>
        <v>4.8</v>
      </c>
      <c r="N63" s="2543"/>
      <c r="Z63" s="1752"/>
      <c r="AI63" s="1753"/>
    </row>
    <row r="64" spans="1:35" ht="14.25" customHeight="1">
      <c r="A64" s="169" t="s">
        <v>325</v>
      </c>
      <c r="B64" s="170" t="s">
        <v>1381</v>
      </c>
      <c r="C64" s="2565">
        <f ca="1">D45</f>
        <v>159</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1.4310000000000003</v>
      </c>
      <c r="M64" s="302">
        <f t="shared" ref="M64:M65" ca="1" si="1">ROUND(L64,1)</f>
        <v>1.4</v>
      </c>
      <c r="N64" s="2544" t="s">
        <v>1383</v>
      </c>
      <c r="Z64" s="1752"/>
      <c r="AI64" s="1753"/>
    </row>
    <row r="65" spans="1:35" ht="14.25" customHeight="1">
      <c r="A65" s="169" t="s">
        <v>326</v>
      </c>
      <c r="B65" s="170" t="s">
        <v>1384</v>
      </c>
      <c r="C65" s="2566"/>
      <c r="D65" s="170"/>
      <c r="E65" s="172"/>
      <c r="F65" s="1808"/>
      <c r="G65" s="1808"/>
      <c r="H65" s="1810"/>
      <c r="I65" s="129"/>
      <c r="J65" s="3630"/>
      <c r="K65" s="1332" t="s">
        <v>1385</v>
      </c>
      <c r="L65" s="1332">
        <f ca="1">IF(M49&gt;1000,M49*0.1%,IF(AND(M49&gt;500,M49&lt;=1000),M49*0.5%,IF(AND(M49&gt;50,M49&lt;=500),M49*1%,IF(AND(M49&gt;1,M49&lt;=50),M49*1.5%))))</f>
        <v>1.59</v>
      </c>
      <c r="M65" s="302">
        <f t="shared" ca="1" si="1"/>
        <v>1.6</v>
      </c>
      <c r="N65" s="2544" t="s">
        <v>1383</v>
      </c>
      <c r="Z65" s="1752"/>
      <c r="AI65" s="1753"/>
    </row>
    <row r="66" spans="1:35" ht="14.25" customHeight="1">
      <c r="A66" s="173" t="s">
        <v>327</v>
      </c>
      <c r="B66" s="174" t="s">
        <v>1386</v>
      </c>
      <c r="C66" s="2567"/>
      <c r="D66" s="174" t="s">
        <v>26</v>
      </c>
      <c r="E66" s="1338" t="s">
        <v>671</v>
      </c>
      <c r="F66" s="1808"/>
      <c r="G66" s="1808"/>
      <c r="H66" s="1810"/>
      <c r="I66" s="129"/>
      <c r="J66" s="3630"/>
      <c r="K66" s="1332" t="s">
        <v>1387</v>
      </c>
      <c r="L66" s="1332">
        <f ca="1">M49*0.5%</f>
        <v>0.79500000000000004</v>
      </c>
      <c r="M66" s="302">
        <f ca="1">IF(L66&gt;0.5,0.5,ROUND(L66,0))</f>
        <v>0.5</v>
      </c>
      <c r="N66" s="2544" t="s">
        <v>1388</v>
      </c>
      <c r="Z66" s="1752"/>
      <c r="AI66" s="1753"/>
    </row>
    <row r="67" spans="1:35" ht="14.25" customHeight="1">
      <c r="A67" s="173" t="s">
        <v>328</v>
      </c>
      <c r="B67" s="174" t="s">
        <v>1389</v>
      </c>
      <c r="C67" s="2568">
        <f ca="1">C63-C66</f>
        <v>151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0.64749999999999996</v>
      </c>
      <c r="M67" s="302">
        <f ca="1">ROUND(L67*0.9,1)</f>
        <v>0.6</v>
      </c>
      <c r="N67" s="2543"/>
      <c r="Z67" s="1752"/>
      <c r="AI67" s="1753"/>
    </row>
    <row r="68" spans="1:35" ht="14.25" customHeight="1" thickBot="1">
      <c r="A68" s="176" t="s">
        <v>329</v>
      </c>
      <c r="B68" s="177" t="s">
        <v>1391</v>
      </c>
      <c r="C68" s="2569">
        <f ca="1">IF(C67&lt;=0,0,ROUND(C67*D68,0))</f>
        <v>8</v>
      </c>
      <c r="D68" s="2570">
        <f>'数据-取费表'!B41</f>
        <v>5.6000000000000001E-2</v>
      </c>
      <c r="E68" s="178"/>
      <c r="F68" s="1808"/>
      <c r="G68" s="1808"/>
      <c r="H68" s="1810"/>
      <c r="I68" s="129"/>
      <c r="J68" s="3630"/>
      <c r="K68" s="1332" t="s">
        <v>1392</v>
      </c>
      <c r="L68" s="1332">
        <f ca="1">IF(M49&gt;10000,M49*0.5%,IF(AND(M49&gt;5000,M49&lt;=10000),M49*1%,IF(AND(M49&gt;1000,M49&lt;=5000),M49*2%,IF(AND(M49&gt;200,M49&lt;=1000),M49*3%,M49*5%))))</f>
        <v>7.95</v>
      </c>
      <c r="M68" s="302">
        <f ca="1">ROUND(L68,1)</f>
        <v>8</v>
      </c>
      <c r="N68" s="2543"/>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17</v>
      </c>
      <c r="N69" s="2545">
        <f ca="1">M69/M49</f>
        <v>0.1069182389937107</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150</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2" t="s">
        <v>2129</v>
      </c>
      <c r="H90" s="363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0" t="s">
        <v>1422</v>
      </c>
      <c r="F92" s="3551"/>
      <c r="G92" s="3551"/>
      <c r="H92" s="356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150</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5" t="str">
        <f>C4</f>
        <v>成本法 (元)</v>
      </c>
      <c r="D101" s="2586" t="str">
        <f>D4</f>
        <v>收益法 (元)</v>
      </c>
      <c r="E101" s="3627" t="s">
        <v>1431</v>
      </c>
      <c r="F101" s="3584"/>
      <c r="G101" s="1827" t="s">
        <v>1432</v>
      </c>
      <c r="H101" s="2595">
        <f ca="1">H118</f>
        <v>159</v>
      </c>
      <c r="I101" s="129"/>
    </row>
    <row r="102" spans="1:35" ht="18.75" customHeight="1">
      <c r="A102" s="3586" t="s">
        <v>1433</v>
      </c>
      <c r="B102" s="2584" t="s">
        <v>1432</v>
      </c>
      <c r="C102" s="2585">
        <f ca="1">IF(D32="楼面单价",ROUND(C19,0),C19)</f>
        <v>170</v>
      </c>
      <c r="D102" s="2586">
        <f ca="1">IF(D32="楼面单价",ROUND(D19,0),D19)</f>
        <v>148</v>
      </c>
      <c r="E102" s="3627"/>
      <c r="F102" s="3584"/>
      <c r="G102" s="1827" t="s">
        <v>1434</v>
      </c>
      <c r="H102" s="2555">
        <f ca="1">I118</f>
        <v>29003</v>
      </c>
      <c r="I102" s="129"/>
    </row>
    <row r="103" spans="1:35" ht="42.75" customHeight="1">
      <c r="A103" s="3586"/>
      <c r="B103" s="2584" t="s">
        <v>1434</v>
      </c>
      <c r="C103" s="2587">
        <f ca="1">C20</f>
        <v>30963</v>
      </c>
      <c r="D103" s="2588">
        <f ca="1">D20</f>
        <v>27042</v>
      </c>
      <c r="E103" s="3621" t="s">
        <v>1435</v>
      </c>
      <c r="F103" s="3622"/>
      <c r="G103" s="1828" t="s">
        <v>1436</v>
      </c>
      <c r="H103" s="2595">
        <f>IF(D36="正常操作",H104+H105+H106,H105+H106)</f>
        <v>0</v>
      </c>
      <c r="I103" s="129"/>
    </row>
    <row r="104" spans="1:35" ht="18.75" customHeight="1">
      <c r="A104" s="3586" t="s">
        <v>1437</v>
      </c>
      <c r="B104" s="2589" t="s">
        <v>1432</v>
      </c>
      <c r="C104" s="2590">
        <f ca="1">H118</f>
        <v>159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29003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84"/>
      <c r="G107" s="1827" t="s">
        <v>1432</v>
      </c>
      <c r="H107" s="2595">
        <f ca="1">IF(E107="——","——",H101-H103)</f>
        <v>159</v>
      </c>
      <c r="I107" s="129"/>
    </row>
    <row r="108" spans="1:35" ht="18.75" customHeight="1">
      <c r="A108" s="129"/>
      <c r="B108" s="129"/>
      <c r="C108" s="129"/>
      <c r="D108" s="129"/>
      <c r="E108" s="3583"/>
      <c r="F108" s="3584"/>
      <c r="G108" s="1827" t="s">
        <v>1434</v>
      </c>
      <c r="H108" s="2555">
        <f ca="1">IF(H107=H101,H102,ROUND(H107*10000/'数据-汇总表'!E3,0))</f>
        <v>29003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8" t="str">
        <f>IF(E109="——","——",H101-H105-H106)</f>
        <v>——</v>
      </c>
      <c r="I109" s="129"/>
    </row>
    <row r="110" spans="1:35" ht="18.75" customHeight="1">
      <c r="A110" s="129"/>
      <c r="B110" s="129"/>
      <c r="C110" s="129"/>
      <c r="D110" s="129"/>
      <c r="E110" s="3583"/>
      <c r="F110" s="3584"/>
      <c r="G110" s="1827" t="s">
        <v>1434</v>
      </c>
      <c r="H110" s="2555"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5" t="str">
        <f>IF(E111="——","——",N59)</f>
        <v>——</v>
      </c>
      <c r="I111" s="129"/>
    </row>
    <row r="112" spans="1:35" ht="18.75" customHeight="1" thickBot="1">
      <c r="A112" s="129"/>
      <c r="B112" s="129"/>
      <c r="C112" s="129"/>
      <c r="D112" s="129"/>
      <c r="E112" s="3616"/>
      <c r="F112" s="3617"/>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54.9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159</v>
      </c>
      <c r="I118" s="2329">
        <f ca="1">ROUND(IF(D32="楼面单价",C32,H118*10000/B118),0)</f>
        <v>29003</v>
      </c>
    </row>
    <row r="119" spans="1:27" ht="18.75" customHeight="1">
      <c r="A119" s="3554" t="s">
        <v>1452</v>
      </c>
      <c r="B119" s="3554"/>
      <c r="C119" s="3554"/>
      <c r="D119" s="3594" t="e">
        <f ca="1">NUMBERSTRING(INT(D118*10000),2)&amp;"元整"</f>
        <v>#REF!</v>
      </c>
      <c r="E119" s="3596"/>
      <c r="F119" s="3594" t="e">
        <f ca="1">NUMBERSTRING(INT(F118*10000),2)&amp;"元整"</f>
        <v>#REF!</v>
      </c>
      <c r="G119" s="3596"/>
      <c r="H119" s="3594" t="str">
        <f ca="1">NUMBERSTRING(INT(H118*10000),2)&amp;"元整"</f>
        <v>壹佰伍拾玖万元整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159</v>
      </c>
      <c r="E122" s="3619"/>
      <c r="F122" s="3619"/>
      <c r="G122" s="3619"/>
      <c r="H122" s="3619"/>
      <c r="I122" s="3620"/>
      <c r="AA122" s="725"/>
    </row>
    <row r="123" spans="1:27" ht="18.75" customHeight="1">
      <c r="A123" s="3554" t="s">
        <v>1452</v>
      </c>
      <c r="B123" s="3554"/>
      <c r="C123" s="3554"/>
      <c r="D123" s="3594" t="str">
        <f ca="1">NUMBERSTRING(INT(D122*10000),2)&amp;"元整"</f>
        <v>壹佰伍拾玖万元整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15005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2733151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10980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10980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54.9</v>
      </c>
      <c r="E19" s="211">
        <f>'数据-取费表'!B31</f>
        <v>200</v>
      </c>
      <c r="F19" s="231"/>
      <c r="G19" s="1856"/>
    </row>
    <row r="20" spans="1:7" s="214" customFormat="1" ht="13.5" customHeight="1">
      <c r="A20" s="255" t="s">
        <v>1493</v>
      </c>
      <c r="B20" s="210" t="s">
        <v>1494</v>
      </c>
      <c r="C20" s="232">
        <f ca="1">ROUND((C5+C19)*F20,0)</f>
        <v>220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939</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930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1680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1680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14975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v>
      </c>
      <c r="D37" s="217">
        <f ca="1">D19</f>
        <v>54.9</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8.0000000000000004E-4</v>
      </c>
      <c r="D44" s="238"/>
      <c r="E44" s="238"/>
      <c r="F44" s="239"/>
      <c r="G44" s="3636"/>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39</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30</v>
      </c>
      <c r="D51" s="232"/>
      <c r="E51" s="232"/>
      <c r="F51" s="264"/>
      <c r="G51" s="234" t="s">
        <v>1560</v>
      </c>
    </row>
    <row r="52" spans="1:7" s="208" customFormat="1" ht="16.5" thickBot="1">
      <c r="A52" s="265" t="s">
        <v>1561</v>
      </c>
      <c r="B52" s="266"/>
      <c r="C52" s="267">
        <f ca="1">C31+C51</f>
        <v>15005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169.98750000000001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30963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1022192</v>
      </c>
      <c r="D5" s="211" t="s">
        <v>1469</v>
      </c>
      <c r="E5" s="212" t="s">
        <v>1470</v>
      </c>
      <c r="F5" s="212" t="s">
        <v>1471</v>
      </c>
      <c r="G5" s="213"/>
      <c r="I5" s="214">
        <f>基准地价修正!C33</f>
        <v>17874</v>
      </c>
    </row>
    <row r="6" spans="1:9" s="214" customFormat="1" ht="13.5" customHeight="1">
      <c r="A6" s="778" t="s">
        <v>1472</v>
      </c>
      <c r="B6" s="215" t="s">
        <v>1473</v>
      </c>
      <c r="C6" s="216">
        <f ca="1">ROUND(I5*D19,0)</f>
        <v>981283</v>
      </c>
      <c r="D6" s="217"/>
      <c r="E6" s="218"/>
      <c r="F6" s="218"/>
      <c r="G6" s="219"/>
    </row>
    <row r="7" spans="1:9" s="214" customFormat="1" ht="13.5" customHeight="1">
      <c r="A7" s="778" t="s">
        <v>1474</v>
      </c>
      <c r="B7" s="215" t="s">
        <v>1475</v>
      </c>
      <c r="C7" s="220">
        <f ca="1">ROUND(C6*F7,0)</f>
        <v>29929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10980</v>
      </c>
      <c r="D8" s="222"/>
      <c r="E8" s="220"/>
      <c r="F8" s="221"/>
      <c r="G8" s="1856" t="s">
        <v>3389</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10980</v>
      </c>
      <c r="D10" s="845">
        <f ca="1">IF(B1="",'数据-汇总表'!E6,IF(INDIRECT("'数据-取费表'!c"&amp;$G$1)="住宅",INDIRECT("'数据-取费表'!s"&amp;$G$1),INDIRECT("'数据-取费表'!k"&amp;$G$1)+INDIRECT("'数据-取费表'!s"&amp;$G$1)))</f>
        <v>54.9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54.9</v>
      </c>
      <c r="E19" s="211">
        <f>'数据-取费表'!B31</f>
        <v>200</v>
      </c>
      <c r="F19" s="231"/>
      <c r="G19" s="1856" t="s">
        <v>3390</v>
      </c>
    </row>
    <row r="20" spans="1:7" s="214" customFormat="1" ht="13.5" customHeight="1">
      <c r="A20" s="255" t="s">
        <v>1574</v>
      </c>
      <c r="B20" s="210" t="s">
        <v>1575</v>
      </c>
      <c r="C20" s="232">
        <f ca="1">ROUND((C5+C19)*F20,0)</f>
        <v>20444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87450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86602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848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156395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156395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1393955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297833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274500</v>
      </c>
      <c r="D34" s="217"/>
      <c r="E34" s="220"/>
      <c r="F34" s="257"/>
      <c r="G34" s="219"/>
    </row>
    <row r="35" spans="1:7" ht="13.5" customHeight="1">
      <c r="A35" s="780" t="s">
        <v>351</v>
      </c>
      <c r="B35" s="215" t="s">
        <v>1527</v>
      </c>
      <c r="C35" s="220">
        <f ca="1">ROUND(C34*F35,0)</f>
        <v>8235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10980</v>
      </c>
      <c r="D37" s="217">
        <f ca="1">D19</f>
        <v>54.9</v>
      </c>
      <c r="E37" s="249">
        <f>'数据-取费表'!B35</f>
        <v>200</v>
      </c>
      <c r="F37" s="259"/>
      <c r="G37" s="261"/>
    </row>
    <row r="38" spans="1:7" ht="13.5" customHeight="1">
      <c r="A38" s="780" t="s">
        <v>354</v>
      </c>
      <c r="B38" s="215" t="s">
        <v>1533</v>
      </c>
      <c r="C38" s="220">
        <f ca="1">ROUND(C34*F38,0)</f>
        <v>4118</v>
      </c>
      <c r="D38" s="220"/>
      <c r="E38" s="220"/>
      <c r="F38" s="259">
        <f>'数据-取费表'!B36</f>
        <v>1.4999999999999999E-2</v>
      </c>
      <c r="G38" s="219" t="s">
        <v>1528</v>
      </c>
    </row>
    <row r="39" spans="1:7" s="214" customFormat="1" ht="13.5" customHeight="1">
      <c r="A39" s="255" t="s">
        <v>1534</v>
      </c>
      <c r="B39" s="210" t="s">
        <v>1535</v>
      </c>
      <c r="C39" s="232">
        <f ca="1">ROUND(C33*F20,0)</f>
        <v>5957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12607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12360</v>
      </c>
      <c r="D42" s="238"/>
      <c r="E42" s="238"/>
      <c r="F42" s="239"/>
      <c r="G42" s="3634" t="s">
        <v>1591</v>
      </c>
    </row>
    <row r="43" spans="1:7" ht="13.5" customHeight="1">
      <c r="A43" s="780" t="s">
        <v>347</v>
      </c>
      <c r="B43" s="215" t="s">
        <v>1545</v>
      </c>
      <c r="C43" s="238">
        <f ca="1">ROUND(IF('数据-取费表'!B22&lt;=1,C39*F22*'数据-取费表'!B20/2,C39*(POWER((1+F22),'数据-取费表'!B20/2)-1)),0)</f>
        <v>247</v>
      </c>
      <c r="D43" s="238"/>
      <c r="E43" s="238"/>
      <c r="F43" s="239"/>
      <c r="G43" s="3635"/>
    </row>
    <row r="44" spans="1:7" ht="13.5" customHeight="1">
      <c r="A44" s="780" t="s">
        <v>348</v>
      </c>
      <c r="B44" s="215" t="s">
        <v>1546</v>
      </c>
      <c r="C44" s="238">
        <f ca="1">ROUND(IF('数据-取费表'!B22&lt;=1,C40*F22*'数据-取费表'!B20/2,C40*(POWER((1+F22),'数据-取费表'!B20/2)-1)),4)</f>
        <v>8.0000000000000004E-4</v>
      </c>
      <c r="D44" s="238"/>
      <c r="E44" s="238"/>
      <c r="F44" s="239"/>
      <c r="G44" s="3636"/>
    </row>
    <row r="45" spans="1:7" s="214" customFormat="1" ht="13.5" customHeight="1">
      <c r="A45" s="255" t="s">
        <v>1547</v>
      </c>
      <c r="B45" s="244" t="s">
        <v>1513</v>
      </c>
      <c r="C45" s="245">
        <f ca="1">C46</f>
        <v>45569</v>
      </c>
      <c r="D45" s="235">
        <f ca="1">C47</f>
        <v>3.0000000000000001E-3</v>
      </c>
      <c r="E45" s="236" t="s">
        <v>1539</v>
      </c>
      <c r="F45" s="246">
        <f ca="1">F27</f>
        <v>0.15</v>
      </c>
      <c r="G45" s="247" t="s">
        <v>1548</v>
      </c>
    </row>
    <row r="46" spans="1:7" s="214" customFormat="1" ht="13.5" customHeight="1">
      <c r="A46" s="780" t="s">
        <v>346</v>
      </c>
      <c r="B46" s="248" t="s">
        <v>1549</v>
      </c>
      <c r="C46" s="249">
        <f ca="1">ROUND((C33+C39)*F27,0)</f>
        <v>45569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392205</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305920</v>
      </c>
      <c r="D51" s="232"/>
      <c r="E51" s="232"/>
      <c r="F51" s="264"/>
      <c r="G51" s="234" t="s">
        <v>1560</v>
      </c>
    </row>
    <row r="52" spans="1:7" s="208" customFormat="1" ht="16.5" thickBot="1">
      <c r="A52" s="265" t="s">
        <v>1561</v>
      </c>
      <c r="B52" s="266"/>
      <c r="C52" s="267">
        <f ca="1">C31+C51</f>
        <v>1699875</v>
      </c>
      <c r="D52" s="266"/>
      <c r="E52" s="266"/>
      <c r="F52" s="266"/>
      <c r="G52" s="268"/>
    </row>
    <row r="55" spans="1:7" ht="15">
      <c r="B55" s="270" t="s">
        <v>1562</v>
      </c>
      <c r="C55" s="271"/>
    </row>
    <row r="56" spans="1:7">
      <c r="B56" s="273" t="s">
        <v>802</v>
      </c>
      <c r="C56" s="275">
        <f ca="1">1-C57</f>
        <v>0.82000000000000006</v>
      </c>
    </row>
    <row r="57" spans="1:7">
      <c r="B57" s="273" t="s">
        <v>803</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12516</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54.9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54.9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-10979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54.9</v>
      </c>
      <c r="E20" s="21">
        <f>'数据-取费表'!B28</f>
        <v>200</v>
      </c>
      <c r="F20" s="804"/>
      <c r="G20" s="12"/>
      <c r="H20" s="809"/>
      <c r="I20" s="809"/>
      <c r="J20" s="809"/>
      <c r="K20" s="810"/>
    </row>
    <row r="21" spans="1:33" s="803" customFormat="1" ht="13.5" customHeight="1">
      <c r="A21" s="790" t="s">
        <v>357</v>
      </c>
      <c r="B21" s="813" t="s">
        <v>1628</v>
      </c>
      <c r="C21" s="814">
        <f ca="1">C16+C17+C18</f>
        <v>-10979</v>
      </c>
      <c r="D21" s="815"/>
      <c r="E21" s="281"/>
      <c r="F21" s="281"/>
      <c r="G21" s="131" t="s">
        <v>1629</v>
      </c>
      <c r="H21" s="807"/>
      <c r="I21" s="807"/>
      <c r="J21" s="807"/>
      <c r="K21" s="808"/>
    </row>
    <row r="22" spans="1:33" s="803" customFormat="1" ht="13.5" customHeight="1">
      <c r="A22" s="790" t="s">
        <v>1601</v>
      </c>
      <c r="B22" s="813" t="s">
        <v>1630</v>
      </c>
      <c r="C22" s="814">
        <f ca="1">ROUND(C21*F22,0)</f>
        <v>-220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-1680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-1680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12516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3" sqref="F6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26844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3391</v>
      </c>
      <c r="F3" s="2004" t="s">
        <v>3392</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21159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9"/>
      <c r="B4" s="3650"/>
      <c r="C4" s="3650"/>
      <c r="D4" s="3651"/>
      <c r="E4" s="3651"/>
      <c r="F4" s="3651"/>
      <c r="G4" s="3651"/>
      <c r="H4" s="3651"/>
      <c r="I4" s="3651"/>
      <c r="J4" s="3652"/>
      <c r="K4" s="1119"/>
      <c r="L4" s="2003" t="s">
        <v>1946</v>
      </c>
      <c r="M4" s="864">
        <f>SUMPRODUCT((区片价!B55:B86=I2)*(区片价!C3:G3=E2)*(区片价!C55:G86))</f>
        <v>18620</v>
      </c>
      <c r="N4" s="866">
        <f>SUMPRODUCT((因素修正幅度!B55:B86=I2)*(因素修正幅度!C3:G3=E2)*(因素修正幅度!C55:G86))</f>
        <v>8.8999999999999996E-2</v>
      </c>
      <c r="O4" s="1119"/>
      <c r="P4" s="1119"/>
      <c r="Q4" s="1119"/>
      <c r="R4" s="1212">
        <v>3</v>
      </c>
      <c r="S4" s="3361">
        <f>ROUND(SUMPRODUCT((B106:B110=R4)*(C105:N105=G2)*(C106:N110)),4)</f>
        <v>1.0004999999999999</v>
      </c>
      <c r="T4" s="3361">
        <f t="shared" si="0"/>
        <v>17882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18584</v>
      </c>
      <c r="D5" s="1339">
        <f>ROUND(C6*C17+C20,0)</f>
        <v>18584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15772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15157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6" t="s">
        <v>1960</v>
      </c>
      <c r="X8" s="36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v>0</v>
      </c>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v>0</v>
      </c>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3" t="s">
        <v>3259</v>
      </c>
      <c r="B20" s="167" t="s">
        <v>1994</v>
      </c>
      <c r="C20" s="3325">
        <f>ROUND(IF(F21="与级别开发程度一致",0,(G21-E21)/C21),0)</f>
        <v>-36</v>
      </c>
      <c r="D20" s="3341" t="s">
        <v>1998</v>
      </c>
      <c r="E20" s="3342"/>
      <c r="F20" s="3659" t="s">
        <v>1995</v>
      </c>
      <c r="G20" s="3660"/>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45075</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0.90900000000000003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1.0369999999999999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17874</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4469</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7"/>
      <c r="B37" s="2113" t="s">
        <v>2036</v>
      </c>
      <c r="C37" s="175">
        <f>ROUND(D5*C22*C23*C24*C28*F37,0)</f>
        <v>10724</v>
      </c>
      <c r="D37" s="2098"/>
      <c r="E37" s="171">
        <f>ROUND(C37*D37/10000,0)</f>
        <v>0</v>
      </c>
      <c r="F37" s="171">
        <f>SUMIF(修正!A57:A68,G2,修正!B57:B68)</f>
        <v>0.6</v>
      </c>
      <c r="G37" s="171">
        <f>ROUND(IF(E2="工业",C37*$M$42,C37*$M$41),0)</f>
        <v>2681</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8"/>
      <c r="B38" s="2041" t="s">
        <v>2037</v>
      </c>
      <c r="C38" s="175">
        <f>ROUND(D5*C22*C23*C24*C28*F38,0)</f>
        <v>5362</v>
      </c>
      <c r="D38" s="2098"/>
      <c r="E38" s="171">
        <f t="shared" ref="E38:E42" si="4">ROUND(C38*D38/10000,0)</f>
        <v>0</v>
      </c>
      <c r="F38" s="171">
        <f>SUMIF(修正!A57:A68,G2,修正!C57:C68)</f>
        <v>0.3</v>
      </c>
      <c r="G38" s="171">
        <f>ROUND(IF(E2="工业",C38*$M$42,C38*$M$41),0)</f>
        <v>1341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8"/>
      <c r="B39" s="2041" t="s">
        <v>3264</v>
      </c>
      <c r="C39" s="175">
        <f>ROUND(D5*C22*C23*C24*C28*F39,0)</f>
        <v>4468</v>
      </c>
      <c r="D39" s="2098"/>
      <c r="E39" s="171">
        <f t="shared" si="4"/>
        <v>0</v>
      </c>
      <c r="F39" s="171">
        <f>SUMIF(修正!A57:A68,G2,修正!D57:D68)</f>
        <v>0.25</v>
      </c>
      <c r="G39" s="171">
        <f>ROUND(IF(E2="工业",C39*$M$42,C39*$M$41),0)</f>
        <v>1117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4468</v>
      </c>
      <c r="D40" s="2098"/>
      <c r="E40" s="171">
        <f t="shared" si="4"/>
        <v>0</v>
      </c>
      <c r="F40" s="175">
        <f>SUMIF(修正!A57:A68,G2,修正!E57:E68)</f>
        <v>0.25</v>
      </c>
      <c r="G40" s="171">
        <f>ROUND(IF(E2="工业",C40*$M$42,C40*$M$41),0)</f>
        <v>1117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1.0369999999999999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3402</v>
      </c>
      <c r="D61" s="1065">
        <f t="shared" ref="D61:D69" si="12">SUMIF($J$60:$N$60,C61,J61:N61)</f>
        <v>0</v>
      </c>
      <c r="E61" s="744">
        <f>ROUND(SUM(D61:D69),4)</f>
        <v>3.6999999999999998E-2</v>
      </c>
      <c r="F61" s="1814">
        <f>IF(E2="办公",SUMIF(L1:L12,G2,N1:N12),"——")</f>
        <v>8.8999999999999996E-2</v>
      </c>
      <c r="G61" s="1063">
        <f>H61</f>
        <v>1.11E-2</v>
      </c>
      <c r="H61" s="1066">
        <f t="shared" ref="H61:H69" si="13">IFERROR(ROUNDDOWN($F$61*I61/2,4),"——")</f>
        <v>1.11E-2</v>
      </c>
      <c r="I61" s="3367">
        <v>0.25</v>
      </c>
      <c r="J61" s="1064">
        <f t="shared" ref="J61:J69" si="14">K61+$G61</f>
        <v>2.2200000000000001E-2</v>
      </c>
      <c r="K61" s="1064">
        <f t="shared" ref="K61:K69" si="15">$L61+$G61</f>
        <v>1.11E-2</v>
      </c>
      <c r="L61" s="1064">
        <v>0</v>
      </c>
      <c r="M61" s="1064">
        <f t="shared" ref="M61:N69" si="16">L61-$G61</f>
        <v>-1.11E-2</v>
      </c>
      <c r="N61" s="1064">
        <f t="shared" si="16"/>
        <v>-2.2200000000000001E-2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3400</v>
      </c>
      <c r="D62" s="1065">
        <f t="shared" si="12"/>
        <v>1.15E-2</v>
      </c>
      <c r="E62" s="745"/>
      <c r="F62" s="1814"/>
      <c r="G62" s="1063">
        <f t="shared" ref="G62:G69" si="17">H62</f>
        <v>1.15E-2</v>
      </c>
      <c r="H62" s="1066">
        <f t="shared" si="13"/>
        <v>1.15E-2</v>
      </c>
      <c r="I62" s="3367">
        <v>0.26</v>
      </c>
      <c r="J62" s="1064">
        <f t="shared" si="14"/>
        <v>2.3E-2</v>
      </c>
      <c r="K62" s="1064">
        <f t="shared" si="15"/>
        <v>1.15E-2</v>
      </c>
      <c r="L62" s="1064">
        <v>0</v>
      </c>
      <c r="M62" s="1064">
        <f t="shared" si="16"/>
        <v>-1.15E-2</v>
      </c>
      <c r="N62" s="1064">
        <f t="shared" si="16"/>
        <v>-2.3E-2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3400</v>
      </c>
      <c r="D63" s="1065">
        <f t="shared" si="12"/>
        <v>4.7999999999999996E-3</v>
      </c>
      <c r="E63" s="745"/>
      <c r="F63" s="1814"/>
      <c r="G63" s="1063">
        <f t="shared" si="17"/>
        <v>4.7999999999999996E-3</v>
      </c>
      <c r="H63" s="1066">
        <f t="shared" si="13"/>
        <v>4.7999999999999996E-3</v>
      </c>
      <c r="I63" s="3367">
        <v>0.11</v>
      </c>
      <c r="J63" s="1064">
        <f t="shared" si="14"/>
        <v>9.5999999999999992E-3</v>
      </c>
      <c r="K63" s="1064">
        <f t="shared" si="15"/>
        <v>4.7999999999999996E-3</v>
      </c>
      <c r="L63" s="1064">
        <v>0</v>
      </c>
      <c r="M63" s="1064">
        <f t="shared" si="16"/>
        <v>-4.7999999999999996E-3</v>
      </c>
      <c r="N63" s="1064">
        <f t="shared" si="16"/>
        <v>-9.5999999999999992E-3</v>
      </c>
      <c r="AA63" s="1120"/>
      <c r="AB63" s="1120"/>
      <c r="AC63" s="1120"/>
      <c r="AD63" s="1120"/>
      <c r="AE63" s="1120"/>
      <c r="AF63" s="1120"/>
      <c r="AG63" s="1120"/>
      <c r="AH63" s="1120"/>
      <c r="AI63" s="1120"/>
      <c r="AJ63" s="1120"/>
      <c r="AK63" s="1120"/>
    </row>
    <row r="64" spans="1:37" s="1119" customFormat="1" ht="36.75">
      <c r="A64" s="2130" t="s">
        <v>2054</v>
      </c>
      <c r="B64" s="2135" t="s">
        <v>2055</v>
      </c>
      <c r="C64" s="2044" t="s">
        <v>3400</v>
      </c>
      <c r="D64" s="1065">
        <f t="shared" si="12"/>
        <v>2.2000000000000001E-3</v>
      </c>
      <c r="E64" s="745"/>
      <c r="F64" s="1814"/>
      <c r="G64" s="1063">
        <f t="shared" si="17"/>
        <v>2.2000000000000001E-3</v>
      </c>
      <c r="H64" s="1066">
        <f t="shared" si="13"/>
        <v>2.2000000000000001E-3</v>
      </c>
      <c r="I64" s="3367">
        <v>0.05</v>
      </c>
      <c r="J64" s="1064">
        <f t="shared" si="14"/>
        <v>4.4000000000000003E-3</v>
      </c>
      <c r="K64" s="1064">
        <f t="shared" si="15"/>
        <v>2.2000000000000001E-3</v>
      </c>
      <c r="L64" s="1064">
        <v>0</v>
      </c>
      <c r="M64" s="1064">
        <f t="shared" si="16"/>
        <v>-2.2000000000000001E-3</v>
      </c>
      <c r="N64" s="1064">
        <f t="shared" si="16"/>
        <v>-4.4000000000000003E-3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3400</v>
      </c>
      <c r="D65" s="1065">
        <f t="shared" si="12"/>
        <v>2.2000000000000001E-3</v>
      </c>
      <c r="E65" s="745"/>
      <c r="F65" s="1814"/>
      <c r="G65" s="1063">
        <f t="shared" si="17"/>
        <v>2.2000000000000001E-3</v>
      </c>
      <c r="H65" s="1066">
        <f t="shared" si="13"/>
        <v>2.2000000000000001E-3</v>
      </c>
      <c r="I65" s="3367">
        <v>0.05</v>
      </c>
      <c r="J65" s="1064">
        <f t="shared" si="14"/>
        <v>4.4000000000000003E-3</v>
      </c>
      <c r="K65" s="1064">
        <f t="shared" si="15"/>
        <v>2.2000000000000001E-3</v>
      </c>
      <c r="L65" s="1064">
        <v>0</v>
      </c>
      <c r="M65" s="1064">
        <f t="shared" si="16"/>
        <v>-2.2000000000000001E-3</v>
      </c>
      <c r="N65" s="1064">
        <f t="shared" si="16"/>
        <v>-4.4000000000000003E-3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3400</v>
      </c>
      <c r="D66" s="1065">
        <f t="shared" si="12"/>
        <v>2.5999999999999999E-3</v>
      </c>
      <c r="E66" s="745"/>
      <c r="F66" s="1814"/>
      <c r="G66" s="1063">
        <f t="shared" si="17"/>
        <v>2.5999999999999999E-3</v>
      </c>
      <c r="H66" s="1066">
        <f t="shared" si="13"/>
        <v>2.5999999999999999E-3</v>
      </c>
      <c r="I66" s="3367">
        <v>0.06</v>
      </c>
      <c r="J66" s="1064">
        <f t="shared" si="14"/>
        <v>5.1999999999999998E-3</v>
      </c>
      <c r="K66" s="1064">
        <f t="shared" si="15"/>
        <v>2.5999999999999999E-3</v>
      </c>
      <c r="L66" s="1064">
        <v>0</v>
      </c>
      <c r="M66" s="1064">
        <f t="shared" si="16"/>
        <v>-2.5999999999999999E-3</v>
      </c>
      <c r="N66" s="1064">
        <f t="shared" si="16"/>
        <v>-5.1999999999999998E-3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3400</v>
      </c>
      <c r="D67" s="1065">
        <f t="shared" si="12"/>
        <v>2.5999999999999999E-3</v>
      </c>
      <c r="E67" s="745"/>
      <c r="F67" s="1814"/>
      <c r="G67" s="1063">
        <f t="shared" si="17"/>
        <v>2.5999999999999999E-3</v>
      </c>
      <c r="H67" s="1066">
        <f t="shared" si="13"/>
        <v>2.5999999999999999E-3</v>
      </c>
      <c r="I67" s="3367">
        <v>0.06</v>
      </c>
      <c r="J67" s="1064">
        <f t="shared" si="14"/>
        <v>5.1999999999999998E-3</v>
      </c>
      <c r="K67" s="1064">
        <f t="shared" si="15"/>
        <v>2.5999999999999999E-3</v>
      </c>
      <c r="L67" s="1064">
        <v>0</v>
      </c>
      <c r="M67" s="1064">
        <f t="shared" si="16"/>
        <v>-2.5999999999999999E-3</v>
      </c>
      <c r="N67" s="1064">
        <f t="shared" si="16"/>
        <v>-5.1999999999999998E-3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3401</v>
      </c>
      <c r="D68" s="1065">
        <f t="shared" si="12"/>
        <v>8.0000000000000002E-3</v>
      </c>
      <c r="E68" s="745"/>
      <c r="F68" s="1814"/>
      <c r="G68" s="1063">
        <f t="shared" si="17"/>
        <v>4.0000000000000001E-3</v>
      </c>
      <c r="H68" s="1066">
        <f t="shared" si="13"/>
        <v>4.0000000000000001E-3</v>
      </c>
      <c r="I68" s="3367">
        <v>0.09</v>
      </c>
      <c r="J68" s="1064">
        <f t="shared" si="14"/>
        <v>8.0000000000000002E-3</v>
      </c>
      <c r="K68" s="1064">
        <f t="shared" si="15"/>
        <v>4.0000000000000001E-3</v>
      </c>
      <c r="L68" s="1064">
        <v>0</v>
      </c>
      <c r="M68" s="1064">
        <f t="shared" si="16"/>
        <v>-4.0000000000000001E-3</v>
      </c>
      <c r="N68" s="1064">
        <f t="shared" si="16"/>
        <v>-8.0000000000000002E-3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3400</v>
      </c>
      <c r="D69" s="1065">
        <f t="shared" si="12"/>
        <v>3.0999999999999999E-3</v>
      </c>
      <c r="E69" s="746"/>
      <c r="F69" s="1814"/>
      <c r="G69" s="1063">
        <f t="shared" si="17"/>
        <v>3.0999999999999999E-3</v>
      </c>
      <c r="H69" s="1066">
        <f t="shared" si="13"/>
        <v>3.0999999999999999E-3</v>
      </c>
      <c r="I69" s="3368">
        <v>7.0000000000000007E-2</v>
      </c>
      <c r="J69" s="1064">
        <f t="shared" si="14"/>
        <v>6.1999999999999998E-3</v>
      </c>
      <c r="K69" s="1064">
        <f t="shared" si="15"/>
        <v>3.0999999999999999E-3</v>
      </c>
      <c r="L69" s="1064">
        <v>0</v>
      </c>
      <c r="M69" s="1064">
        <f t="shared" si="16"/>
        <v>-3.0999999999999999E-3</v>
      </c>
      <c r="N69" s="1064">
        <f t="shared" si="16"/>
        <v>-6.1999999999999998E-3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5" t="s">
        <v>3299</v>
      </c>
      <c r="B103" s="3655"/>
      <c r="C103" s="3655"/>
      <c r="D103" s="3655"/>
      <c r="E103" s="3655"/>
      <c r="F103" s="3655"/>
      <c r="G103" s="3655"/>
      <c r="H103" s="3655"/>
      <c r="I103" s="3655"/>
      <c r="J103" s="3655"/>
      <c r="K103" s="3390"/>
      <c r="L103" s="3390"/>
      <c r="M103" s="3390"/>
      <c r="N103" s="3390"/>
    </row>
    <row r="104" spans="1:14">
      <c r="A104" s="3656" t="s">
        <v>3300</v>
      </c>
      <c r="B104" s="3656" t="s">
        <v>3301</v>
      </c>
      <c r="C104" s="3391" t="s">
        <v>3302</v>
      </c>
      <c r="D104" s="3392"/>
      <c r="E104" s="3392"/>
      <c r="F104" s="3392"/>
      <c r="G104" s="3392"/>
      <c r="H104" s="3392"/>
      <c r="I104" s="3392"/>
      <c r="J104" s="3393"/>
      <c r="K104" s="3394"/>
      <c r="L104" s="3394"/>
      <c r="M104" s="3394"/>
      <c r="N104" s="3394"/>
    </row>
    <row r="105" spans="1:14">
      <c r="A105" s="3656"/>
      <c r="B105" s="365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3"/>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5" t="s">
        <v>3316</v>
      </c>
      <c r="B113" s="3645"/>
      <c r="C113" s="3645"/>
      <c r="D113" s="3645"/>
      <c r="E113" s="3645"/>
      <c r="F113" s="3645"/>
      <c r="G113" s="3645"/>
      <c r="H113" s="3645"/>
      <c r="I113" s="3645"/>
      <c r="J113" s="36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0.90600000000000003</v>
      </c>
      <c r="E116" s="2000" t="s">
        <v>3319</v>
      </c>
      <c r="F116" s="3402" t="str">
        <f>E2</f>
        <v>办公</v>
      </c>
      <c r="G116" s="2000" t="s">
        <v>3320</v>
      </c>
      <c r="H116" s="3402" t="str">
        <f>G2</f>
        <v>四级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148.46</v>
      </c>
      <c r="C2" s="1387" t="s">
        <v>879</v>
      </c>
      <c r="D2" s="1471">
        <f ca="1">C40+J29+L46</f>
        <v>1484600</v>
      </c>
      <c r="E2" s="1388" t="s">
        <v>880</v>
      </c>
      <c r="F2" s="1389"/>
      <c r="G2" s="2706"/>
      <c r="H2" s="2695"/>
      <c r="I2" s="2695"/>
      <c r="J2" s="2695"/>
      <c r="K2" s="2696"/>
      <c r="L2" s="2695"/>
      <c r="M2" s="2695"/>
    </row>
    <row r="3" spans="1:37" ht="18" customHeight="1" thickBot="1">
      <c r="A3" s="1390" t="s">
        <v>881</v>
      </c>
      <c r="B3" s="1391">
        <f ca="1">IF(ISERROR(D2/F43),0,ROUND(D2/F43,0))</f>
        <v>27042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72229</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72139</v>
      </c>
      <c r="D6" s="155" t="s">
        <v>2106</v>
      </c>
      <c r="E6" s="302" t="s">
        <v>696</v>
      </c>
      <c r="F6" s="303">
        <f ca="1">INDIRECT("'数据-取费表'!u"&amp;$G$1)</f>
        <v>4</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54.9</v>
      </c>
      <c r="G7" s="1384"/>
      <c r="H7" s="304"/>
      <c r="I7" s="3640"/>
      <c r="J7" s="306"/>
      <c r="K7" s="307"/>
      <c r="L7" s="302" t="s">
        <v>697</v>
      </c>
      <c r="M7" s="303">
        <f ca="1">F7</f>
        <v>54.9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90</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305920</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274500</v>
      </c>
      <c r="D14" s="1345" t="s">
        <v>708</v>
      </c>
      <c r="E14" s="1342"/>
      <c r="F14" s="319"/>
      <c r="G14" s="1384"/>
      <c r="H14" s="982" t="s">
        <v>398</v>
      </c>
      <c r="I14" s="302" t="s">
        <v>709</v>
      </c>
      <c r="J14" s="21">
        <f ca="1">C29</f>
        <v>392205</v>
      </c>
      <c r="K14" s="12"/>
      <c r="L14" s="807"/>
      <c r="M14" s="808"/>
    </row>
    <row r="15" spans="1:37" s="1397" customFormat="1" ht="18" customHeight="1" thickBot="1">
      <c r="A15" s="982" t="s">
        <v>399</v>
      </c>
      <c r="B15" s="302" t="s">
        <v>710</v>
      </c>
      <c r="C15" s="21">
        <f ca="1">ROUND(C14*F15,0)</f>
        <v>8235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1961</v>
      </c>
      <c r="K16" s="1087" t="s">
        <v>715</v>
      </c>
      <c r="L16" s="1088"/>
      <c r="M16" s="1072"/>
    </row>
    <row r="17" spans="1:37" s="1397" customFormat="1" ht="18" customHeight="1">
      <c r="A17" s="982" t="s">
        <v>681</v>
      </c>
      <c r="B17" s="302" t="s">
        <v>716</v>
      </c>
      <c r="C17" s="21">
        <f ca="1">ROUND(F17*(F43+INDIRECT("'数据-取费表'!S"&amp;$G$1)),0)</f>
        <v>10980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297833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5957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1961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12607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-1961</v>
      </c>
      <c r="K25" s="1095" t="s">
        <v>753</v>
      </c>
      <c r="L25" s="1096"/>
      <c r="M25" s="1097"/>
    </row>
    <row r="26" spans="1:37" ht="18" customHeight="1">
      <c r="A26" s="982" t="s">
        <v>397</v>
      </c>
      <c r="B26" s="302" t="s">
        <v>754</v>
      </c>
      <c r="C26" s="21">
        <f ca="1">ROUND((C19+C20)*F26,0)</f>
        <v>45569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392205</v>
      </c>
      <c r="D29" s="1092"/>
      <c r="E29" s="1090"/>
      <c r="F29" s="1093"/>
      <c r="G29" s="1396"/>
      <c r="H29" s="334" t="s">
        <v>396</v>
      </c>
      <c r="I29" s="335" t="s">
        <v>768</v>
      </c>
      <c r="J29" s="336">
        <f ca="1">ROUND(J26/(1+F40)^F41,0)</f>
        <v>0</v>
      </c>
      <c r="K29" s="337" t="s">
        <v>769</v>
      </c>
      <c r="L29" s="338"/>
      <c r="M29" s="339">
        <f ca="1">INDIRECT("'数据-取费表'!k"&amp;$G$1)</f>
        <v>54.9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7437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4809</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1961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361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64792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1472118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26815</v>
      </c>
      <c r="D43" s="337" t="s">
        <v>777</v>
      </c>
      <c r="E43" s="338" t="s">
        <v>778</v>
      </c>
      <c r="F43" s="339">
        <f ca="1">INDIRECT("'数据-取费表'!k"&amp;$G$1)</f>
        <v>54.9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-150.70079999999999</v>
      </c>
      <c r="D45" s="3432" t="s">
        <v>3358</v>
      </c>
      <c r="E45" s="1400"/>
      <c r="F45" s="1400"/>
      <c r="O45" s="1403" t="s">
        <v>808</v>
      </c>
      <c r="P45" s="1461"/>
      <c r="Q45" s="1461"/>
      <c r="R45" s="1461"/>
    </row>
    <row r="46" spans="1:18" s="1384" customFormat="1" ht="13.5" thickBot="1">
      <c r="A46" s="1404" t="s">
        <v>809</v>
      </c>
      <c r="C46" s="1405">
        <f ca="1">ROUND(C45,0)</f>
        <v>-151</v>
      </c>
      <c r="D46" s="1406" t="str">
        <f>C2</f>
        <v>万元</v>
      </c>
      <c r="I46" s="1407" t="s">
        <v>810</v>
      </c>
      <c r="J46" s="1408"/>
      <c r="K46" s="1409"/>
      <c r="L46" s="1410">
        <f ca="1">IF(M47="住宅",0,IF(L48&gt;J51,L60,J60))</f>
        <v>12482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1472118</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35</v>
      </c>
      <c r="O48" s="1418" t="s">
        <v>404</v>
      </c>
      <c r="P48" s="1419" t="s">
        <v>821</v>
      </c>
      <c r="Q48" s="1420">
        <f ca="1">J60</f>
        <v>12482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392205</v>
      </c>
      <c r="R49" s="1420" t="s">
        <v>818</v>
      </c>
    </row>
    <row r="50" spans="1:18" s="1384" customFormat="1" ht="13.5" thickBot="1">
      <c r="A50" s="976"/>
      <c r="B50" s="979"/>
      <c r="C50" s="980"/>
      <c r="D50" s="953"/>
      <c r="E50" s="1056" t="s">
        <v>697</v>
      </c>
      <c r="F50" s="1057">
        <f ca="1">F7</f>
        <v>54.9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779973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v>
      </c>
      <c r="K53" s="3637" t="s">
        <v>837</v>
      </c>
      <c r="L53" s="3638"/>
      <c r="O53" s="1418" t="s">
        <v>409</v>
      </c>
      <c r="P53" s="1419" t="s">
        <v>838</v>
      </c>
      <c r="Q53" s="1420">
        <f ca="1">Q47+Q48</f>
        <v>1484600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305920</v>
      </c>
      <c r="D56" s="1447"/>
      <c r="E56" s="1448"/>
      <c r="F56" s="1440"/>
      <c r="I56" s="1449" t="s">
        <v>842</v>
      </c>
      <c r="J56" s="1450" t="s">
        <v>3406</v>
      </c>
      <c r="K56" s="1421" t="s">
        <v>843</v>
      </c>
      <c r="L56" s="1424" t="str">
        <f ca="1">IF(L48&lt;J51,"——",L48-J51)</f>
        <v>——</v>
      </c>
      <c r="O56" s="1418" t="s">
        <v>403</v>
      </c>
      <c r="P56" s="1419" t="s">
        <v>817</v>
      </c>
      <c r="Q56" s="1420">
        <f ca="1">C40+J29</f>
        <v>1472118</v>
      </c>
      <c r="R56" s="1420" t="s">
        <v>818</v>
      </c>
    </row>
    <row r="57" spans="1:18" s="1384" customFormat="1" ht="24.75" thickBot="1">
      <c r="A57" s="1451"/>
      <c r="B57" s="950" t="s">
        <v>767</v>
      </c>
      <c r="C57" s="238">
        <f ca="1">C29</f>
        <v>392205</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2267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156882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12482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1472118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1961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306</v>
      </c>
      <c r="D65" s="964" t="s">
        <v>743</v>
      </c>
      <c r="E65" s="950" t="s">
        <v>744</v>
      </c>
      <c r="F65" s="330">
        <f t="shared" ca="1" si="0"/>
        <v>1E-3</v>
      </c>
      <c r="I65" s="1462" t="s">
        <v>867</v>
      </c>
      <c r="J65" s="1463">
        <v>40</v>
      </c>
      <c r="K65" s="1463">
        <v>30</v>
      </c>
      <c r="L65" s="1463">
        <v>50</v>
      </c>
      <c r="M65" s="1465">
        <v>0.02</v>
      </c>
      <c r="O65" s="1418" t="s">
        <v>403</v>
      </c>
      <c r="P65" s="1419" t="s">
        <v>868</v>
      </c>
      <c r="Q65" s="1420">
        <f ca="1">C40+J29</f>
        <v>1472118</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-2267</v>
      </c>
      <c r="D67" s="963" t="s">
        <v>753</v>
      </c>
      <c r="E67" s="968"/>
      <c r="F67" s="969"/>
      <c r="O67" s="1428" t="s">
        <v>405</v>
      </c>
      <c r="P67" s="1419" t="s">
        <v>850</v>
      </c>
      <c r="Q67" s="1466">
        <f ca="1">L51</f>
        <v>779973</v>
      </c>
      <c r="R67" s="1420" t="s">
        <v>870</v>
      </c>
    </row>
    <row r="68" spans="1:18" s="1384" customFormat="1" ht="16.5" thickBot="1">
      <c r="A68" s="947" t="s">
        <v>395</v>
      </c>
      <c r="B68" s="948" t="s">
        <v>774</v>
      </c>
      <c r="C68" s="301">
        <f ca="1">ROUND(C67*(1-((1+F70)/(1+F68))^F69)/(F68-F70),0)</f>
        <v>-34890</v>
      </c>
      <c r="D68" s="965" t="s">
        <v>758</v>
      </c>
      <c r="E68" s="950" t="s">
        <v>759</v>
      </c>
      <c r="F68" s="312">
        <f ca="1">F40</f>
        <v>5.5E-2</v>
      </c>
      <c r="O68" s="1428" t="s">
        <v>406</v>
      </c>
      <c r="P68" s="1467" t="s">
        <v>871</v>
      </c>
      <c r="Q68" s="1420">
        <f ca="1">ROUND(Q69-Q70*Q71,0)</f>
        <v>43378</v>
      </c>
      <c r="R68" s="1420" t="s">
        <v>414</v>
      </c>
    </row>
    <row r="69" spans="1:18" s="1384" customFormat="1" ht="13.5" thickBot="1">
      <c r="A69" s="951"/>
      <c r="B69" s="952"/>
      <c r="C69" s="306"/>
      <c r="D69" s="970" t="s">
        <v>762</v>
      </c>
      <c r="E69" s="950" t="s">
        <v>763</v>
      </c>
      <c r="F69" s="333">
        <f ca="1">F41</f>
        <v>35</v>
      </c>
      <c r="O69" s="1428" t="s">
        <v>411</v>
      </c>
      <c r="P69" s="1467" t="s">
        <v>872</v>
      </c>
      <c r="Q69" s="1420">
        <f ca="1">C39</f>
        <v>64792</v>
      </c>
      <c r="R69" s="1420" t="s">
        <v>818</v>
      </c>
    </row>
    <row r="70" spans="1:18" s="1384" customFormat="1" ht="13.5" thickBot="1">
      <c r="A70" s="954"/>
      <c r="B70" s="955"/>
      <c r="C70" s="310"/>
      <c r="D70" s="966"/>
      <c r="E70" s="950" t="s">
        <v>766</v>
      </c>
      <c r="F70" s="1054"/>
      <c r="O70" s="1428" t="s">
        <v>412</v>
      </c>
      <c r="P70" s="1467" t="s">
        <v>873</v>
      </c>
      <c r="Q70" s="1420">
        <f ca="1">C13</f>
        <v>305920</v>
      </c>
      <c r="R70" s="1420" t="s">
        <v>818</v>
      </c>
    </row>
    <row r="71" spans="1:18" s="1384" customFormat="1" ht="13.5" thickBot="1">
      <c r="A71" s="971" t="s">
        <v>396</v>
      </c>
      <c r="B71" s="972" t="s">
        <v>776</v>
      </c>
      <c r="C71" s="336">
        <f ca="1">ROUND(C68/F71,0)</f>
        <v>-636</v>
      </c>
      <c r="D71" s="973" t="s">
        <v>777</v>
      </c>
      <c r="E71" s="974" t="s">
        <v>778</v>
      </c>
      <c r="F71" s="339">
        <f ca="1">F43</f>
        <v>54.9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21414</v>
      </c>
      <c r="D75" s="1384"/>
      <c r="E75" s="1384"/>
      <c r="F75" s="1384"/>
      <c r="K75" s="1402"/>
      <c r="L75" s="1384"/>
      <c r="O75" s="1418" t="s">
        <v>409</v>
      </c>
      <c r="P75" s="1419" t="s">
        <v>838</v>
      </c>
      <c r="Q75" s="1420">
        <f ca="1">Q65+Q66</f>
        <v>1472118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0.79200000000000004</v>
      </c>
    </row>
    <row r="83" spans="2:3">
      <c r="B83" s="273" t="s">
        <v>803</v>
      </c>
      <c r="C83" s="274">
        <f ca="1">ROUND(C13/C40,3)</f>
        <v>0.20799999999999999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67" t="s">
        <v>2320</v>
      </c>
      <c r="K2" s="366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69" t="s">
        <v>2330</v>
      </c>
      <c r="K3" s="367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69" t="s">
        <v>2332</v>
      </c>
      <c r="K4" s="367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75" t="s">
        <v>2336</v>
      </c>
      <c r="B6" s="3676"/>
      <c r="C6" s="3677"/>
      <c r="D6" s="2870"/>
      <c r="E6" s="2871"/>
      <c r="F6" s="2872"/>
      <c r="G6" s="2873"/>
      <c r="H6" s="2848"/>
      <c r="I6" s="2849"/>
      <c r="J6" s="3661">
        <v>1</v>
      </c>
      <c r="K6" s="366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61"/>
      <c r="K7" s="366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8" t="s">
        <v>2350</v>
      </c>
      <c r="C8" s="3679"/>
      <c r="D8" s="2889" t="s">
        <v>2351</v>
      </c>
      <c r="E8" s="2890" t="s">
        <v>2352</v>
      </c>
      <c r="F8" s="2891" t="s">
        <v>2353</v>
      </c>
      <c r="G8" s="2892"/>
      <c r="H8" s="2848"/>
      <c r="I8" s="2849"/>
      <c r="J8" s="3661"/>
      <c r="K8" s="366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8" t="s">
        <v>2356</v>
      </c>
      <c r="C9" s="3679"/>
      <c r="D9" s="2889">
        <f>ROUND(D6*E9,0)</f>
        <v>0</v>
      </c>
      <c r="E9" s="2893"/>
      <c r="F9" s="2894" t="s">
        <v>2357</v>
      </c>
      <c r="G9" s="2873"/>
      <c r="H9" s="2848"/>
      <c r="I9" s="2849"/>
      <c r="J9" s="3661"/>
      <c r="K9" s="3663"/>
      <c r="L9" s="2883" t="s">
        <v>2358</v>
      </c>
      <c r="M9" s="2884"/>
      <c r="N9" s="2860"/>
      <c r="O9" s="2885"/>
      <c r="P9" s="2885"/>
      <c r="Q9" s="2886">
        <v>365</v>
      </c>
      <c r="R9" s="2887">
        <f t="shared" si="0"/>
        <v>0</v>
      </c>
      <c r="S9" s="2841"/>
      <c r="T9" s="2841"/>
      <c r="U9" s="2841"/>
      <c r="V9" s="2849"/>
    </row>
    <row r="10" spans="1:22" s="2853" customFormat="1" ht="13.15" customHeight="1">
      <c r="A10" s="2888">
        <v>2</v>
      </c>
      <c r="B10" s="3678" t="s">
        <v>2359</v>
      </c>
      <c r="C10" s="3679"/>
      <c r="D10" s="2889">
        <f>ROUND(D6*E10,0)</f>
        <v>0</v>
      </c>
      <c r="E10" s="2893"/>
      <c r="F10" s="2894" t="s">
        <v>2360</v>
      </c>
      <c r="G10" s="2873"/>
      <c r="H10" s="2848"/>
      <c r="I10" s="2849"/>
      <c r="J10" s="3661"/>
      <c r="K10" s="3663"/>
      <c r="L10" s="2883" t="s">
        <v>2361</v>
      </c>
      <c r="M10" s="2884"/>
      <c r="N10" s="2860"/>
      <c r="O10" s="2885"/>
      <c r="P10" s="2885"/>
      <c r="Q10" s="2886">
        <v>365</v>
      </c>
      <c r="R10" s="2887">
        <f t="shared" si="0"/>
        <v>0</v>
      </c>
      <c r="S10" s="2841"/>
      <c r="T10" s="2841"/>
      <c r="U10" s="2841"/>
      <c r="V10" s="2849"/>
    </row>
    <row r="11" spans="1:22" s="2853" customFormat="1" ht="13.15" customHeight="1">
      <c r="A11" s="2888">
        <v>3</v>
      </c>
      <c r="B11" s="3678" t="s">
        <v>2362</v>
      </c>
      <c r="C11" s="3679"/>
      <c r="D11" s="2889">
        <f>D12+D14+D15+D16</f>
        <v>0</v>
      </c>
      <c r="E11" s="2895" t="e">
        <f>D11/D6</f>
        <v>#DIV/0!</v>
      </c>
      <c r="F11" s="2891"/>
      <c r="G11" s="2892"/>
      <c r="H11" s="2848"/>
      <c r="I11" s="2849"/>
      <c r="J11" s="3661"/>
      <c r="K11" s="366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1" t="s">
        <v>2365</v>
      </c>
      <c r="C12" s="3672"/>
      <c r="D12" s="2897">
        <f>ROUND(D13*1.2%*(1-30%),0)</f>
        <v>0</v>
      </c>
      <c r="E12" s="2898">
        <v>1.2E-2</v>
      </c>
      <c r="F12" s="2891" t="s">
        <v>2366</v>
      </c>
      <c r="G12" s="2892"/>
      <c r="H12" s="2848"/>
      <c r="I12" s="2849"/>
      <c r="J12" s="3661"/>
      <c r="K12" s="366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61"/>
      <c r="K13" s="366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1" t="s">
        <v>2371</v>
      </c>
      <c r="C14" s="3672"/>
      <c r="D14" s="2897">
        <f>ROUND(E14*B5/10000,0)</f>
        <v>0</v>
      </c>
      <c r="E14" s="2886"/>
      <c r="F14" s="2891" t="s">
        <v>2372</v>
      </c>
      <c r="G14" s="2892"/>
      <c r="H14" s="2848"/>
      <c r="I14" s="2849"/>
      <c r="J14" s="3661"/>
      <c r="K14" s="366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71" t="s">
        <v>2375</v>
      </c>
      <c r="C15" s="3672"/>
      <c r="D15" s="2897">
        <f>ROUND(D6*E15,0)</f>
        <v>0</v>
      </c>
      <c r="E15" s="2898">
        <v>5.5E-2</v>
      </c>
      <c r="F15" s="2891" t="s">
        <v>2376</v>
      </c>
      <c r="G15" s="2873"/>
      <c r="H15" s="2848"/>
      <c r="I15" s="2849"/>
      <c r="J15" s="3661">
        <v>2</v>
      </c>
      <c r="K15" s="366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1" t="s">
        <v>2384</v>
      </c>
      <c r="C16" s="3672"/>
      <c r="D16" s="2908">
        <f>D6*E16</f>
        <v>0</v>
      </c>
      <c r="E16" s="2909"/>
      <c r="F16" s="2894" t="s">
        <v>2385</v>
      </c>
      <c r="G16" s="2873"/>
      <c r="H16" s="2848"/>
      <c r="I16" s="2849"/>
      <c r="J16" s="3661"/>
      <c r="K16" s="366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2387</v>
      </c>
      <c r="C17" s="3674"/>
      <c r="D17" s="2911">
        <f>ROUND(D6*E17,0)</f>
        <v>0</v>
      </c>
      <c r="E17" s="2912"/>
      <c r="F17" s="2913" t="s">
        <v>2388</v>
      </c>
      <c r="G17" s="2873"/>
      <c r="H17" s="2848"/>
      <c r="I17" s="2849"/>
      <c r="J17" s="3661"/>
      <c r="K17" s="366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61"/>
      <c r="K18" s="366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1"/>
      <c r="K19" s="366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1">
        <v>3</v>
      </c>
      <c r="K20" s="366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1"/>
      <c r="K21" s="366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1"/>
      <c r="K22" s="366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61"/>
      <c r="K23" s="366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1"/>
      <c r="K24" s="366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67" t="s">
        <v>2320</v>
      </c>
      <c r="K32" s="366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9" t="s">
        <v>2330</v>
      </c>
      <c r="K33" s="367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69" t="s">
        <v>2332</v>
      </c>
      <c r="K34" s="367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61">
        <v>1</v>
      </c>
      <c r="K36" s="366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1"/>
      <c r="K37" s="366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1"/>
      <c r="K38" s="366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61"/>
      <c r="K39" s="366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61"/>
      <c r="K40" s="366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148.46</v>
      </c>
      <c r="C2" s="1872" t="s">
        <v>1651</v>
      </c>
      <c r="D2" s="1873" t="s">
        <v>1652</v>
      </c>
      <c r="E2" s="2607">
        <f>SUM(E6:E13)</f>
        <v>54.9</v>
      </c>
      <c r="F2" s="2707"/>
      <c r="G2" s="1489"/>
      <c r="H2" s="1489"/>
      <c r="I2" s="1489"/>
      <c r="J2" s="1489"/>
      <c r="K2" s="1489"/>
      <c r="L2" s="1489"/>
      <c r="M2" s="1489"/>
      <c r="N2" s="1489"/>
      <c r="O2" s="1489"/>
      <c r="P2" s="1489"/>
      <c r="Q2" s="1489"/>
      <c r="R2" s="1489"/>
      <c r="S2" s="1489"/>
    </row>
    <row r="3" spans="1:22" ht="15.75">
      <c r="A3" s="1870" t="s">
        <v>686</v>
      </c>
      <c r="B3" s="2601">
        <f ca="1">ROUND(B2*10000/E2,0)</f>
        <v>27042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0" t="s">
        <v>1654</v>
      </c>
      <c r="C5" s="368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148.46</v>
      </c>
      <c r="C6" s="1872" t="s">
        <v>1651</v>
      </c>
      <c r="D6" s="2709"/>
      <c r="E6" s="2606">
        <f>IF(OR(A6=0,F6="否"),0,'数据-取费表'!K6+'数据-取费表'!S6)</f>
        <v>54.9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54.9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54.9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45075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54.9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5"/>
      <c r="M5" s="2716"/>
      <c r="N5" s="2716"/>
      <c r="O5" s="2716"/>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45075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54.9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45075</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5"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5"/>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5"/>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5"/>
      <c r="M6" s="2716"/>
      <c r="N6" s="2716"/>
      <c r="O6" s="2716"/>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45075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85"/>
      <c r="Q10" s="1343" t="str">
        <f t="shared" si="6"/>
        <v>土地使用年限（年）</v>
      </c>
      <c r="R10" s="701" t="s">
        <v>14</v>
      </c>
      <c r="S10" s="702">
        <f t="shared" si="0"/>
        <v>111</v>
      </c>
      <c r="T10" s="701" t="s">
        <v>14</v>
      </c>
      <c r="U10" s="702">
        <f t="shared" si="1"/>
        <v>111</v>
      </c>
      <c r="V10" s="701" t="s">
        <v>14</v>
      </c>
      <c r="W10" s="702">
        <f t="shared" si="2"/>
        <v>111</v>
      </c>
      <c r="X10" s="703"/>
      <c r="Y10" s="354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5"/>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54.9</v>
      </c>
      <c r="F56" s="886" t="e">
        <f t="shared" ref="F56:F64" si="15">ROUND(B56*E56/10000,0)</f>
        <v>#DIV/0!</v>
      </c>
      <c r="G56" s="3696"/>
      <c r="H56" s="368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54.9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5"/>
      <c r="M5" s="2716"/>
      <c r="N5" s="2716"/>
      <c r="O5" s="2716"/>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45075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5"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85"/>
      <c r="Q10" s="1343" t="str">
        <f t="shared" si="6"/>
        <v>土地使用年限（年）</v>
      </c>
      <c r="R10" s="701" t="s">
        <v>14</v>
      </c>
      <c r="S10" s="702">
        <f t="shared" si="0"/>
        <v>111</v>
      </c>
      <c r="T10" s="701" t="s">
        <v>14</v>
      </c>
      <c r="U10" s="702">
        <f t="shared" si="1"/>
        <v>111</v>
      </c>
      <c r="V10" s="701" t="s">
        <v>14</v>
      </c>
      <c r="W10" s="702">
        <f t="shared" si="2"/>
        <v>111</v>
      </c>
      <c r="X10" s="703"/>
      <c r="Y10" s="354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5"/>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5"/>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5"/>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5"/>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54.9</v>
      </c>
      <c r="F51" s="639" t="e">
        <f t="shared" ref="F51:F60" si="15">ROUND(B51*E51/10000,0)</f>
        <v>#DIV/0!</v>
      </c>
      <c r="G51" s="3696"/>
      <c r="H51" s="368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7" t="s">
        <v>2610</v>
      </c>
      <c r="B20" s="3762" t="s">
        <v>2631</v>
      </c>
      <c r="C20" s="3103" t="s">
        <v>2442</v>
      </c>
      <c r="D20" s="3104"/>
      <c r="E20" s="3105">
        <v>1</v>
      </c>
      <c r="F20" s="3106" t="s">
        <v>2443</v>
      </c>
      <c r="G20" s="3106"/>
    </row>
    <row r="21" spans="1:13" ht="19.5" customHeight="1">
      <c r="A21" s="3768"/>
      <c r="B21" s="3761"/>
      <c r="C21" s="3107" t="s">
        <v>2444</v>
      </c>
      <c r="D21" s="3108"/>
      <c r="E21" s="3109">
        <v>1</v>
      </c>
      <c r="F21" s="3106" t="s">
        <v>2445</v>
      </c>
      <c r="G21" s="3106"/>
    </row>
    <row r="22" spans="1:13" ht="19.5" customHeight="1">
      <c r="A22" s="3768"/>
      <c r="B22" s="3761"/>
      <c r="C22" s="3107" t="s">
        <v>2446</v>
      </c>
      <c r="D22" s="3108"/>
      <c r="E22" s="3109">
        <v>0.9</v>
      </c>
      <c r="F22" s="3106" t="s">
        <v>2447</v>
      </c>
      <c r="G22" s="3106"/>
    </row>
    <row r="23" spans="1:13" ht="19.5" customHeight="1">
      <c r="A23" s="3768"/>
      <c r="B23" s="3761"/>
      <c r="C23" s="3107" t="s">
        <v>2448</v>
      </c>
      <c r="D23" s="3108"/>
      <c r="E23" s="3109">
        <v>0.9</v>
      </c>
      <c r="F23" s="3106" t="s">
        <v>2449</v>
      </c>
      <c r="G23" s="3106"/>
    </row>
    <row r="24" spans="1:13" ht="19.5" customHeight="1">
      <c r="A24" s="3768"/>
      <c r="B24" s="3761"/>
      <c r="C24" s="3107" t="s">
        <v>2450</v>
      </c>
      <c r="D24" s="3108"/>
      <c r="E24" s="3109">
        <v>0.8</v>
      </c>
      <c r="F24" s="3106" t="s">
        <v>2451</v>
      </c>
      <c r="G24" s="3106"/>
    </row>
    <row r="25" spans="1:13" ht="19.5" customHeight="1" thickBot="1">
      <c r="A25" s="3769"/>
      <c r="B25" s="376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4" t="s">
        <v>2634</v>
      </c>
      <c r="B27" s="3762" t="s">
        <v>2615</v>
      </c>
      <c r="C27" s="3103" t="s">
        <v>2455</v>
      </c>
      <c r="D27" s="3104"/>
      <c r="E27" s="3105">
        <v>1</v>
      </c>
      <c r="F27" s="3106" t="s">
        <v>2456</v>
      </c>
      <c r="G27" s="3106"/>
    </row>
    <row r="28" spans="1:13" ht="19.5" customHeight="1">
      <c r="A28" s="3765"/>
      <c r="B28" s="3761"/>
      <c r="C28" s="3107" t="s">
        <v>2457</v>
      </c>
      <c r="D28" s="3108"/>
      <c r="E28" s="3109">
        <v>1</v>
      </c>
      <c r="F28" s="3106" t="s">
        <v>2458</v>
      </c>
      <c r="G28" s="3106"/>
    </row>
    <row r="29" spans="1:13" ht="19.5" customHeight="1">
      <c r="A29" s="3765"/>
      <c r="B29" s="3761"/>
      <c r="C29" s="3107" t="s">
        <v>2459</v>
      </c>
      <c r="D29" s="3108"/>
      <c r="E29" s="3109">
        <v>0.8</v>
      </c>
      <c r="F29" s="3106" t="s">
        <v>2460</v>
      </c>
      <c r="G29" s="3106"/>
    </row>
    <row r="30" spans="1:13" ht="19.5" customHeight="1">
      <c r="A30" s="3765"/>
      <c r="B30" s="3761"/>
      <c r="C30" s="3107" t="s">
        <v>2461</v>
      </c>
      <c r="D30" s="3108"/>
      <c r="E30" s="3109">
        <v>0.8</v>
      </c>
      <c r="F30" s="3106" t="s">
        <v>2462</v>
      </c>
      <c r="G30" s="3106"/>
    </row>
    <row r="31" spans="1:13" ht="19.5" customHeight="1">
      <c r="A31" s="3765"/>
      <c r="B31" s="3761"/>
      <c r="C31" s="3107" t="s">
        <v>2463</v>
      </c>
      <c r="D31" s="3108"/>
      <c r="E31" s="3109">
        <v>0.8</v>
      </c>
      <c r="F31" s="3106" t="s">
        <v>2464</v>
      </c>
      <c r="G31" s="3106"/>
    </row>
    <row r="32" spans="1:13" ht="19.5" customHeight="1">
      <c r="A32" s="3765"/>
      <c r="B32" s="3761"/>
      <c r="C32" s="3107" t="s">
        <v>2465</v>
      </c>
      <c r="D32" s="3108"/>
      <c r="E32" s="3109">
        <v>0.7</v>
      </c>
      <c r="F32" s="3106" t="s">
        <v>2466</v>
      </c>
      <c r="G32" s="3106"/>
    </row>
    <row r="33" spans="1:7" ht="19.5" customHeight="1">
      <c r="A33" s="3765"/>
      <c r="B33" s="3761"/>
      <c r="C33" s="3107" t="s">
        <v>2467</v>
      </c>
      <c r="D33" s="3108"/>
      <c r="E33" s="3109">
        <v>0.8</v>
      </c>
      <c r="F33" s="3106" t="s">
        <v>2468</v>
      </c>
      <c r="G33" s="3106"/>
    </row>
    <row r="34" spans="1:7" ht="19.5" customHeight="1">
      <c r="A34" s="3765"/>
      <c r="B34" s="3761"/>
      <c r="C34" s="3107" t="s">
        <v>2469</v>
      </c>
      <c r="D34" s="3108"/>
      <c r="E34" s="3109">
        <v>0.6</v>
      </c>
      <c r="F34" s="3106" t="s">
        <v>2470</v>
      </c>
      <c r="G34" s="3106"/>
    </row>
    <row r="35" spans="1:7" ht="19.5" customHeight="1">
      <c r="A35" s="3765"/>
      <c r="B35" s="3761"/>
      <c r="C35" s="3107" t="s">
        <v>2471</v>
      </c>
      <c r="D35" s="3108"/>
      <c r="E35" s="3109">
        <v>0.2</v>
      </c>
      <c r="F35" s="3106" t="s">
        <v>2472</v>
      </c>
      <c r="G35" s="3106"/>
    </row>
    <row r="36" spans="1:7" ht="19.5" customHeight="1">
      <c r="A36" s="3765"/>
      <c r="B36" s="3761"/>
      <c r="C36" s="3107" t="s">
        <v>2473</v>
      </c>
      <c r="D36" s="3108"/>
      <c r="E36" s="3109">
        <v>0.2</v>
      </c>
      <c r="F36" s="3106" t="s">
        <v>2474</v>
      </c>
      <c r="G36" s="3106"/>
    </row>
    <row r="37" spans="1:7" ht="19.5" customHeight="1">
      <c r="A37" s="3765"/>
      <c r="B37" s="3759" t="s">
        <v>2635</v>
      </c>
      <c r="C37" s="3107" t="s">
        <v>2475</v>
      </c>
      <c r="D37" s="3108"/>
      <c r="E37" s="3109">
        <v>0.6</v>
      </c>
      <c r="F37" s="3106" t="s">
        <v>2476</v>
      </c>
      <c r="G37" s="3106"/>
    </row>
    <row r="38" spans="1:7" ht="19.5" customHeight="1">
      <c r="A38" s="3765"/>
      <c r="B38" s="3761"/>
      <c r="C38" s="3107" t="s">
        <v>2477</v>
      </c>
      <c r="D38" s="3108"/>
      <c r="E38" s="3109">
        <v>0.6</v>
      </c>
      <c r="F38" s="3106" t="s">
        <v>2478</v>
      </c>
      <c r="G38" s="3106"/>
    </row>
    <row r="39" spans="1:7" ht="19.5" customHeight="1" thickBot="1">
      <c r="A39" s="3766"/>
      <c r="B39" s="376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7" t="s">
        <v>2613</v>
      </c>
      <c r="B41" s="3762" t="s">
        <v>2637</v>
      </c>
      <c r="C41" s="3103" t="s">
        <v>2482</v>
      </c>
      <c r="D41" s="3104"/>
      <c r="E41" s="3105">
        <v>1</v>
      </c>
      <c r="F41" s="3106" t="s">
        <v>2483</v>
      </c>
      <c r="G41" s="3106"/>
    </row>
    <row r="42" spans="1:7" ht="19.5" customHeight="1">
      <c r="A42" s="3768"/>
      <c r="B42" s="3761"/>
      <c r="C42" s="3107" t="s">
        <v>2484</v>
      </c>
      <c r="D42" s="3108"/>
      <c r="E42" s="3109">
        <v>1</v>
      </c>
      <c r="F42" s="3106" t="s">
        <v>2485</v>
      </c>
      <c r="G42" s="3106"/>
    </row>
    <row r="43" spans="1:7" ht="19.5" customHeight="1">
      <c r="A43" s="3768"/>
      <c r="B43" s="3760"/>
      <c r="C43" s="3107" t="s">
        <v>2486</v>
      </c>
      <c r="D43" s="3108"/>
      <c r="E43" s="3109">
        <v>1.5</v>
      </c>
      <c r="F43" s="3106" t="s">
        <v>2487</v>
      </c>
      <c r="G43" s="3106"/>
    </row>
    <row r="44" spans="1:7" ht="19.5" customHeight="1">
      <c r="A44" s="3768"/>
      <c r="B44" s="3118" t="s">
        <v>2638</v>
      </c>
      <c r="C44" s="3107" t="s">
        <v>2639</v>
      </c>
      <c r="D44" s="3108"/>
      <c r="E44" s="3109">
        <v>2</v>
      </c>
      <c r="F44" s="3106" t="s">
        <v>2488</v>
      </c>
      <c r="G44" s="3106"/>
    </row>
    <row r="45" spans="1:7" ht="19.5" customHeight="1">
      <c r="A45" s="3768"/>
      <c r="B45" s="3759" t="s">
        <v>2640</v>
      </c>
      <c r="C45" s="3107" t="s">
        <v>2489</v>
      </c>
      <c r="D45" s="3108"/>
      <c r="E45" s="3109">
        <v>1</v>
      </c>
      <c r="F45" s="3106" t="s">
        <v>2490</v>
      </c>
      <c r="G45" s="3106"/>
    </row>
    <row r="46" spans="1:7" ht="19.5" customHeight="1">
      <c r="A46" s="3768"/>
      <c r="B46" s="3761"/>
      <c r="C46" s="3107" t="s">
        <v>2491</v>
      </c>
      <c r="D46" s="3108"/>
      <c r="E46" s="3109">
        <v>1</v>
      </c>
      <c r="F46" s="3106" t="s">
        <v>2492</v>
      </c>
      <c r="G46" s="3106"/>
    </row>
    <row r="47" spans="1:7" ht="19.5" customHeight="1">
      <c r="A47" s="3768"/>
      <c r="B47" s="3761"/>
      <c r="C47" s="3107" t="s">
        <v>2493</v>
      </c>
      <c r="D47" s="3108"/>
      <c r="E47" s="3109">
        <v>1</v>
      </c>
      <c r="F47" s="3106" t="s">
        <v>2494</v>
      </c>
      <c r="G47" s="3106"/>
    </row>
    <row r="48" spans="1:7" ht="19.5" customHeight="1">
      <c r="A48" s="3768"/>
      <c r="B48" s="3761"/>
      <c r="C48" s="3107" t="s">
        <v>2495</v>
      </c>
      <c r="D48" s="3108"/>
      <c r="E48" s="3109">
        <v>1</v>
      </c>
      <c r="F48" s="3106" t="s">
        <v>2496</v>
      </c>
      <c r="G48" s="3106"/>
    </row>
    <row r="49" spans="1:7" ht="19.5" customHeight="1">
      <c r="A49" s="3768"/>
      <c r="B49" s="3761"/>
      <c r="C49" s="3107" t="s">
        <v>2497</v>
      </c>
      <c r="D49" s="3108"/>
      <c r="E49" s="3109">
        <v>1</v>
      </c>
      <c r="F49" s="3106" t="s">
        <v>2498</v>
      </c>
      <c r="G49" s="3106"/>
    </row>
    <row r="50" spans="1:7" ht="19.5" customHeight="1">
      <c r="A50" s="3768"/>
      <c r="B50" s="3761"/>
      <c r="C50" s="3107" t="s">
        <v>2499</v>
      </c>
      <c r="D50" s="3108"/>
      <c r="E50" s="3109">
        <v>1</v>
      </c>
      <c r="F50" s="3106" t="s">
        <v>2500</v>
      </c>
      <c r="G50" s="3106"/>
    </row>
    <row r="51" spans="1:7" ht="19.5" customHeight="1" thickBot="1">
      <c r="A51" s="3769"/>
      <c r="B51" s="376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9" t="s">
        <v>2654</v>
      </c>
      <c r="C73" s="3092" t="s">
        <v>2655</v>
      </c>
      <c r="D73" s="3092" t="s">
        <v>2656</v>
      </c>
      <c r="E73" s="3118">
        <v>0.2</v>
      </c>
      <c r="F73" s="3118">
        <v>25</v>
      </c>
    </row>
    <row r="74" spans="1:7" ht="24">
      <c r="A74" s="3118">
        <v>2</v>
      </c>
      <c r="B74" s="3761"/>
      <c r="C74" s="3092" t="s">
        <v>2657</v>
      </c>
      <c r="D74" s="3092" t="s">
        <v>2658</v>
      </c>
      <c r="E74" s="3118">
        <v>0.2</v>
      </c>
      <c r="F74" s="3118">
        <v>25</v>
      </c>
    </row>
    <row r="75" spans="1:7" ht="24">
      <c r="A75" s="3118">
        <v>3</v>
      </c>
      <c r="B75" s="3761"/>
      <c r="C75" s="3092" t="s">
        <v>2659</v>
      </c>
      <c r="D75" s="3092" t="s">
        <v>2660</v>
      </c>
      <c r="E75" s="3118">
        <v>0.2</v>
      </c>
      <c r="F75" s="3118">
        <v>25</v>
      </c>
    </row>
    <row r="76" spans="1:7" ht="13.5">
      <c r="A76" s="3118">
        <v>4</v>
      </c>
      <c r="B76" s="3761"/>
      <c r="C76" s="3092" t="s">
        <v>2661</v>
      </c>
      <c r="D76" s="3092" t="s">
        <v>2662</v>
      </c>
      <c r="E76" s="3118">
        <v>0.15</v>
      </c>
      <c r="F76" s="3118">
        <v>20</v>
      </c>
    </row>
    <row r="77" spans="1:7" ht="24">
      <c r="A77" s="3118">
        <v>5</v>
      </c>
      <c r="B77" s="3761"/>
      <c r="C77" s="3092" t="s">
        <v>2663</v>
      </c>
      <c r="D77" s="3092" t="s">
        <v>2664</v>
      </c>
      <c r="E77" s="3118">
        <v>0.15</v>
      </c>
      <c r="F77" s="3118">
        <v>20</v>
      </c>
    </row>
    <row r="78" spans="1:7" ht="24">
      <c r="A78" s="3118">
        <v>6</v>
      </c>
      <c r="B78" s="3761"/>
      <c r="C78" s="3092" t="s">
        <v>2665</v>
      </c>
      <c r="D78" s="3092" t="s">
        <v>2666</v>
      </c>
      <c r="E78" s="3118">
        <v>0.15</v>
      </c>
      <c r="F78" s="3118">
        <v>20</v>
      </c>
    </row>
    <row r="79" spans="1:7" ht="24">
      <c r="A79" s="3118">
        <v>7</v>
      </c>
      <c r="B79" s="3761"/>
      <c r="C79" s="3092" t="s">
        <v>2667</v>
      </c>
      <c r="D79" s="3092" t="s">
        <v>2668</v>
      </c>
      <c r="E79" s="3118">
        <v>0.15</v>
      </c>
      <c r="F79" s="3118">
        <v>20</v>
      </c>
    </row>
    <row r="80" spans="1:7" ht="24">
      <c r="A80" s="3118">
        <v>8</v>
      </c>
      <c r="B80" s="3761"/>
      <c r="C80" s="3092" t="s">
        <v>2669</v>
      </c>
      <c r="D80" s="3092" t="s">
        <v>2670</v>
      </c>
      <c r="E80" s="3118">
        <v>0.1</v>
      </c>
      <c r="F80" s="3118">
        <v>15</v>
      </c>
    </row>
    <row r="81" spans="1:6" ht="24">
      <c r="A81" s="3118">
        <v>9</v>
      </c>
      <c r="B81" s="3761"/>
      <c r="C81" s="3092" t="s">
        <v>2671</v>
      </c>
      <c r="D81" s="3092" t="s">
        <v>2672</v>
      </c>
      <c r="E81" s="3118">
        <v>0.1</v>
      </c>
      <c r="F81" s="3118">
        <v>15</v>
      </c>
    </row>
    <row r="82" spans="1:6" ht="24">
      <c r="A82" s="3118">
        <v>10</v>
      </c>
      <c r="B82" s="3761"/>
      <c r="C82" s="3092" t="s">
        <v>2673</v>
      </c>
      <c r="D82" s="3092" t="s">
        <v>2674</v>
      </c>
      <c r="E82" s="3118">
        <v>0.1</v>
      </c>
      <c r="F82" s="3118">
        <v>15</v>
      </c>
    </row>
    <row r="83" spans="1:6" ht="24">
      <c r="A83" s="3118">
        <v>11</v>
      </c>
      <c r="B83" s="3761"/>
      <c r="C83" s="3092" t="s">
        <v>2675</v>
      </c>
      <c r="D83" s="3092" t="s">
        <v>2676</v>
      </c>
      <c r="E83" s="3118">
        <v>0.1</v>
      </c>
      <c r="F83" s="3118">
        <v>15</v>
      </c>
    </row>
    <row r="84" spans="1:6" ht="24">
      <c r="A84" s="3118">
        <v>12</v>
      </c>
      <c r="B84" s="3761"/>
      <c r="C84" s="3092" t="s">
        <v>2677</v>
      </c>
      <c r="D84" s="3092" t="s">
        <v>2678</v>
      </c>
      <c r="E84" s="3118">
        <v>0.1</v>
      </c>
      <c r="F84" s="3118">
        <v>15</v>
      </c>
    </row>
    <row r="85" spans="1:6" ht="13.5">
      <c r="A85" s="3118">
        <v>13</v>
      </c>
      <c r="B85" s="3761"/>
      <c r="C85" s="3092" t="s">
        <v>2679</v>
      </c>
      <c r="D85" s="3092" t="s">
        <v>2680</v>
      </c>
      <c r="E85" s="3118">
        <v>0.1</v>
      </c>
      <c r="F85" s="3118">
        <v>15</v>
      </c>
    </row>
    <row r="86" spans="1:6" ht="13.5">
      <c r="A86" s="3118">
        <v>14</v>
      </c>
      <c r="B86" s="3761"/>
      <c r="C86" s="3092" t="s">
        <v>2681</v>
      </c>
      <c r="D86" s="3092" t="s">
        <v>2682</v>
      </c>
      <c r="E86" s="3118">
        <v>0.1</v>
      </c>
      <c r="F86" s="3118">
        <v>15</v>
      </c>
    </row>
    <row r="87" spans="1:6" ht="13.5">
      <c r="A87" s="3118">
        <v>15</v>
      </c>
      <c r="B87" s="3761"/>
      <c r="C87" s="3092" t="s">
        <v>2683</v>
      </c>
      <c r="D87" s="3092" t="s">
        <v>2684</v>
      </c>
      <c r="E87" s="3118">
        <v>0.1</v>
      </c>
      <c r="F87" s="3118">
        <v>15</v>
      </c>
    </row>
    <row r="88" spans="1:6" ht="24">
      <c r="A88" s="3118">
        <v>16</v>
      </c>
      <c r="B88" s="3761"/>
      <c r="C88" s="3092" t="s">
        <v>2685</v>
      </c>
      <c r="D88" s="3092" t="s">
        <v>2686</v>
      </c>
      <c r="E88" s="3118">
        <v>0.1</v>
      </c>
      <c r="F88" s="3118">
        <v>15</v>
      </c>
    </row>
    <row r="89" spans="1:6" ht="24">
      <c r="A89" s="3118">
        <v>17</v>
      </c>
      <c r="B89" s="3760"/>
      <c r="C89" s="3092" t="s">
        <v>2687</v>
      </c>
      <c r="D89" s="3092" t="s">
        <v>2688</v>
      </c>
      <c r="E89" s="3118">
        <v>0.1</v>
      </c>
      <c r="F89" s="3118">
        <v>15</v>
      </c>
    </row>
    <row r="90" spans="1:6" ht="13.5">
      <c r="A90" s="3118">
        <v>18</v>
      </c>
      <c r="B90" s="3759" t="s">
        <v>2689</v>
      </c>
      <c r="C90" s="3092" t="s">
        <v>2690</v>
      </c>
      <c r="D90" s="3092" t="s">
        <v>2691</v>
      </c>
      <c r="E90" s="3118">
        <v>0.2</v>
      </c>
      <c r="F90" s="3118">
        <v>25</v>
      </c>
    </row>
    <row r="91" spans="1:6" ht="24">
      <c r="A91" s="3118">
        <v>19</v>
      </c>
      <c r="B91" s="3761"/>
      <c r="C91" s="3092" t="s">
        <v>2692</v>
      </c>
      <c r="D91" s="3092" t="s">
        <v>2693</v>
      </c>
      <c r="E91" s="3118">
        <v>0.2</v>
      </c>
      <c r="F91" s="3118">
        <v>25</v>
      </c>
    </row>
    <row r="92" spans="1:6" ht="13.5">
      <c r="A92" s="3118">
        <v>20</v>
      </c>
      <c r="B92" s="3761"/>
      <c r="C92" s="3092" t="s">
        <v>2694</v>
      </c>
      <c r="D92" s="3092" t="s">
        <v>2695</v>
      </c>
      <c r="E92" s="3118">
        <v>0.15</v>
      </c>
      <c r="F92" s="3118">
        <v>20</v>
      </c>
    </row>
    <row r="93" spans="1:6" ht="13.5">
      <c r="A93" s="3118">
        <v>21</v>
      </c>
      <c r="B93" s="3761"/>
      <c r="C93" s="3092" t="s">
        <v>2696</v>
      </c>
      <c r="D93" s="3092" t="s">
        <v>2697</v>
      </c>
      <c r="E93" s="3118">
        <v>0.15</v>
      </c>
      <c r="F93" s="3118">
        <v>20</v>
      </c>
    </row>
    <row r="94" spans="1:6" ht="13.5">
      <c r="A94" s="3118">
        <v>22</v>
      </c>
      <c r="B94" s="3761"/>
      <c r="C94" s="3092" t="s">
        <v>2698</v>
      </c>
      <c r="D94" s="3092" t="s">
        <v>2699</v>
      </c>
      <c r="E94" s="3118">
        <v>0.15</v>
      </c>
      <c r="F94" s="3118">
        <v>20</v>
      </c>
    </row>
    <row r="95" spans="1:6" ht="36">
      <c r="A95" s="3118">
        <v>23</v>
      </c>
      <c r="B95" s="3761"/>
      <c r="C95" s="3092" t="s">
        <v>2700</v>
      </c>
      <c r="D95" s="3092" t="s">
        <v>2701</v>
      </c>
      <c r="E95" s="3118">
        <v>0.15</v>
      </c>
      <c r="F95" s="3118">
        <v>20</v>
      </c>
    </row>
    <row r="96" spans="1:6" ht="13.5">
      <c r="A96" s="3118">
        <v>24</v>
      </c>
      <c r="B96" s="3761"/>
      <c r="C96" s="3092" t="s">
        <v>2702</v>
      </c>
      <c r="D96" s="3092" t="s">
        <v>2703</v>
      </c>
      <c r="E96" s="3118">
        <v>0.1</v>
      </c>
      <c r="F96" s="3118">
        <v>15</v>
      </c>
    </row>
    <row r="97" spans="1:6" ht="13.5">
      <c r="A97" s="3118">
        <v>25</v>
      </c>
      <c r="B97" s="3761"/>
      <c r="C97" s="3092" t="s">
        <v>2704</v>
      </c>
      <c r="D97" s="3092" t="s">
        <v>2705</v>
      </c>
      <c r="E97" s="3118">
        <v>0.1</v>
      </c>
      <c r="F97" s="3118">
        <v>15</v>
      </c>
    </row>
    <row r="98" spans="1:6" ht="24">
      <c r="A98" s="3118">
        <v>26</v>
      </c>
      <c r="B98" s="3761"/>
      <c r="C98" s="3092" t="s">
        <v>2706</v>
      </c>
      <c r="D98" s="3092" t="s">
        <v>2707</v>
      </c>
      <c r="E98" s="3118">
        <v>0.1</v>
      </c>
      <c r="F98" s="3118">
        <v>15</v>
      </c>
    </row>
    <row r="99" spans="1:6" ht="24">
      <c r="A99" s="3118">
        <v>27</v>
      </c>
      <c r="B99" s="3761"/>
      <c r="C99" s="3092" t="s">
        <v>2708</v>
      </c>
      <c r="D99" s="3092" t="s">
        <v>2709</v>
      </c>
      <c r="E99" s="3118">
        <v>0.1</v>
      </c>
      <c r="F99" s="3118">
        <v>15</v>
      </c>
    </row>
    <row r="100" spans="1:6" ht="13.5">
      <c r="A100" s="3118">
        <v>28</v>
      </c>
      <c r="B100" s="3761"/>
      <c r="C100" s="3092" t="s">
        <v>2710</v>
      </c>
      <c r="D100" s="3092" t="s">
        <v>2711</v>
      </c>
      <c r="E100" s="3118">
        <v>0.1</v>
      </c>
      <c r="F100" s="3118">
        <v>15</v>
      </c>
    </row>
    <row r="101" spans="1:6" ht="13.5">
      <c r="A101" s="3118">
        <v>29</v>
      </c>
      <c r="B101" s="3761"/>
      <c r="C101" s="3092" t="s">
        <v>2712</v>
      </c>
      <c r="D101" s="3092" t="s">
        <v>2713</v>
      </c>
      <c r="E101" s="3118">
        <v>0.1</v>
      </c>
      <c r="F101" s="3118">
        <v>15</v>
      </c>
    </row>
    <row r="102" spans="1:6" ht="13.5">
      <c r="A102" s="3118">
        <v>30</v>
      </c>
      <c r="B102" s="3761"/>
      <c r="C102" s="3092" t="s">
        <v>2714</v>
      </c>
      <c r="D102" s="3092" t="s">
        <v>2715</v>
      </c>
      <c r="E102" s="3118">
        <v>0.1</v>
      </c>
      <c r="F102" s="3118">
        <v>15</v>
      </c>
    </row>
    <row r="103" spans="1:6" ht="24">
      <c r="A103" s="3118">
        <v>31</v>
      </c>
      <c r="B103" s="3761"/>
      <c r="C103" s="3092" t="s">
        <v>2716</v>
      </c>
      <c r="D103" s="3092" t="s">
        <v>2717</v>
      </c>
      <c r="E103" s="3118">
        <v>0.1</v>
      </c>
      <c r="F103" s="3118">
        <v>15</v>
      </c>
    </row>
    <row r="104" spans="1:6" ht="24">
      <c r="A104" s="3118">
        <v>32</v>
      </c>
      <c r="B104" s="3761"/>
      <c r="C104" s="3092" t="s">
        <v>2718</v>
      </c>
      <c r="D104" s="3092" t="s">
        <v>2719</v>
      </c>
      <c r="E104" s="3118">
        <v>0.1</v>
      </c>
      <c r="F104" s="3118">
        <v>15</v>
      </c>
    </row>
    <row r="105" spans="1:6" ht="24">
      <c r="A105" s="3118">
        <v>33</v>
      </c>
      <c r="B105" s="3761"/>
      <c r="C105" s="3092" t="s">
        <v>2720</v>
      </c>
      <c r="D105" s="3092" t="s">
        <v>2721</v>
      </c>
      <c r="E105" s="3118">
        <v>0.1</v>
      </c>
      <c r="F105" s="3118">
        <v>15</v>
      </c>
    </row>
    <row r="106" spans="1:6" ht="24">
      <c r="A106" s="3118">
        <v>34</v>
      </c>
      <c r="B106" s="3760"/>
      <c r="C106" s="3092" t="s">
        <v>2722</v>
      </c>
      <c r="D106" s="3092" t="s">
        <v>2723</v>
      </c>
      <c r="E106" s="3118">
        <v>0.1</v>
      </c>
      <c r="F106" s="3118">
        <v>15</v>
      </c>
    </row>
    <row r="107" spans="1:6" ht="24">
      <c r="A107" s="3118">
        <v>35</v>
      </c>
      <c r="B107" s="3759" t="s">
        <v>2724</v>
      </c>
      <c r="C107" s="3118" t="s">
        <v>2725</v>
      </c>
      <c r="D107" s="3092" t="s">
        <v>2726</v>
      </c>
      <c r="E107" s="3118">
        <v>0.15</v>
      </c>
      <c r="F107" s="3118">
        <v>20</v>
      </c>
    </row>
    <row r="108" spans="1:6" ht="13.5">
      <c r="A108" s="3118">
        <v>36</v>
      </c>
      <c r="B108" s="3761"/>
      <c r="C108" s="3118" t="s">
        <v>2727</v>
      </c>
      <c r="D108" s="3092" t="s">
        <v>2728</v>
      </c>
      <c r="E108" s="3118">
        <v>0.15</v>
      </c>
      <c r="F108" s="3118">
        <v>20</v>
      </c>
    </row>
    <row r="109" spans="1:6" ht="13.5">
      <c r="A109" s="3118">
        <v>37</v>
      </c>
      <c r="B109" s="3761"/>
      <c r="C109" s="3118" t="s">
        <v>2729</v>
      </c>
      <c r="D109" s="3092" t="s">
        <v>2730</v>
      </c>
      <c r="E109" s="3118">
        <v>0.15</v>
      </c>
      <c r="F109" s="3118">
        <v>20</v>
      </c>
    </row>
    <row r="110" spans="1:6" ht="13.5">
      <c r="A110" s="3118">
        <v>38</v>
      </c>
      <c r="B110" s="3761"/>
      <c r="C110" s="3118" t="s">
        <v>2731</v>
      </c>
      <c r="D110" s="3092" t="s">
        <v>2732</v>
      </c>
      <c r="E110" s="3118">
        <v>0.1</v>
      </c>
      <c r="F110" s="3118">
        <v>15</v>
      </c>
    </row>
    <row r="111" spans="1:6" ht="24">
      <c r="A111" s="3118">
        <v>39</v>
      </c>
      <c r="B111" s="3761"/>
      <c r="C111" s="3118" t="s">
        <v>2733</v>
      </c>
      <c r="D111" s="3092" t="s">
        <v>2734</v>
      </c>
      <c r="E111" s="3118">
        <v>0.1</v>
      </c>
      <c r="F111" s="3118">
        <v>15</v>
      </c>
    </row>
    <row r="112" spans="1:6" ht="24">
      <c r="A112" s="3118">
        <v>40</v>
      </c>
      <c r="B112" s="3760"/>
      <c r="C112" s="3118" t="s">
        <v>2735</v>
      </c>
      <c r="D112" s="3092" t="s">
        <v>2736</v>
      </c>
      <c r="E112" s="3118">
        <v>0.1</v>
      </c>
      <c r="F112" s="3118">
        <v>15</v>
      </c>
    </row>
    <row r="113" spans="1:6" ht="13.5">
      <c r="A113" s="3118">
        <v>41</v>
      </c>
      <c r="B113" s="3758" t="s">
        <v>2737</v>
      </c>
      <c r="C113" s="3118" t="s">
        <v>2738</v>
      </c>
      <c r="D113" s="3092" t="s">
        <v>2739</v>
      </c>
      <c r="E113" s="3118">
        <v>0.1</v>
      </c>
      <c r="F113" s="3118">
        <v>15</v>
      </c>
    </row>
    <row r="114" spans="1:6" ht="13.5">
      <c r="A114" s="3118">
        <v>42</v>
      </c>
      <c r="B114" s="3758"/>
      <c r="C114" s="3118" t="s">
        <v>2740</v>
      </c>
      <c r="D114" s="3092" t="s">
        <v>2741</v>
      </c>
      <c r="E114" s="3118">
        <v>0.1</v>
      </c>
      <c r="F114" s="3118">
        <v>15</v>
      </c>
    </row>
    <row r="115" spans="1:6" ht="24">
      <c r="A115" s="3118">
        <v>43</v>
      </c>
      <c r="B115" s="3758"/>
      <c r="C115" s="3118" t="s">
        <v>2742</v>
      </c>
      <c r="D115" s="3092" t="s">
        <v>2743</v>
      </c>
      <c r="E115" s="3118">
        <v>0.1</v>
      </c>
      <c r="F115" s="3118">
        <v>15</v>
      </c>
    </row>
    <row r="116" spans="1:6" ht="13.5">
      <c r="A116" s="3118">
        <v>44</v>
      </c>
      <c r="B116" s="3759" t="s">
        <v>2744</v>
      </c>
      <c r="C116" s="3118" t="s">
        <v>2745</v>
      </c>
      <c r="D116" s="3092" t="s">
        <v>2746</v>
      </c>
      <c r="E116" s="3118">
        <v>0.1</v>
      </c>
      <c r="F116" s="3118">
        <v>15</v>
      </c>
    </row>
    <row r="117" spans="1:6" ht="24">
      <c r="A117" s="3118">
        <v>45</v>
      </c>
      <c r="B117" s="3760"/>
      <c r="C117" s="3092" t="s">
        <v>2747</v>
      </c>
      <c r="D117" s="3092" t="s">
        <v>2748</v>
      </c>
      <c r="E117" s="3118">
        <v>0.1</v>
      </c>
      <c r="F117" s="3118">
        <v>15</v>
      </c>
    </row>
    <row r="118" spans="1:6" ht="24">
      <c r="A118" s="3118">
        <v>46</v>
      </c>
      <c r="B118" s="3759" t="s">
        <v>2749</v>
      </c>
      <c r="C118" s="3118" t="s">
        <v>2750</v>
      </c>
      <c r="D118" s="3092" t="s">
        <v>2751</v>
      </c>
      <c r="E118" s="3118">
        <v>0.1</v>
      </c>
      <c r="F118" s="3118">
        <v>15</v>
      </c>
    </row>
    <row r="119" spans="1:6" ht="24">
      <c r="A119" s="3118">
        <v>47</v>
      </c>
      <c r="B119" s="3760"/>
      <c r="C119" s="3118" t="s">
        <v>2752</v>
      </c>
      <c r="D119" s="3092" t="s">
        <v>2753</v>
      </c>
      <c r="E119" s="3118">
        <v>0.1</v>
      </c>
      <c r="F119" s="3118">
        <v>15</v>
      </c>
    </row>
    <row r="120" spans="1:6" ht="13.5">
      <c r="A120" s="3118">
        <v>48</v>
      </c>
      <c r="B120" s="3759" t="s">
        <v>2754</v>
      </c>
      <c r="C120" s="3118" t="s">
        <v>2755</v>
      </c>
      <c r="D120" s="3092" t="s">
        <v>2756</v>
      </c>
      <c r="E120" s="3118">
        <v>0.1</v>
      </c>
      <c r="F120" s="3118">
        <v>15</v>
      </c>
    </row>
    <row r="121" spans="1:6" ht="13.5">
      <c r="A121" s="3118">
        <v>49</v>
      </c>
      <c r="B121" s="3760"/>
      <c r="C121" s="3118" t="s">
        <v>2757</v>
      </c>
      <c r="D121" s="3092" t="s">
        <v>2758</v>
      </c>
      <c r="E121" s="3118">
        <v>0.1</v>
      </c>
      <c r="F121" s="3118">
        <v>15</v>
      </c>
    </row>
    <row r="122" spans="1:6" ht="24">
      <c r="A122" s="3118">
        <v>50</v>
      </c>
      <c r="B122" s="3758" t="s">
        <v>2759</v>
      </c>
      <c r="C122" s="3118" t="s">
        <v>2760</v>
      </c>
      <c r="D122" s="3092" t="s">
        <v>2761</v>
      </c>
      <c r="E122" s="3118">
        <v>0.1</v>
      </c>
      <c r="F122" s="3118">
        <v>15</v>
      </c>
    </row>
    <row r="123" spans="1:6" ht="24">
      <c r="A123" s="3118">
        <v>51</v>
      </c>
      <c r="B123" s="3758"/>
      <c r="C123" s="3118" t="s">
        <v>2762</v>
      </c>
      <c r="D123" s="3092" t="s">
        <v>2763</v>
      </c>
      <c r="E123" s="3118">
        <v>0.1</v>
      </c>
      <c r="F123" s="3118">
        <v>15</v>
      </c>
    </row>
    <row r="124" spans="1:6" ht="24">
      <c r="A124" s="3118">
        <v>52</v>
      </c>
      <c r="B124" s="3758" t="s">
        <v>2764</v>
      </c>
      <c r="C124" s="3118" t="s">
        <v>2765</v>
      </c>
      <c r="D124" s="3092" t="s">
        <v>2766</v>
      </c>
      <c r="E124" s="3118">
        <v>0.1</v>
      </c>
      <c r="F124" s="3118">
        <v>15</v>
      </c>
    </row>
    <row r="125" spans="1:6" ht="24">
      <c r="A125" s="3118">
        <v>53</v>
      </c>
      <c r="B125" s="375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8" t="s">
        <v>2772</v>
      </c>
      <c r="C127" s="3118" t="s">
        <v>2773</v>
      </c>
      <c r="D127" s="3092" t="s">
        <v>2774</v>
      </c>
      <c r="E127" s="3118">
        <v>0.1</v>
      </c>
      <c r="F127" s="3118">
        <v>15</v>
      </c>
    </row>
    <row r="128" spans="1:6" ht="13.5">
      <c r="A128" s="3118">
        <v>56</v>
      </c>
      <c r="B128" s="3758"/>
      <c r="C128" s="3118" t="s">
        <v>2775</v>
      </c>
      <c r="D128" s="3092" t="s">
        <v>2776</v>
      </c>
      <c r="E128" s="3118">
        <v>0.1</v>
      </c>
      <c r="F128" s="3118">
        <v>15</v>
      </c>
    </row>
    <row r="129" spans="1:6" ht="24">
      <c r="A129" s="3118">
        <v>57</v>
      </c>
      <c r="B129" s="3758"/>
      <c r="C129" s="3118" t="s">
        <v>2777</v>
      </c>
      <c r="D129" s="3092" t="s">
        <v>2778</v>
      </c>
      <c r="E129" s="3118">
        <v>0.1</v>
      </c>
      <c r="F129" s="3118">
        <v>15</v>
      </c>
    </row>
    <row r="130" spans="1:6" ht="24">
      <c r="A130" s="3118">
        <v>58</v>
      </c>
      <c r="B130" s="3758" t="s">
        <v>2779</v>
      </c>
      <c r="C130" s="3118" t="s">
        <v>2780</v>
      </c>
      <c r="D130" s="3092" t="s">
        <v>2781</v>
      </c>
      <c r="E130" s="3118">
        <v>0.1</v>
      </c>
      <c r="F130" s="3118">
        <v>15</v>
      </c>
    </row>
    <row r="131" spans="1:6" ht="13.5">
      <c r="A131" s="3118">
        <v>59</v>
      </c>
      <c r="B131" s="3758"/>
      <c r="C131" s="3118" t="s">
        <v>2782</v>
      </c>
      <c r="D131" s="3092" t="s">
        <v>2783</v>
      </c>
      <c r="E131" s="3118">
        <v>0.1</v>
      </c>
      <c r="F131" s="3118">
        <v>15</v>
      </c>
    </row>
    <row r="132" spans="1:6" ht="13.5">
      <c r="A132" s="3118">
        <v>60</v>
      </c>
      <c r="B132" s="3759" t="s">
        <v>2784</v>
      </c>
      <c r="C132" s="3118" t="s">
        <v>2785</v>
      </c>
      <c r="D132" s="3092" t="s">
        <v>2786</v>
      </c>
      <c r="E132" s="3118">
        <v>0.1</v>
      </c>
      <c r="F132" s="3118">
        <v>15</v>
      </c>
    </row>
    <row r="133" spans="1:6" ht="13.5">
      <c r="A133" s="3118">
        <v>61</v>
      </c>
      <c r="B133" s="3760"/>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8" t="s">
        <v>2792</v>
      </c>
      <c r="C135" s="3118" t="s">
        <v>2793</v>
      </c>
      <c r="D135" s="3092" t="s">
        <v>2794</v>
      </c>
      <c r="E135" s="3118">
        <v>0.1</v>
      </c>
      <c r="F135" s="3118">
        <v>15</v>
      </c>
    </row>
    <row r="136" spans="1:6" ht="13.5">
      <c r="A136" s="3118">
        <v>64</v>
      </c>
      <c r="B136" s="375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28137</v>
      </c>
      <c r="C2" s="2" t="s">
        <v>106</v>
      </c>
      <c r="D2" s="199"/>
      <c r="E2" s="199"/>
      <c r="F2" s="199"/>
      <c r="G2" s="199"/>
    </row>
    <row r="3" spans="1:7" s="200" customFormat="1" ht="18" customHeight="1" thickBot="1">
      <c r="A3" s="203" t="s">
        <v>58</v>
      </c>
      <c r="B3" s="204">
        <f ca="1">ROUND(B2*10000/'数据-汇总表'!E3,0)</f>
        <v>5125137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54.9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54.9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v>
      </c>
      <c r="D37" s="217">
        <f>'数据-汇总表'!E3</f>
        <v>54.9</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8.0000000000000004E-4</v>
      </c>
      <c r="D44" s="238"/>
      <c r="E44" s="238"/>
      <c r="F44" s="239"/>
      <c r="G44" s="3636"/>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39</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30</v>
      </c>
      <c r="D51" s="232"/>
      <c r="E51" s="232"/>
      <c r="F51" s="264"/>
      <c r="G51" s="234" t="s">
        <v>37</v>
      </c>
    </row>
    <row r="52" spans="1:7" s="208" customFormat="1" ht="16.5" thickBot="1">
      <c r="A52" s="265" t="s">
        <v>38</v>
      </c>
      <c r="B52" s="266"/>
      <c r="C52" s="267">
        <f ca="1">C31+C51</f>
        <v>28137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159</v>
      </c>
      <c r="E5" s="1491"/>
    </row>
    <row r="6" spans="1:5" ht="15.75">
      <c r="A6" s="1491"/>
      <c r="B6" s="3453"/>
      <c r="C6" s="1494" t="s">
        <v>911</v>
      </c>
      <c r="D6" s="850" t="str">
        <f ca="1">NUMBERSTRING(INT(D5*10000),2)&amp;"元整"</f>
        <v>壹佰伍拾玖万元整</v>
      </c>
      <c r="E6" s="1491"/>
    </row>
    <row r="7" spans="1:5" ht="15.75">
      <c r="A7" s="1491"/>
      <c r="B7" s="3458"/>
      <c r="C7" s="1495" t="s">
        <v>912</v>
      </c>
      <c r="D7" s="851">
        <f ca="1">结果表!H102</f>
        <v>29003</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159</v>
      </c>
      <c r="E13" s="1491"/>
    </row>
    <row r="14" spans="1:5" ht="15.75">
      <c r="A14" s="1491"/>
      <c r="B14" s="3453"/>
      <c r="C14" s="1494" t="s">
        <v>911</v>
      </c>
      <c r="D14" s="850" t="str">
        <f ca="1">NUMBERSTRING(INT(D13*10000),2)&amp;"元整"</f>
        <v>壹佰伍拾玖万元整</v>
      </c>
      <c r="E14" s="1491"/>
    </row>
    <row r="15" spans="1:5" ht="15">
      <c r="A15" s="1491"/>
      <c r="B15" s="3458"/>
      <c r="C15" s="1495" t="s">
        <v>921</v>
      </c>
      <c r="D15" s="859">
        <f ca="1">结果表!H108</f>
        <v>29003</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2" t="s">
        <v>2844</v>
      </c>
      <c r="B1" s="3772"/>
      <c r="C1" s="3772"/>
      <c r="D1" s="3772"/>
      <c r="E1" s="3772"/>
      <c r="F1" s="3772"/>
      <c r="G1" s="3773"/>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0"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1"/>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4" t="s">
        <v>3186</v>
      </c>
      <c r="B1" s="3774"/>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5" t="s">
        <v>3237</v>
      </c>
      <c r="B1" s="3775"/>
      <c r="C1" s="3775"/>
      <c r="D1" s="3775"/>
      <c r="E1" s="3775"/>
      <c r="F1" s="3776"/>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45075</v>
      </c>
      <c r="B1" s="3210" t="s">
        <v>2843</v>
      </c>
      <c r="C1" s="3211"/>
      <c r="D1" s="3211"/>
      <c r="E1" s="3211"/>
      <c r="F1" s="3211"/>
      <c r="G1" s="3211"/>
      <c r="H1" s="3211"/>
      <c r="I1" s="3211"/>
      <c r="J1" s="3165"/>
      <c r="K1" s="3211" t="s">
        <v>454</v>
      </c>
      <c r="L1" s="3211"/>
      <c r="M1" s="3211"/>
      <c r="N1" s="3211"/>
      <c r="O1" s="3211"/>
      <c r="P1" s="3211"/>
      <c r="Q1" s="3165"/>
      <c r="R1" s="3777" t="s">
        <v>456</v>
      </c>
      <c r="S1" s="3778"/>
      <c r="T1" s="3778"/>
      <c r="U1" s="3778"/>
      <c r="V1" s="3778"/>
      <c r="W1" s="3778"/>
      <c r="X1" s="3165"/>
      <c r="Y1" s="3777" t="s">
        <v>457</v>
      </c>
      <c r="Z1" s="3778"/>
      <c r="AA1" s="3778"/>
      <c r="AB1" s="3778"/>
      <c r="AC1" s="3778"/>
      <c r="AD1" s="3778"/>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7" t="s">
        <v>2831</v>
      </c>
      <c r="S21" s="3778"/>
      <c r="T21" s="3778"/>
      <c r="U21" s="3778"/>
      <c r="V21" s="3778"/>
      <c r="W21" s="3778"/>
      <c r="X21" s="3165"/>
      <c r="Y21" s="3777" t="s">
        <v>2832</v>
      </c>
      <c r="Z21" s="3778"/>
      <c r="AA21" s="3778"/>
      <c r="AB21" s="3778"/>
      <c r="AC21" s="3778"/>
      <c r="AD21" s="3778"/>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topLeftCell="B1" workbookViewId="0">
      <selection activeCell="J36" sqref="J36"/>
    </sheetView>
  </sheetViews>
  <sheetFormatPr defaultRowHeight="13.5"/>
  <cols>
    <col min="5" max="5" width="12.25" customWidth="1"/>
    <col min="6" max="6" width="11.875" customWidth="1"/>
    <col min="7" max="7" width="12.25" customWidth="1"/>
  </cols>
  <sheetData>
    <row r="9" spans="4:7">
      <c r="D9">
        <v>1201</v>
      </c>
      <c r="E9">
        <f>结果表!B118</f>
        <v>54.9</v>
      </c>
      <c r="F9">
        <f ca="1">系统读取表!D14</f>
        <v>159.22649999999999</v>
      </c>
      <c r="G9">
        <f ca="1">系统读取表!E14</f>
        <v>29003</v>
      </c>
    </row>
    <row r="10" spans="4:7">
      <c r="D10">
        <v>1212</v>
      </c>
      <c r="E10">
        <f>[3]系统读取表!$B$14</f>
        <v>98.9</v>
      </c>
      <c r="F10">
        <f ca="1">[3]系统读取表!$D$14</f>
        <v>286.82979999999998</v>
      </c>
      <c r="G10">
        <f ca="1">[3]系统读取表!$E$14</f>
        <v>29002</v>
      </c>
    </row>
    <row r="11" spans="4:7">
      <c r="D11">
        <v>1215</v>
      </c>
      <c r="E11" t="e">
        <f>#REF!</f>
        <v>#REF!</v>
      </c>
      <c r="F11" t="e">
        <f>#REF!</f>
        <v>#REF!</v>
      </c>
      <c r="G11" t="e">
        <f>#REF!</f>
        <v>#REF!</v>
      </c>
    </row>
    <row r="12" spans="4:7">
      <c r="D12">
        <v>1216</v>
      </c>
      <c r="E12">
        <f>[5]系统读取表!$B$14</f>
        <v>75.87</v>
      </c>
      <c r="F12">
        <f ca="1">[5]系统读取表!$D$14</f>
        <v>220.04580000000001</v>
      </c>
      <c r="G12">
        <f ca="1">[5]系统读取表!$E$14</f>
        <v>29003</v>
      </c>
    </row>
    <row r="13" spans="4:7">
      <c r="E13" t="e">
        <f>SUM(E9:E12)</f>
        <v>#REF!</v>
      </c>
      <c r="F13" t="e">
        <f ca="1">SUM(F9:F12)</f>
        <v>#REF!</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54.9</v>
      </c>
      <c r="C4" s="854">
        <f>项目基本情况!C18</f>
        <v>0</v>
      </c>
      <c r="D4" s="854" t="e">
        <f ca="1">结果表!D118</f>
        <v>#REF!</v>
      </c>
      <c r="E4" s="854" t="e">
        <f ca="1">结果表!E118</f>
        <v>#REF!</v>
      </c>
      <c r="F4" s="854" t="e">
        <f ca="1">结果表!F118</f>
        <v>#REF!</v>
      </c>
      <c r="G4" s="854" t="e">
        <f ca="1">结果表!G118</f>
        <v>#REF!</v>
      </c>
      <c r="H4" s="854">
        <f ca="1">结果表!H118</f>
        <v>159</v>
      </c>
      <c r="I4" s="854">
        <f ca="1">结果表!I118</f>
        <v>29003</v>
      </c>
    </row>
    <row r="5" spans="1:9" ht="30" customHeight="1">
      <c r="A5" s="3465" t="s">
        <v>927</v>
      </c>
      <c r="B5" s="3465"/>
      <c r="C5" s="3465"/>
      <c r="D5" s="3465" t="e">
        <f ca="1">结果表!D119</f>
        <v>#REF!</v>
      </c>
      <c r="E5" s="3465"/>
      <c r="F5" s="3465" t="e">
        <f ca="1">结果表!F119</f>
        <v>#REF!</v>
      </c>
      <c r="G5" s="3465"/>
      <c r="H5" s="3465" t="str">
        <f ca="1">结果表!H119</f>
        <v>壹佰伍拾玖万元整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159</v>
      </c>
      <c r="E8" s="3464"/>
      <c r="F8" s="3464"/>
      <c r="G8" s="3464"/>
      <c r="H8" s="3464"/>
      <c r="I8" s="3464"/>
    </row>
    <row r="9" spans="1:9" ht="15">
      <c r="A9" s="3465" t="s">
        <v>927</v>
      </c>
      <c r="B9" s="3465"/>
      <c r="C9" s="3465"/>
      <c r="D9" s="3465" t="str">
        <f ca="1">结果表!D123</f>
        <v>壹佰伍拾玖万元整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2023-05-30T01:51:19Z</dcterms:modified>
</cp:coreProperties>
</file>