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90" windowWidth="11385" windowHeight="940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租金" sheetId="78" r:id="rId27"/>
    <sheet name="比较法-商业 (2)" sheetId="79"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指标" sheetId="7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 (2)'!$A$1:$L$49</definedName>
    <definedName name="_xlnm._FilterDatabase" localSheetId="26"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'[2]比较法-办公'!$B$119:$M$119</definedName>
    <definedName name="办公层高">'比较法-办公'!$B$119:$M$119</definedName>
    <definedName name="办公朝向" localSheetId="27">'[2]比较法-办公'!$B$91:$M$91</definedName>
    <definedName name="办公朝向">'比较法-办公'!$B$91:$M$91</definedName>
    <definedName name="办公道路级别" localSheetId="27">'[2]比较法-办公'!$B$87:$M$87</definedName>
    <definedName name="办公道路级别">'比较法-办公'!$B$87:$M$87</definedName>
    <definedName name="办公公共部分装修" localSheetId="27">'[2]比较法-办公'!$B$108:$M$108</definedName>
    <definedName name="办公公共部分装修">'比较法-办公'!$B$108:$M$108</definedName>
    <definedName name="办公基础设施水平" localSheetId="27">'[2]比较法-办公'!$B$117:$M$117</definedName>
    <definedName name="办公基础设施水平">'比较法-办公'!$B$117:$M$117</definedName>
    <definedName name="办公集聚程度" localSheetId="27">[2]定义!$M$1:$M$6</definedName>
    <definedName name="办公集聚程度">定义!$M$1:$M$6</definedName>
    <definedName name="办公建筑结构" localSheetId="27">'[2]比较法-办公'!$B$106:$M$106</definedName>
    <definedName name="办公建筑结构">'比较法-办公'!$B$106:$M$106</definedName>
    <definedName name="办公建筑类型" localSheetId="27">'[2]比较法-办公'!$B$101:$M$101</definedName>
    <definedName name="办公建筑类型">'比较法-办公'!$B$101:$M$101</definedName>
    <definedName name="办公交易情况" localSheetId="27">'[2]比较法-办公'!$A$62:$M$62</definedName>
    <definedName name="办公交易情况">'比较法-办公'!$A$62:$M$62</definedName>
    <definedName name="办公楼层" localSheetId="27">'[2]比较法-办公'!$B$89:$M$89</definedName>
    <definedName name="办公楼层">'比较法-办公'!$B$89:$M$89</definedName>
    <definedName name="办公内部装修" localSheetId="27">'[2]比较法-办公'!$B$123:$M$123</definedName>
    <definedName name="办公内部装修">'比较法-办公'!$B$123:$M$123</definedName>
    <definedName name="办公物业管理" localSheetId="27">'[2]比较法-办公'!$B$115:$M$115</definedName>
    <definedName name="办公物业管理">'比较法-办公'!$B$115:$M$115</definedName>
    <definedName name="办公用途" localSheetId="27">'[2]比较法-办公'!$B$64:$M$64</definedName>
    <definedName name="办公用途">'比较法-办公'!$B$64:$M$64</definedName>
    <definedName name="仓储公共部分装修" localSheetId="27">'[2]比较法-仓储'!$B$77:$M$77</definedName>
    <definedName name="仓储公共部分装修">'比较法-仓储'!$B$77:$M$77</definedName>
    <definedName name="仓储交易情况" localSheetId="27">'[2]比较法-仓储'!$A$49:$M$49</definedName>
    <definedName name="仓储交易情况">'比较法-仓储'!$A$49:$M$49</definedName>
    <definedName name="仓储楼层" localSheetId="27">'[2]比较法-仓储'!$B$69:$M$69</definedName>
    <definedName name="仓储楼层">'比较法-仓储'!$B$69:$M$69</definedName>
    <definedName name="仓储物业等级" localSheetId="27">'[2]比较法-仓储'!$B$82:$M$82</definedName>
    <definedName name="仓储物业等级">'比较法-仓储'!$B$82:$M$82</definedName>
    <definedName name="仓储用途" localSheetId="27">'[2]比较法-仓储'!$B$51:$M$51</definedName>
    <definedName name="仓储用途">'比较法-仓储'!$B$51:$M$51</definedName>
    <definedName name="产业集聚程度" localSheetId="27">[2]定义!$N$1:$N$6</definedName>
    <definedName name="产业集聚程度">定义!$N$1:$N$6</definedName>
    <definedName name="车位公共部分装修" localSheetId="27">'[2]比较法-车位'!$B$83:$M$83</definedName>
    <definedName name="车位公共部分装修">'比较法-车位'!$B$83:$M$83</definedName>
    <definedName name="车位交易情况" localSheetId="27">'[2]比较法-车位'!$A$51:$M$51</definedName>
    <definedName name="车位交易情况">'比较法-车位'!$A$51:$M$51</definedName>
    <definedName name="车位类型" localSheetId="27">'[2]比较法-车位'!$B$93:$M$93</definedName>
    <definedName name="车位类型">'比较法-车位'!$B$93:$M$93</definedName>
    <definedName name="车位楼层" localSheetId="27">'[2]比较法-车位'!$B$71:$M$71</definedName>
    <definedName name="车位楼层">'比较法-车位'!$B$71:$M$71</definedName>
    <definedName name="车位配套类型" localSheetId="27">'[2]比较法-车位'!$B$79:$M$79</definedName>
    <definedName name="车位配套类型">'比较法-车位'!$B$79:$M$79</definedName>
    <definedName name="车位物业等级" localSheetId="27">'[2]比较法-车位'!$B$88:$M$88</definedName>
    <definedName name="车位物业等级">'比较法-车位'!$B$88:$M$88</definedName>
    <definedName name="车位用途" localSheetId="27">'[2]比较法-车位'!$B$53:$M$53</definedName>
    <definedName name="车位用途">'比较法-车位'!$B$53:$M$53</definedName>
    <definedName name="城镇土地纳税等级分级范围" localSheetId="27">'[2]数据-取费表'!$A$53:$A$63</definedName>
    <definedName name="城镇土地纳税等级分级范围">'数据-取费表'!$A$53:$A$63</definedName>
    <definedName name="单价内涵" localSheetId="27">[2]定义!$V$1:$V$3</definedName>
    <definedName name="单价内涵">定义!$V$1:$V$3</definedName>
    <definedName name="地类判定" localSheetId="27">[2]定义!$H$1:$H$9</definedName>
    <definedName name="地类判定">定义!$H$1:$H$9</definedName>
    <definedName name="二级">区片价!$I$1:$I$20</definedName>
    <definedName name="二级分类" localSheetId="27">[2]修正!$C$17:$C$39</definedName>
    <definedName name="二级分类">修正!$C$17:$C$39</definedName>
    <definedName name="法定最高年限" localSheetId="27">[2]定义!$G$1:$G$4</definedName>
    <definedName name="法定最高年限">定义!$G$1:$G$4</definedName>
    <definedName name="工业公共部分装修" localSheetId="27">'[2]比较法-工业'!$B$95:$M$95</definedName>
    <definedName name="工业公共部分装修">'比较法-工业'!$B$95:$M$95</definedName>
    <definedName name="工业基础设施水平" localSheetId="27">'[2]比较法-工业'!$B$102:$M$102</definedName>
    <definedName name="工业基础设施水平">'比较法-工业'!$B$102:$M$102</definedName>
    <definedName name="工业建筑结构" localSheetId="27">'[2]比较法-工业'!$B$93:$M$93</definedName>
    <definedName name="工业建筑结构">'比较法-工业'!$B$93:$M$93</definedName>
    <definedName name="工业建筑类型" localSheetId="27">'[2]比较法-工业'!$B$88:$M$88</definedName>
    <definedName name="工业建筑类型">'比较法-工业'!$B$88:$M$88</definedName>
    <definedName name="工业交易情况" localSheetId="27">'[2]比较法-工业'!$A$55:$M$55</definedName>
    <definedName name="工业交易情况">'比较法-工业'!$A$55:$M$55</definedName>
    <definedName name="工业内部装修" localSheetId="27">'[2]比较法-工业'!$B$104:$M$104</definedName>
    <definedName name="工业内部装修">'比较法-工业'!$B$104:$M$104</definedName>
    <definedName name="工业物业管理" localSheetId="27">'[2]比较法-工业'!$B$100:$M$100</definedName>
    <definedName name="工业物业管理">'比较法-工业'!$B$100:$M$100</definedName>
    <definedName name="工业用途" localSheetId="27">'[2]比较法-工业'!$B$57:$M$57</definedName>
    <definedName name="工业用途">'比较法-工业'!$B$57:$M$57</definedName>
    <definedName name="公共配套设施" localSheetId="27">[2]定义!$Q$1:$Q$6</definedName>
    <definedName name="公共配套设施">定义!$Q$1:$Q$6</definedName>
    <definedName name="估价方法" localSheetId="27">[2]定义!$B$1:$B$50</definedName>
    <definedName name="估价方法">定义!$B$1:$B$50</definedName>
    <definedName name="环境" localSheetId="27">[2]定义!$S$1:$S$6</definedName>
    <definedName name="环境">定义!$S$1:$S$6</definedName>
    <definedName name="基础设施水平" localSheetId="27">[2]定义!$R$1:$R$6</definedName>
    <definedName name="基础设施水平">定义!$R$1:$R$6</definedName>
    <definedName name="季度">基准地价修正!$Q$19:$AD$19</definedName>
    <definedName name="价值类型2" localSheetId="27">[2]定义!$B$54:$B$56</definedName>
    <definedName name="价值类型2">定义!$B$54:$B$56</definedName>
    <definedName name="交通便捷度" localSheetId="27">[2]定义!$O$1:$O$6</definedName>
    <definedName name="交通便捷度">定义!$O$1:$O$6</definedName>
    <definedName name="九级">区片价!$P$1:$P$46</definedName>
    <definedName name="居住社区成熟度" localSheetId="27">[2]定义!$K$1:$K$6</definedName>
    <definedName name="居住社区成熟度">定义!$K$1:$K$6</definedName>
    <definedName name="类别" localSheetId="27">[2]定义!$J$1:$J$3</definedName>
    <definedName name="类别">定义!$J$1:$J$3</definedName>
    <definedName name="临街状况" localSheetId="27">[2]定义!$T$1:$T$5</definedName>
    <definedName name="临街状况">定义!$T$1:$T$5</definedName>
    <definedName name="六级">区片价!$M$1:$M$49</definedName>
    <definedName name="内部装修维护情况" localSheetId="27">[2]定义!$U$1:$U$6</definedName>
    <definedName name="内部装修维护情况">定义!$U$1:$U$6</definedName>
    <definedName name="判定" localSheetId="27">[2]定义!$D$1:$D$4</definedName>
    <definedName name="判定">定义!$D$1:$D$4</definedName>
    <definedName name="七级">区片价!$N$1:$N$49</definedName>
    <definedName name="七通一平" localSheetId="27">[2]修正!$A$6:$A$14</definedName>
    <definedName name="七通一平">修正!$A$6:$A$14</definedName>
    <definedName name="区域土地利用方向" localSheetId="27">[2]定义!$P$1:$P$6</definedName>
    <definedName name="区域土地利用方向">定义!$P$1:$P$6</definedName>
    <definedName name="三级">区片价!$J$1:$J$21</definedName>
    <definedName name="商业层高" localSheetId="27">'比较法-商业 (2)'!$B$116:$M$116</definedName>
    <definedName name="商业层高" localSheetId="26">'比较法-商业租金'!$B$116:$M$116</definedName>
    <definedName name="商业层高">'比较法-商业'!$B$116:$M$116</definedName>
    <definedName name="商业成新度" localSheetId="27">'比较法-商业 (2)'!$B$109:$M$109</definedName>
    <definedName name="商业成新度" localSheetId="26">'比较法-商业租金'!$B$109:$M$109</definedName>
    <definedName name="商业成新度">'比较法-商业'!$B$109:$M$109</definedName>
    <definedName name="商业繁华度" localSheetId="27">[2]定义!$L$1:$L$6</definedName>
    <definedName name="商业繁华度">定义!$L$1:$L$6</definedName>
    <definedName name="商业公共部分装修" localSheetId="27">'比较法-商业 (2)'!$B$107:$M$107</definedName>
    <definedName name="商业公共部分装修" localSheetId="26">'比较法-商业租金'!$B$107:$M$107</definedName>
    <definedName name="商业公共部分装修">'比较法-商业'!$B$107:$M$107</definedName>
    <definedName name="商业基础设施水平" localSheetId="27">'比较法-商业 (2)'!$B$112:$M$112</definedName>
    <definedName name="商业基础设施水平" localSheetId="26">'比较法-商业租金'!$B$112:$M$112</definedName>
    <definedName name="商业基础设施水平">'比较法-商业'!$B$112:$M$112</definedName>
    <definedName name="商业建筑结构" localSheetId="27">'比较法-商业 (2)'!$B$105:$M$105</definedName>
    <definedName name="商业建筑结构" localSheetId="26">'比较法-商业租金'!$B$105:$M$105</definedName>
    <definedName name="商业建筑结构">'比较法-商业'!$B$105:$M$105</definedName>
    <definedName name="商业交易情况" localSheetId="27">'比较法-商业 (2)'!$A$61:$M$61</definedName>
    <definedName name="商业交易情况" localSheetId="26">'比较法-商业租金'!$A$61:$M$61</definedName>
    <definedName name="商业交易情况">'比较法-商业'!$A$61:$M$61</definedName>
    <definedName name="商业街名称" localSheetId="27">[2]修正!$C$59:$C$119</definedName>
    <definedName name="商业街名称">修正!$C$59:$C$119</definedName>
    <definedName name="商业进深比" localSheetId="27">'比较法-商业 (2)'!$B$120:$M$120</definedName>
    <definedName name="商业进深比" localSheetId="26">'比较法-商业租金'!$B$120:$M$120</definedName>
    <definedName name="商业进深比">'比较法-商业'!$B$120:$M$120</definedName>
    <definedName name="商业类型" localSheetId="27">'比较法-商业 (2)'!$B$100:$M$100</definedName>
    <definedName name="商业类型" localSheetId="26">'比较法-商业租金'!$B$100:$M$100</definedName>
    <definedName name="商业类型">'比较法-商业'!$B$100:$M$100</definedName>
    <definedName name="商业临街状况" localSheetId="27">'比较法-商业 (2)'!$B$86:$M$86</definedName>
    <definedName name="商业临街状况" localSheetId="26">'比较法-商业租金'!$B$86:$M$86</definedName>
    <definedName name="商业临街状况">'比较法-商业'!$B$86:$M$86</definedName>
    <definedName name="商业楼层" localSheetId="27">'比较法-商业 (2)'!$B$92:$M$92</definedName>
    <definedName name="商业楼层" localSheetId="26">'比较法-商业租金'!$B$92:$M$92</definedName>
    <definedName name="商业楼层">'比较法-商业'!$B$92:$M$92</definedName>
    <definedName name="商业内部装修" localSheetId="27">'比较法-商业 (2)'!$B$122:$M$122</definedName>
    <definedName name="商业内部装修" localSheetId="26">'比较法-商业租金'!$B$122:$M$122</definedName>
    <definedName name="商业内部装修">'比较法-商业'!$B$122:$M$122</definedName>
    <definedName name="商业人流量" localSheetId="27">'比较法-商业 (2)'!$B$90:$M$90</definedName>
    <definedName name="商业人流量" localSheetId="26">'比较法-商业租金'!$B$90:$M$90</definedName>
    <definedName name="商业人流量">'比较法-商业'!$B$90:$M$90</definedName>
    <definedName name="商业业态" localSheetId="27">'比较法-商业 (2)'!$B$114:$M$114</definedName>
    <definedName name="商业业态" localSheetId="26">'比较法-商业租金'!$B$114:$M$114</definedName>
    <definedName name="商业业态">'比较法-商业'!$B$114:$M$114</definedName>
    <definedName name="商业用途" localSheetId="27">'比较法-商业 (2)'!$B$63:$M$63</definedName>
    <definedName name="商业用途" localSheetId="26">'比较法-商业租金'!$B$63:$M$63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27">'[2]比较法-仓储'!$B$89:$M$89</definedName>
    <definedName name="是否封闭">'比较法-仓储'!$B$89:$M$89</definedName>
    <definedName name="是否直接入户" localSheetId="27">'[2]比较法-车位'!$B$95:$M$95</definedName>
    <definedName name="是否直接入户">'比较法-车位'!$B$95:$M$95</definedName>
    <definedName name="四级">区片价!$K$1:$K$28</definedName>
    <definedName name="套工道路等级" localSheetId="27">'[2]土地比较法-工业'!$B$97:$M$97</definedName>
    <definedName name="套工道路等级">'土地比较法-工业'!$B$97:$M$97</definedName>
    <definedName name="套工地质条件" localSheetId="27">'[2]土地比较法-工业'!$B$114:$M$114</definedName>
    <definedName name="套工地质条件">'土地比较法-工业'!$B$114:$M$114</definedName>
    <definedName name="套工交易情况" localSheetId="27">'[2]土地比较法-住宅、综合'!$A$73:$M$73</definedName>
    <definedName name="套工交易情况">'土地比较法-住宅、综合'!$A$73:$M$73</definedName>
    <definedName name="套工土地级别" localSheetId="27">'[2]土地比较法-工业'!$B$99:$M$99</definedName>
    <definedName name="套工土地级别">'土地比较法-工业'!$B$99:$M$99</definedName>
    <definedName name="套工用途" localSheetId="27">'[2]土地比较法-工业'!$B$70:$M$70</definedName>
    <definedName name="套工用途">'土地比较法-工业'!$B$70:$M$70</definedName>
    <definedName name="套工宗地开发程度" localSheetId="27">'[2]土地比较法-工业'!$B$112:$M$112</definedName>
    <definedName name="套工宗地开发程度">'土地比较法-工业'!$B$112:$M$112</definedName>
    <definedName name="套工宗地形状" localSheetId="27">'[2]土地比较法-工业'!$B$110:$M$110</definedName>
    <definedName name="套工宗地形状">'土地比较法-工业'!$B$110:$M$110</definedName>
    <definedName name="套综道路等级" localSheetId="27">'[2]土地比较法-住宅、综合'!$B$106:$M$106</definedName>
    <definedName name="套综道路等级">'土地比较法-住宅、综合'!$B$106:$M$106</definedName>
    <definedName name="套综工程地质条件" localSheetId="27">'[2]土地比较法-住宅、综合'!$B$125:$M$125</definedName>
    <definedName name="套综工程地质条件">'土地比较法-住宅、综合'!$B$125:$M$125</definedName>
    <definedName name="套综交易情况" localSheetId="27">'[2]土地比较法-住宅、综合'!$A$73:$M$73</definedName>
    <definedName name="套综交易情况">'土地比较法-住宅、综合'!$A$73:$M$73</definedName>
    <definedName name="套综临街宽度及深度" localSheetId="27">'[2]土地比较法-住宅、综合'!$B$121:$M$121</definedName>
    <definedName name="套综临街宽度及深度">'土地比较法-住宅、综合'!$B$121:$M$121</definedName>
    <definedName name="套综土地级别" localSheetId="27">'[2]土地比较法-住宅、综合'!$B$108:$M$108</definedName>
    <definedName name="套综土地级别">'土地比较法-住宅、综合'!$B$108:$M$108</definedName>
    <definedName name="套综用途" localSheetId="27">'[2]土地比较法-住宅、综合'!$B$75:$M$75</definedName>
    <definedName name="套综用途">'土地比较法-住宅、综合'!$B$75:$M$75</definedName>
    <definedName name="套综宗地内开发程度" localSheetId="27">'[2]土地比较法-住宅、综合'!$B$123:$M$123</definedName>
    <definedName name="套综宗地内开发程度">'土地比较法-住宅、综合'!$B$123:$M$123</definedName>
    <definedName name="套综宗地形状" localSheetId="27">'[2]土地比较法-住宅、综合'!$B$119:$M$119</definedName>
    <definedName name="套综宗地形状">'土地比较法-住宅、综合'!$B$119:$M$119</definedName>
    <definedName name="土地估价师">估价师及机构信息!$D$3:$D$24</definedName>
    <definedName name="土地级别" localSheetId="27">[2]定义!$C$1:$C$14</definedName>
    <definedName name="土地级别">定义!$C$1:$C$14</definedName>
    <definedName name="土地利用方向">定义!$P$1:$P$6</definedName>
    <definedName name="土地年限区间" localSheetId="27">[2]定义!$I$1:$I$8</definedName>
    <definedName name="土地年限区间">定义!$I$1:$I$8</definedName>
    <definedName name="位置" localSheetId="27">[2]定义!$E$2:$E$4</definedName>
    <definedName name="位置">定义!$E$2:$E$4</definedName>
    <definedName name="五等判定" localSheetId="27">[2]定义!$W$1:$W$6</definedName>
    <definedName name="五等判定">定义!$W$1:$W$6</definedName>
    <definedName name="五级">区片价!$L$1:$L$35</definedName>
    <definedName name="项目类型" localSheetId="27">'[2]数据-汇总表'!$C$17:$C$26</definedName>
    <definedName name="项目类型">'数据-汇总表'!$C$17:$C$26</definedName>
    <definedName name="写字楼等级" localSheetId="27">'[2]比较法-办公'!$B$113:$M$113</definedName>
    <definedName name="写字楼等级">'比较法-办公'!$B$113:$M$113</definedName>
    <definedName name="一级">区片价!$H$1:$H$6</definedName>
    <definedName name="一修多修正项2" localSheetId="27">[2]典型户型修正!$5:$5</definedName>
    <definedName name="一修多修正项2">典型户型修正!$5:$5</definedName>
    <definedName name="一修多修正项3" localSheetId="27">[2]典型户型修正!$7:$7</definedName>
    <definedName name="一修多修正项3">典型户型修正!$7:$7</definedName>
    <definedName name="一修多修正项4" localSheetId="27">[2]典型户型修正!$9:$9</definedName>
    <definedName name="一修多修正项4">典型户型修正!$9:$9</definedName>
    <definedName name="一修多修正项5" localSheetId="27">[2]典型户型修正!$11:$11</definedName>
    <definedName name="一修多修正项5">典型户型修正!$11:$11</definedName>
    <definedName name="一修多修正项6" localSheetId="27">[2]典型户型修正!$13:$13</definedName>
    <definedName name="一修多修正项6">典型户型修正!$13:$13</definedName>
    <definedName name="一修多修正项7" localSheetId="27">[2]典型户型修正!$15:$15</definedName>
    <definedName name="一修多修正项7">典型户型修正!$15:$15</definedName>
    <definedName name="一修多修正项8" localSheetId="27">[2]典型户型修正!$17:$17</definedName>
    <definedName name="一修多修正项8">典型户型修正!$17:$17</definedName>
    <definedName name="用途明细" localSheetId="27">[2]定义!$A$1:$A$50</definedName>
    <definedName name="用途明细">定义!$A$1:$A$50</definedName>
    <definedName name="有无电梯" localSheetId="27">'[2]比较法-仓储'!$B$84:$M$84</definedName>
    <definedName name="有无电梯">'比较法-仓储'!$B$84:$M$84</definedName>
    <definedName name="主用途" localSheetId="27">[2]定义!$F$1:$F$10</definedName>
    <definedName name="主用途">定义!$F$1:$F$10</definedName>
    <definedName name="住宅朝向" localSheetId="27">'[2]比较法-住宅'!$B$88:$M$88</definedName>
    <definedName name="住宅朝向">'比较法-住宅'!$B$88:$M$88</definedName>
    <definedName name="住宅房型" localSheetId="27">'[2]比较法-住宅'!$B$118:$M$118</definedName>
    <definedName name="住宅房型">'比较法-住宅'!$B$118:$M$118</definedName>
    <definedName name="住宅公共部分装修" localSheetId="27">'[2]比较法-住宅'!$B$109:$M$109</definedName>
    <definedName name="住宅公共部分装修">'比较法-住宅'!$B$109:$M$109</definedName>
    <definedName name="住宅基础设施水平" localSheetId="27">'[2]比较法-住宅'!$B$116:$M$116</definedName>
    <definedName name="住宅基础设施水平">'比较法-住宅'!$B$116:$M$116</definedName>
    <definedName name="住宅建筑结构" localSheetId="27">'[2]比较法-住宅'!$B$105:$M$105</definedName>
    <definedName name="住宅建筑结构">'比较法-住宅'!$B$105:$M$105</definedName>
    <definedName name="住宅建筑类型" localSheetId="27">'[2]比较法-住宅'!$B$100:$M$100</definedName>
    <definedName name="住宅建筑类型">'比较法-住宅'!$B$100:$M$100</definedName>
    <definedName name="住宅建筑品质" localSheetId="27">'[2]比较法-住宅'!$B$107:$M$107</definedName>
    <definedName name="住宅建筑品质">'比较法-住宅'!$B$107:$M$107</definedName>
    <definedName name="住宅交易情况" localSheetId="27">'[2]比较法-住宅'!$A$61:$M$61</definedName>
    <definedName name="住宅交易情况">'比较法-住宅'!$A$61:$M$61</definedName>
    <definedName name="住宅楼层" localSheetId="27">'[2]比较法-住宅'!$B$86:$M$86</definedName>
    <definedName name="住宅楼层">'比较法-住宅'!$B$86:$M$86</definedName>
    <definedName name="住宅内部装修" localSheetId="27">'[2]比较法-住宅'!$B$122:$M$122</definedName>
    <definedName name="住宅内部装修">'比较法-住宅'!$B$122:$M$122</definedName>
    <definedName name="住宅物业管理" localSheetId="27">'[2]比较法-住宅'!$B$114:$M$114</definedName>
    <definedName name="住宅物业管理">'比较法-住宅'!$B$114:$M$114</definedName>
    <definedName name="住宅用途" localSheetId="27">'[2]比较法-住宅'!$B$63:$M$63</definedName>
    <definedName name="住宅用途">'比较法-住宅'!$B$63:$M$63</definedName>
    <definedName name="住宅主力户型面积">'比较法-住宅'!$B$120:$M$120</definedName>
    <definedName name="注册房地产估价师" localSheetId="27">[2]估价师及机构信息!$A$3:$A$24</definedName>
    <definedName name="注册房地产估价师">估价师及机构信息!$A$3:$A$24</definedName>
  </definedNames>
  <calcPr calcId="125725" concurrentCalc="0"/>
</workbook>
</file>

<file path=xl/calcChain.xml><?xml version="1.0" encoding="utf-8"?>
<calcChain xmlns="http://schemas.openxmlformats.org/spreadsheetml/2006/main">
  <c r="G47" i="33"/>
  <c r="E47"/>
  <c r="B130" i="79"/>
  <c r="B128"/>
  <c r="B126"/>
  <c r="D125"/>
  <c r="E125"/>
  <c r="F125"/>
  <c r="G125"/>
  <c r="D123"/>
  <c r="E123"/>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D111"/>
  <c r="E111"/>
  <c r="F111"/>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B98"/>
  <c r="B96"/>
  <c r="B94"/>
  <c r="B92"/>
  <c r="D91"/>
  <c r="E91"/>
  <c r="F91"/>
  <c r="G91"/>
  <c r="H91"/>
  <c r="I91"/>
  <c r="J91"/>
  <c r="K91"/>
  <c r="L91"/>
  <c r="M91"/>
  <c r="B90"/>
  <c r="B88"/>
  <c r="D87"/>
  <c r="E87"/>
  <c r="F87"/>
  <c r="G87"/>
  <c r="H87"/>
  <c r="I87"/>
  <c r="J87"/>
  <c r="K87"/>
  <c r="L87"/>
  <c r="M87"/>
  <c r="D85"/>
  <c r="E85"/>
  <c r="F85"/>
  <c r="G85"/>
  <c r="D83"/>
  <c r="E83"/>
  <c r="F83"/>
  <c r="G83"/>
  <c r="D81"/>
  <c r="E81"/>
  <c r="F81"/>
  <c r="G81"/>
  <c r="D79"/>
  <c r="E79"/>
  <c r="F79"/>
  <c r="G79"/>
  <c r="D77"/>
  <c r="E77"/>
  <c r="F77"/>
  <c r="G77"/>
  <c r="B74"/>
  <c r="B72"/>
  <c r="B70"/>
  <c r="D69"/>
  <c r="E69"/>
  <c r="F69"/>
  <c r="G69"/>
  <c r="H69"/>
  <c r="I69"/>
  <c r="J69"/>
  <c r="K69"/>
  <c r="L69"/>
  <c r="M69"/>
  <c r="M67"/>
  <c r="L67"/>
  <c r="K67"/>
  <c r="J67"/>
  <c r="I67"/>
  <c r="H67"/>
  <c r="G67"/>
  <c r="F67"/>
  <c r="E67"/>
  <c r="D67"/>
  <c r="C67"/>
  <c r="G66"/>
  <c r="H66"/>
  <c r="I66"/>
  <c r="C63"/>
  <c r="C7"/>
  <c r="C58"/>
  <c r="D58"/>
  <c r="E58"/>
  <c r="F58"/>
  <c r="G58"/>
  <c r="H58"/>
  <c r="I58"/>
  <c r="J58"/>
  <c r="K58"/>
  <c r="L58"/>
  <c r="M58"/>
  <c r="N58"/>
  <c r="O58"/>
  <c r="I47"/>
  <c r="E47"/>
  <c r="I54"/>
  <c r="J54"/>
  <c r="G47"/>
  <c r="G54"/>
  <c r="H54"/>
  <c r="E54"/>
  <c r="F54"/>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C33"/>
  <c r="J33"/>
  <c r="AC33"/>
  <c r="J34"/>
  <c r="AC34"/>
  <c r="J35"/>
  <c r="AC35"/>
  <c r="C36"/>
  <c r="J36"/>
  <c r="AC36"/>
  <c r="J37"/>
  <c r="AC37"/>
  <c r="J38"/>
  <c r="AC38"/>
  <c r="J39"/>
  <c r="AC39"/>
  <c r="J40"/>
  <c r="AC40"/>
  <c r="J41"/>
  <c r="AC41"/>
  <c r="J42"/>
  <c r="AC42"/>
  <c r="J43"/>
  <c r="AC43"/>
  <c r="J44"/>
  <c r="AC44"/>
  <c r="J45"/>
  <c r="AC45"/>
  <c r="J46"/>
  <c r="AC46"/>
  <c r="V48"/>
  <c r="I48"/>
  <c r="R47"/>
  <c r="F7"/>
  <c r="AA7"/>
  <c r="F8"/>
  <c r="AA8"/>
  <c r="F9"/>
  <c r="AA9"/>
  <c r="F10"/>
  <c r="AA10"/>
  <c r="F11"/>
  <c r="AA11"/>
  <c r="F12"/>
  <c r="AA12"/>
  <c r="F13"/>
  <c r="AA13"/>
  <c r="F14"/>
  <c r="AA14"/>
  <c r="F15"/>
  <c r="AA15"/>
  <c r="F17"/>
  <c r="AA17"/>
  <c r="F19"/>
  <c r="AA19"/>
  <c r="F21"/>
  <c r="AA21"/>
  <c r="F23"/>
  <c r="AA23"/>
  <c r="F25"/>
  <c r="AA25"/>
  <c r="F26"/>
  <c r="AA26"/>
  <c r="F27"/>
  <c r="AA27"/>
  <c r="F28"/>
  <c r="AA28"/>
  <c r="F29"/>
  <c r="AA29"/>
  <c r="F30"/>
  <c r="AA30"/>
  <c r="F31"/>
  <c r="AA31"/>
  <c r="F32"/>
  <c r="AA32"/>
  <c r="F33"/>
  <c r="AA33"/>
  <c r="F34"/>
  <c r="AA34"/>
  <c r="F35"/>
  <c r="AA35"/>
  <c r="F36"/>
  <c r="AA36"/>
  <c r="F37"/>
  <c r="AA37"/>
  <c r="F38"/>
  <c r="AA38"/>
  <c r="F39"/>
  <c r="AA39"/>
  <c r="F40"/>
  <c r="AA40"/>
  <c r="F41"/>
  <c r="AA41"/>
  <c r="F42"/>
  <c r="AA42"/>
  <c r="F43"/>
  <c r="AA43"/>
  <c r="F44"/>
  <c r="AA44"/>
  <c r="F45"/>
  <c r="AA45"/>
  <c r="F46"/>
  <c r="AA46"/>
  <c r="R48"/>
  <c r="E48"/>
  <c r="I53"/>
  <c r="J53"/>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G48"/>
  <c r="G53"/>
  <c r="H53"/>
  <c r="E53"/>
  <c r="F53"/>
  <c r="I52"/>
  <c r="J52"/>
  <c r="G52"/>
  <c r="H52"/>
  <c r="E52"/>
  <c r="F52"/>
  <c r="R49"/>
  <c r="P49"/>
  <c r="C49"/>
  <c r="P48"/>
  <c r="C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F6" i="15"/>
  <c r="F8"/>
  <c r="F7"/>
  <c r="F9"/>
  <c r="C6"/>
  <c r="F4" i="73"/>
  <c r="I1"/>
  <c r="B39" i="1"/>
  <c r="F11" i="15"/>
  <c r="C10"/>
  <c r="C5"/>
  <c r="C32"/>
  <c r="C33"/>
  <c r="R6" i="1"/>
  <c r="F35" i="15"/>
  <c r="C34"/>
  <c r="C31"/>
  <c r="C14"/>
  <c r="C15"/>
  <c r="F16"/>
  <c r="C16"/>
  <c r="F43"/>
  <c r="C17"/>
  <c r="C18"/>
  <c r="C19"/>
  <c r="C20"/>
  <c r="D5" i="73"/>
  <c r="G1"/>
  <c r="B40" i="1"/>
  <c r="F24" i="15"/>
  <c r="C23"/>
  <c r="F26"/>
  <c r="C26"/>
  <c r="C24"/>
  <c r="C27"/>
  <c r="C29"/>
  <c r="F36"/>
  <c r="C36"/>
  <c r="F13"/>
  <c r="C13"/>
  <c r="F37"/>
  <c r="C37"/>
  <c r="F38"/>
  <c r="C38"/>
  <c r="C30"/>
  <c r="C39"/>
  <c r="F42"/>
  <c r="F40"/>
  <c r="L48"/>
  <c r="J53"/>
  <c r="F1"/>
  <c r="AE6" i="1"/>
  <c r="F41" i="15"/>
  <c r="C40"/>
  <c r="M6"/>
  <c r="M8"/>
  <c r="M7"/>
  <c r="M9"/>
  <c r="J6"/>
  <c r="M11"/>
  <c r="J10"/>
  <c r="J5"/>
  <c r="J26"/>
  <c r="J29"/>
  <c r="J60"/>
  <c r="L46"/>
  <c r="B2"/>
  <c r="C19" i="9"/>
  <c r="D77" i="33"/>
  <c r="F15"/>
  <c r="AA15"/>
  <c r="D79"/>
  <c r="F17"/>
  <c r="AA17"/>
  <c r="D81"/>
  <c r="F19"/>
  <c r="AA19"/>
  <c r="F21"/>
  <c r="AA21"/>
  <c r="D85"/>
  <c r="F23"/>
  <c r="AA23"/>
  <c r="D87"/>
  <c r="F25"/>
  <c r="AA25"/>
  <c r="F27"/>
  <c r="AA27"/>
  <c r="F32"/>
  <c r="AA32"/>
  <c r="F34"/>
  <c r="AA34"/>
  <c r="F35"/>
  <c r="AA35"/>
  <c r="D111"/>
  <c r="E111"/>
  <c r="F111"/>
  <c r="F36"/>
  <c r="AA36"/>
  <c r="D113"/>
  <c r="E113"/>
  <c r="F37"/>
  <c r="AA37"/>
  <c r="F38"/>
  <c r="AA38"/>
  <c r="F39"/>
  <c r="AA39"/>
  <c r="F41"/>
  <c r="AA41"/>
  <c r="D123"/>
  <c r="E123"/>
  <c r="F42"/>
  <c r="AA42"/>
  <c r="D125"/>
  <c r="F43"/>
  <c r="AA43"/>
  <c r="R47"/>
  <c r="R48"/>
  <c r="H15"/>
  <c r="AB15"/>
  <c r="H17"/>
  <c r="AB17"/>
  <c r="H19"/>
  <c r="AB19"/>
  <c r="H21"/>
  <c r="AB21"/>
  <c r="H23"/>
  <c r="AB23"/>
  <c r="H25"/>
  <c r="AB25"/>
  <c r="H27"/>
  <c r="AB27"/>
  <c r="H32"/>
  <c r="AB32"/>
  <c r="H34"/>
  <c r="AB34"/>
  <c r="H35"/>
  <c r="AB35"/>
  <c r="H36"/>
  <c r="AB36"/>
  <c r="H37"/>
  <c r="AB37"/>
  <c r="H38"/>
  <c r="AB38"/>
  <c r="H39"/>
  <c r="AB39"/>
  <c r="H41"/>
  <c r="AB41"/>
  <c r="H42"/>
  <c r="AB42"/>
  <c r="H43"/>
  <c r="AB43"/>
  <c r="T47"/>
  <c r="H33"/>
  <c r="AB33"/>
  <c r="T48"/>
  <c r="J15"/>
  <c r="AC15"/>
  <c r="J17"/>
  <c r="AC17"/>
  <c r="J19"/>
  <c r="AC19"/>
  <c r="J21"/>
  <c r="AC21"/>
  <c r="J23"/>
  <c r="AC23"/>
  <c r="J25"/>
  <c r="AC25"/>
  <c r="J27"/>
  <c r="AC27"/>
  <c r="J32"/>
  <c r="AC32"/>
  <c r="J34"/>
  <c r="AC34"/>
  <c r="J35"/>
  <c r="AC35"/>
  <c r="J36"/>
  <c r="AC36"/>
  <c r="J37"/>
  <c r="AC37"/>
  <c r="J38"/>
  <c r="AC38"/>
  <c r="J39"/>
  <c r="AC39"/>
  <c r="J41"/>
  <c r="AC41"/>
  <c r="J42"/>
  <c r="AC42"/>
  <c r="J43"/>
  <c r="AC43"/>
  <c r="V48"/>
  <c r="R49"/>
  <c r="C49"/>
  <c r="B2"/>
  <c r="D19" i="9"/>
  <c r="G19"/>
  <c r="C32"/>
  <c r="H118"/>
  <c r="H101"/>
  <c r="H107"/>
  <c r="M49"/>
  <c r="D45"/>
  <c r="C64"/>
  <c r="C63"/>
  <c r="C67"/>
  <c r="C68"/>
  <c r="D54"/>
  <c r="D48"/>
  <c r="M52"/>
  <c r="D55"/>
  <c r="M53"/>
  <c r="C72"/>
  <c r="C78"/>
  <c r="C73"/>
  <c r="C79"/>
  <c r="C80"/>
  <c r="C81"/>
  <c r="D58"/>
  <c r="D56"/>
  <c r="M54"/>
  <c r="N57"/>
  <c r="N59"/>
  <c r="H111"/>
  <c r="D126"/>
  <c r="I14" i="74"/>
  <c r="B8"/>
  <c r="A6" i="1"/>
  <c r="G1" i="15"/>
  <c r="R47" i="78"/>
  <c r="B2" i="1"/>
  <c r="C7" i="78"/>
  <c r="C58"/>
  <c r="D58"/>
  <c r="E58"/>
  <c r="F58"/>
  <c r="G58"/>
  <c r="H58"/>
  <c r="I58"/>
  <c r="J58"/>
  <c r="K58"/>
  <c r="L58"/>
  <c r="M58"/>
  <c r="N58"/>
  <c r="O58"/>
  <c r="F7"/>
  <c r="AA7"/>
  <c r="F8"/>
  <c r="AA8"/>
  <c r="C63"/>
  <c r="F9"/>
  <c r="AA9"/>
  <c r="G66"/>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F19" i="6"/>
  <c r="C33" i="78"/>
  <c r="F33"/>
  <c r="AA33"/>
  <c r="F34"/>
  <c r="AA34"/>
  <c r="F35"/>
  <c r="AA35"/>
  <c r="D111"/>
  <c r="E111"/>
  <c r="F111"/>
  <c r="N6" i="1"/>
  <c r="C36" i="78"/>
  <c r="F36"/>
  <c r="AA36"/>
  <c r="F37"/>
  <c r="AA37"/>
  <c r="F38"/>
  <c r="AA38"/>
  <c r="F39"/>
  <c r="AA39"/>
  <c r="F40"/>
  <c r="AA40"/>
  <c r="F41"/>
  <c r="AA41"/>
  <c r="D123"/>
  <c r="E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8"/>
  <c r="U6" i="1"/>
  <c r="E19" i="6"/>
  <c r="K6" i="1"/>
  <c r="C1" i="73"/>
  <c r="L1"/>
  <c r="B43" i="1"/>
  <c r="B41"/>
  <c r="F32" i="15"/>
  <c r="C42" i="1"/>
  <c r="F33" i="15"/>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E21"/>
  <c r="E22"/>
  <c r="E23"/>
  <c r="E24"/>
  <c r="E25"/>
  <c r="E26"/>
  <c r="BA5" i="3"/>
  <c r="E27" i="6"/>
  <c r="K19"/>
  <c r="L19"/>
  <c r="M19"/>
  <c r="I19"/>
  <c r="H19"/>
  <c r="R19"/>
  <c r="B52" i="1"/>
  <c r="F34" i="15"/>
  <c r="M6" i="1"/>
  <c r="S6"/>
  <c r="T6"/>
  <c r="F15" i="15"/>
  <c r="F17"/>
  <c r="F18"/>
  <c r="F20"/>
  <c r="J1" i="73"/>
  <c r="B22" i="1"/>
  <c r="E1" i="73"/>
  <c r="K1"/>
  <c r="F23" i="15"/>
  <c r="F21"/>
  <c r="F28"/>
  <c r="C28"/>
  <c r="Y6" i="1"/>
  <c r="E15" i="4"/>
  <c r="F6" i="1"/>
  <c r="M47" i="15"/>
  <c r="B24" i="1"/>
  <c r="J50" i="15"/>
  <c r="J51"/>
  <c r="C7" i="33"/>
  <c r="C58"/>
  <c r="D58"/>
  <c r="E58"/>
  <c r="F58"/>
  <c r="G58"/>
  <c r="H58"/>
  <c r="I58"/>
  <c r="J58"/>
  <c r="K58"/>
  <c r="L58"/>
  <c r="M58"/>
  <c r="N58"/>
  <c r="O58"/>
  <c r="F7"/>
  <c r="AA7"/>
  <c r="F8"/>
  <c r="AA8"/>
  <c r="C63"/>
  <c r="F9"/>
  <c r="AA9"/>
  <c r="F10"/>
  <c r="AA10"/>
  <c r="F11"/>
  <c r="AA11"/>
  <c r="B70"/>
  <c r="F12"/>
  <c r="AA12"/>
  <c r="B72"/>
  <c r="F13"/>
  <c r="AA13"/>
  <c r="B74"/>
  <c r="F14"/>
  <c r="AA14"/>
  <c r="B88"/>
  <c r="F26"/>
  <c r="AA26"/>
  <c r="B90"/>
  <c r="B92"/>
  <c r="F28"/>
  <c r="AA28"/>
  <c r="B94"/>
  <c r="F29"/>
  <c r="AA29"/>
  <c r="B96"/>
  <c r="F30"/>
  <c r="AA30"/>
  <c r="B98"/>
  <c r="F31"/>
  <c r="AA31"/>
  <c r="C33"/>
  <c r="F33"/>
  <c r="AA33"/>
  <c r="C36"/>
  <c r="F40"/>
  <c r="AA40"/>
  <c r="B126"/>
  <c r="F44"/>
  <c r="AA44"/>
  <c r="B128"/>
  <c r="F45"/>
  <c r="AA45"/>
  <c r="B130"/>
  <c r="F46"/>
  <c r="AA46"/>
  <c r="H7"/>
  <c r="AB7"/>
  <c r="H8"/>
  <c r="AB8"/>
  <c r="H9"/>
  <c r="AB9"/>
  <c r="H10"/>
  <c r="AB10"/>
  <c r="H11"/>
  <c r="AB11"/>
  <c r="H12"/>
  <c r="AB12"/>
  <c r="H13"/>
  <c r="AB13"/>
  <c r="H14"/>
  <c r="AB14"/>
  <c r="H26"/>
  <c r="AB26"/>
  <c r="H28"/>
  <c r="AB28"/>
  <c r="H29"/>
  <c r="AB29"/>
  <c r="H30"/>
  <c r="AB30"/>
  <c r="H31"/>
  <c r="AB31"/>
  <c r="H40"/>
  <c r="AB40"/>
  <c r="H44"/>
  <c r="AB44"/>
  <c r="H45"/>
  <c r="AB45"/>
  <c r="H46"/>
  <c r="AB46"/>
  <c r="I47"/>
  <c r="V47"/>
  <c r="I7"/>
  <c r="J7"/>
  <c r="AC7"/>
  <c r="J8"/>
  <c r="AC8"/>
  <c r="J9"/>
  <c r="AC9"/>
  <c r="J10"/>
  <c r="AC10"/>
  <c r="J11"/>
  <c r="AC11"/>
  <c r="J12"/>
  <c r="AC12"/>
  <c r="J13"/>
  <c r="AC13"/>
  <c r="J14"/>
  <c r="AC14"/>
  <c r="J26"/>
  <c r="AC26"/>
  <c r="J28"/>
  <c r="AC28"/>
  <c r="J29"/>
  <c r="AC29"/>
  <c r="J30"/>
  <c r="AC30"/>
  <c r="J31"/>
  <c r="AC31"/>
  <c r="J33"/>
  <c r="AC33"/>
  <c r="J40"/>
  <c r="AC40"/>
  <c r="J44"/>
  <c r="AC44"/>
  <c r="J45"/>
  <c r="AC45"/>
  <c r="J46"/>
  <c r="AC46"/>
  <c r="D3"/>
  <c r="C17" i="9"/>
  <c r="D17"/>
  <c r="C18"/>
  <c r="D18"/>
  <c r="C24"/>
  <c r="E107"/>
  <c r="H105"/>
  <c r="H106"/>
  <c r="H103"/>
  <c r="C75"/>
  <c r="C66"/>
  <c r="D68"/>
  <c r="I55"/>
  <c r="D78"/>
  <c r="C76"/>
  <c r="D77"/>
  <c r="C77"/>
  <c r="C74"/>
  <c r="D59"/>
  <c r="M55"/>
  <c r="K6" i="4"/>
  <c r="M56" i="9"/>
  <c r="E111"/>
  <c r="D14" i="74"/>
  <c r="D122" i="9"/>
  <c r="G14" i="74"/>
  <c r="E125" i="78"/>
  <c r="F125"/>
  <c r="G125"/>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D91"/>
  <c r="E91"/>
  <c r="F91"/>
  <c r="G91"/>
  <c r="H91"/>
  <c r="I91"/>
  <c r="J91"/>
  <c r="K91"/>
  <c r="L91"/>
  <c r="M91"/>
  <c r="D87"/>
  <c r="E87"/>
  <c r="F87"/>
  <c r="G87"/>
  <c r="H87"/>
  <c r="I87"/>
  <c r="J87"/>
  <c r="K87"/>
  <c r="L87"/>
  <c r="M87"/>
  <c r="E85"/>
  <c r="F85"/>
  <c r="G85"/>
  <c r="D83"/>
  <c r="E83"/>
  <c r="F83"/>
  <c r="G83"/>
  <c r="E81"/>
  <c r="F81"/>
  <c r="G81"/>
  <c r="E79"/>
  <c r="F79"/>
  <c r="G79"/>
  <c r="E77"/>
  <c r="F77"/>
  <c r="G77"/>
  <c r="D69"/>
  <c r="E69"/>
  <c r="F69"/>
  <c r="G69"/>
  <c r="H69"/>
  <c r="I69"/>
  <c r="J69"/>
  <c r="K69"/>
  <c r="L69"/>
  <c r="M69"/>
  <c r="M67"/>
  <c r="L67"/>
  <c r="K67"/>
  <c r="J67"/>
  <c r="I67"/>
  <c r="H67"/>
  <c r="G67"/>
  <c r="F67"/>
  <c r="E67"/>
  <c r="D67"/>
  <c r="C67"/>
  <c r="H66"/>
  <c r="I66"/>
  <c r="I54"/>
  <c r="J54"/>
  <c r="G54"/>
  <c r="H54"/>
  <c r="E54"/>
  <c r="F54"/>
  <c r="I48"/>
  <c r="E48"/>
  <c r="I53"/>
  <c r="J53"/>
  <c r="G48"/>
  <c r="G53"/>
  <c r="H53"/>
  <c r="E53"/>
  <c r="F53"/>
  <c r="I52"/>
  <c r="J52"/>
  <c r="G52"/>
  <c r="H52"/>
  <c r="E52"/>
  <c r="F52"/>
  <c r="P49"/>
  <c r="C49"/>
  <c r="P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M18" i="9"/>
  <c r="B118"/>
  <c r="B14" i="74"/>
  <c r="U20" i="1"/>
  <c r="BB5" i="3"/>
  <c r="BB10"/>
  <c r="BC10"/>
  <c r="BD10"/>
  <c r="BE10"/>
  <c r="BF10"/>
  <c r="BG10"/>
  <c r="BH10"/>
  <c r="BI10"/>
  <c r="BJ10"/>
  <c r="BK10"/>
  <c r="BC5"/>
  <c r="BD5"/>
  <c r="BE5"/>
  <c r="BF5"/>
  <c r="BG5"/>
  <c r="BH5"/>
  <c r="BI5"/>
  <c r="BJ5"/>
  <c r="BK5"/>
  <c r="E8" i="6"/>
  <c r="F27"/>
  <c r="L20"/>
  <c r="K20"/>
  <c r="M20"/>
  <c r="I20"/>
  <c r="H20"/>
  <c r="D20"/>
  <c r="R20"/>
  <c r="A7" i="1"/>
  <c r="R7"/>
  <c r="AE7"/>
  <c r="B3" i="15"/>
  <c r="C20" i="9"/>
  <c r="B3" i="33"/>
  <c r="D20" i="9"/>
  <c r="G20"/>
  <c r="R24" i="31"/>
  <c r="B25"/>
  <c r="B26"/>
  <c r="B24"/>
  <c r="K7" i="1"/>
  <c r="A8"/>
  <c r="K8"/>
  <c r="A9"/>
  <c r="K9"/>
  <c r="A10"/>
  <c r="K10"/>
  <c r="A11"/>
  <c r="K11"/>
  <c r="A12"/>
  <c r="K12"/>
  <c r="A13"/>
  <c r="K13"/>
  <c r="K14"/>
  <c r="BM5" i="3"/>
  <c r="BO5"/>
  <c r="F29" i="6"/>
  <c r="BN5" i="3"/>
  <c r="BP5"/>
  <c r="G29" i="6"/>
  <c r="E29"/>
  <c r="K15" i="1"/>
  <c r="K16"/>
  <c r="B29"/>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C14" i="74"/>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I107" i="40"/>
  <c r="B22" i="31"/>
  <c r="N56" i="9"/>
  <c r="K56"/>
  <c r="E15" i="74"/>
  <c r="F15"/>
  <c r="E16"/>
  <c r="F16"/>
  <c r="E17"/>
  <c r="F17"/>
  <c r="E18"/>
  <c r="F18"/>
  <c r="E19"/>
  <c r="F19"/>
  <c r="E20"/>
  <c r="F20"/>
  <c r="E21"/>
  <c r="F21"/>
  <c r="E22"/>
  <c r="F22"/>
  <c r="E23"/>
  <c r="F23"/>
  <c r="B3"/>
  <c r="F34" i="68"/>
  <c r="M7" i="1"/>
  <c r="M8"/>
  <c r="M9"/>
  <c r="M10"/>
  <c r="M11"/>
  <c r="M12"/>
  <c r="M13"/>
  <c r="M14"/>
  <c r="M16"/>
  <c r="C34" i="68"/>
  <c r="F35"/>
  <c r="C35"/>
  <c r="F36"/>
  <c r="C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E5" i="6"/>
  <c r="D9" i="68"/>
  <c r="E6" i="6"/>
  <c r="D10" i="68"/>
  <c r="D19"/>
  <c r="D37"/>
  <c r="E37"/>
  <c r="C37"/>
  <c r="F38"/>
  <c r="C38"/>
  <c r="C3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A122"/>
  <c r="A8" i="52"/>
  <c r="A126" i="9"/>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6" i="31"/>
  <c r="E26"/>
  <c r="G26"/>
  <c r="I26"/>
  <c r="K26"/>
  <c r="M26"/>
  <c r="O26"/>
  <c r="Q26"/>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E25"/>
  <c r="G25"/>
  <c r="I25"/>
  <c r="K25"/>
  <c r="M25"/>
  <c r="O25"/>
  <c r="Q25"/>
  <c r="R25"/>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24" i="15"/>
  <c r="O8" i="1"/>
  <c r="P8"/>
  <c r="O13"/>
  <c r="P13"/>
  <c r="F35" i="11"/>
  <c r="F36"/>
  <c r="F38"/>
  <c r="E37"/>
  <c r="F20"/>
  <c r="F21"/>
  <c r="C21"/>
  <c r="F7"/>
  <c r="C7"/>
  <c r="C5"/>
  <c r="F12" i="12"/>
  <c r="F13"/>
  <c r="F15"/>
  <c r="E14"/>
  <c r="E19"/>
  <c r="E20"/>
  <c r="E17"/>
  <c r="F22"/>
  <c r="F23"/>
  <c r="F55" i="9"/>
  <c r="O53"/>
  <c r="D89"/>
  <c r="C89"/>
  <c r="C87"/>
  <c r="G12" i="1"/>
  <c r="J55" i="9"/>
  <c r="B31" i="1"/>
  <c r="M20" i="15"/>
  <c r="T4" i="1"/>
  <c r="D3" i="35"/>
  <c r="E59" i="9"/>
  <c r="N55"/>
  <c r="K55"/>
  <c r="F59"/>
  <c r="N54"/>
  <c r="N53"/>
  <c r="E48"/>
  <c r="N52"/>
  <c r="O55"/>
  <c r="F56"/>
  <c r="O54"/>
  <c r="D101"/>
  <c r="C101"/>
  <c r="H104"/>
  <c r="D10" i="53"/>
  <c r="B26" i="72"/>
  <c r="C30" i="40"/>
  <c r="C28"/>
  <c r="C23" i="39"/>
  <c r="C19" i="40"/>
  <c r="D27" i="9"/>
  <c r="C25"/>
  <c r="E90"/>
  <c r="H77"/>
  <c r="D11" i="53"/>
  <c r="B27" i="72"/>
  <c r="D12" i="53"/>
  <c r="B28" i="72"/>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D101"/>
  <c r="E101"/>
  <c r="E87"/>
  <c r="E85"/>
  <c r="E81"/>
  <c r="E79"/>
  <c r="E77"/>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S505" i="31"/>
  <c r="S503"/>
  <c r="S501"/>
  <c r="S499"/>
  <c r="O27"/>
  <c r="O28"/>
  <c r="M27"/>
  <c r="M28"/>
  <c r="S25"/>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G125"/>
  <c r="U43"/>
  <c r="S28" i="31"/>
  <c r="S27"/>
  <c r="S26"/>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D8" i="53"/>
  <c r="B16"/>
  <c r="B33" i="72"/>
  <c r="C7" i="37"/>
  <c r="C7" i="34"/>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S8" i="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F54" i="9"/>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S21" i="6"/>
  <c r="L27"/>
  <c r="S26"/>
  <c r="S22"/>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T16"/>
  <c r="AE8"/>
  <c r="AG6"/>
  <c r="H109" i="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N61" i="9"/>
  <c r="H112"/>
  <c r="D21" i="53"/>
  <c r="B39" i="72"/>
  <c r="D19" i="53"/>
  <c r="B38" i="72"/>
  <c r="D20" i="53"/>
  <c r="B40" i="72"/>
  <c r="D127" i="9"/>
  <c r="D13" i="52"/>
  <c r="D12"/>
  <c r="D8" i="74"/>
  <c r="C8"/>
  <c r="AD3" i="71"/>
  <c r="B4" i="62"/>
  <c r="B71" i="72"/>
  <c r="C65" i="40"/>
  <c r="D63"/>
  <c r="G16" i="1"/>
  <c r="C36" i="11"/>
  <c r="C33"/>
  <c r="C39"/>
  <c r="C46"/>
  <c r="C45"/>
  <c r="C13" i="12"/>
  <c r="C30" i="69"/>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94" i="9"/>
  <c r="C92"/>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8" i="33"/>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20" i="31"/>
  <c r="B7" i="70"/>
  <c r="F68" i="15"/>
  <c r="C27" i="67"/>
  <c r="B2" i="34"/>
  <c r="B3"/>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85" i="9"/>
  <c r="C93"/>
  <c r="C86"/>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E80" i="9"/>
  <c r="E81"/>
  <c r="C80" i="15"/>
  <c r="C79"/>
  <c r="C58" i="67"/>
  <c r="C67"/>
  <c r="C68"/>
  <c r="C95" i="9"/>
  <c r="Q67" i="67"/>
  <c r="Q67" i="15"/>
  <c r="C96" i="9"/>
  <c r="E96"/>
  <c r="E97"/>
  <c r="C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<sst xmlns="http://schemas.openxmlformats.org/spreadsheetml/2006/main" count="8141" uniqueCount="3259">
  <si>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</si>
  <si>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</si>
  <si>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</si>
  <si>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</si>
  <si>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</si>
  <si>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</si>
  <si>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</si>
  <si>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</si>
  <si>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</si>
  <si>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</si>
  <si>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</si>
  <si>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</si>
  <si>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</si>
  <si>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</si>
  <si>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</si>
  <si>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</si>
  <si>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</si>
  <si>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</si>
  <si>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</si>
  <si>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</si>
  <si>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</si>
  <si>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</si>
  <si>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</si>
  <si>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</si>
  <si>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</si>
  <si>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</si>
  <si>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</si>
  <si>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</si>
  <si>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</si>
  <si>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</si>
  <si>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</si>
  <si>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</si>
  <si>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</si>
  <si>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</si>
  <si>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</si>
  <si>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</si>
  <si>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</si>
  <si>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</si>
  <si>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</si>
  <si>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</si>
  <si>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</si>
  <si>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</si>
  <si>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</si>
  <si>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</si>
  <si>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</si>
  <si>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</si>
  <si>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</si>
  <si>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</si>
  <si>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</si>
  <si>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</si>
  <si>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</si>
  <si>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</si>
  <si>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</si>
  <si>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</si>
  <si>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</si>
  <si>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</si>
  <si>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</si>
  <si>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</si>
  <si>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</si>
  <si>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</si>
  <si>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</si>
  <si>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</si>
  <si>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</si>
  <si>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</si>
  <si>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</si>
  <si>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</si>
  <si>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</si>
  <si>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</si>
  <si>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</si>
  <si>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</si>
  <si>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</si>
  <si>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</si>
  <si>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</si>
  <si>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</si>
  <si>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</si>
  <si>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</si>
  <si>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</si>
  <si>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</si>
  <si>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</si>
  <si>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</si>
  <si>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</si>
  <si>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</si>
  <si>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</si>
  <si>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</si>
  <si>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</si>
  <si>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</si>
  <si>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</si>
  <si>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</si>
  <si>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</si>
  <si>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</si>
  <si>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</si>
  <si>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</si>
  <si>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</si>
  <si>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</si>
  <si>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</si>
  <si>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</si>
  <si>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</si>
  <si>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</si>
  <si>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</si>
  <si>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</si>
  <si>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</si>
  <si>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</si>
  <si>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</si>
  <si>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</si>
  <si>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</si>
  <si>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</si>
  <si>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</si>
  <si>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</si>
  <si>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</si>
  <si>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</si>
  <si>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</si>
  <si>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</si>
  <si>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</si>
  <si>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</si>
  <si>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</si>
  <si>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</si>
  <si>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</si>
  <si>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</si>
  <si>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</si>
  <si>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</si>
  <si>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</si>
  <si>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</si>
  <si>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</si>
  <si>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</si>
  <si>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</si>
  <si>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</si>
  <si>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</si>
  <si>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</si>
  <si>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</si>
  <si>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</si>
  <si>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</si>
  <si>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</si>
  <si>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</si>
  <si>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</si>
  <si>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</si>
  <si>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</si>
  <si>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</si>
  <si>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</si>
  <si>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</si>
  <si>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</si>
  <si>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</si>
  <si>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</si>
  <si>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</si>
  <si>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</si>
  <si>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</si>
  <si>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</si>
  <si>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</si>
  <si>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</si>
  <si>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</si>
  <si>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</si>
  <si>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</si>
  <si>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</si>
  <si>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</si>
  <si>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</si>
  <si>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</si>
  <si>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</si>
  <si>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</si>
  <si>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</si>
  <si>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</si>
  <si>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</si>
  <si>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</si>
  <si>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</si>
  <si>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</si>
  <si>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</si>
  <si>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</si>
  <si>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</si>
  <si>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</si>
  <si>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</si>
  <si>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</si>
  <si>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</si>
  <si>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</si>
  <si>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</si>
  <si>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</si>
  <si>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</si>
  <si>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</si>
  <si>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</si>
  <si>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</si>
  <si>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</si>
  <si>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</si>
  <si>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</si>
  <si>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</si>
  <si>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</si>
  <si>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</si>
  <si>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</si>
  <si>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</si>
  <si>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</si>
  <si>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</si>
  <si>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</si>
  <si>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</si>
  <si>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</si>
  <si>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</si>
  <si>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</si>
  <si>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</si>
  <si>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</si>
  <si>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</si>
  <si>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</si>
  <si>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</si>
  <si>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</si>
  <si>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</si>
  <si>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</si>
  <si>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</si>
  <si>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</si>
  <si>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</si>
  <si>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</si>
  <si>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</si>
  <si>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</si>
  <si>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</si>
  <si>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</si>
  <si>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</si>
  <si>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</si>
  <si>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</si>
  <si>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</si>
  <si>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</si>
  <si>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</si>
  <si>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</si>
  <si>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</si>
  <si>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</si>
  <si>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</si>
  <si>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</si>
  <si>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</si>
  <si>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</si>
  <si>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</si>
  <si>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</si>
  <si>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</si>
  <si>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</si>
  <si>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</si>
  <si>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</si>
  <si>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</si>
  <si>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</si>
  <si>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</si>
  <si>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</si>
  <si>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</si>
  <si>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</si>
  <si>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</si>
  <si>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</si>
  <si>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</si>
  <si>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</si>
  <si>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</si>
  <si>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</si>
  <si>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</si>
  <si>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</si>
  <si>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</si>
  <si>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</si>
  <si>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</si>
  <si>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</si>
  <si>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</si>
  <si>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</si>
  <si>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</si>
  <si>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</si>
  <si>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</si>
  <si>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</si>
  <si>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</si>
  <si>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</si>
  <si>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</si>
  <si>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</si>
  <si>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</si>
  <si>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</si>
  <si>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</si>
  <si>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</si>
  <si>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</si>
  <si>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</si>
  <si>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</si>
  <si>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</si>
  <si>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</si>
  <si>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</si>
  <si>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</si>
  <si>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</si>
  <si>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</si>
  <si>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</si>
  <si>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</si>
  <si>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</si>
  <si>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</si>
  <si>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</si>
  <si>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</si>
  <si>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</si>
  <si>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</si>
  <si>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</si>
  <si>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</si>
  <si>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</si>
  <si>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</si>
  <si>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</si>
  <si>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</si>
  <si>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</si>
  <si>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</si>
  <si>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</si>
  <si>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</si>
  <si>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</si>
  <si>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</si>
  <si>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</si>
  <si>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</si>
  <si>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</si>
  <si>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</si>
  <si>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</si>
  <si>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</si>
  <si>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</si>
  <si>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</si>
  <si>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</si>
  <si>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</si>
  <si>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</si>
  <si>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</si>
  <si>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</si>
  <si>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</si>
  <si>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</si>
  <si>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</si>
  <si>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</si>
  <si>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</si>
  <si>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</si>
  <si>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</si>
  <si>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</si>
  <si>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</si>
  <si>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</si>
  <si>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</si>
  <si>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</si>
  <si>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</si>
  <si>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</si>
  <si>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</si>
  <si>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</si>
  <si>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</si>
  <si>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</si>
  <si>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</si>
  <si>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</si>
  <si>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</si>
  <si>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</si>
  <si>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</si>
  <si>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</si>
  <si>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</si>
  <si>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</si>
  <si>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</si>
  <si>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</si>
  <si>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</si>
  <si>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</si>
  <si>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</si>
  <si>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</si>
  <si>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</si>
  <si>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</si>
  <si>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</si>
  <si>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</si>
  <si>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</si>
  <si>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</si>
  <si>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</si>
  <si>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</si>
  <si>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</si>
  <si>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</si>
  <si>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</si>
  <si>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</si>
  <si>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</si>
  <si>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</si>
  <si>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</si>
  <si>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</si>
  <si>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</si>
  <si>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</si>
  <si>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</si>
  <si>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</si>
  <si>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</si>
  <si>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</si>
  <si>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</si>
  <si>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</si>
  <si>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</si>
  <si>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</si>
  <si>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</si>
  <si>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</si>
  <si>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</si>
  <si>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</si>
  <si>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</si>
  <si>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</si>
  <si>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</si>
  <si>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</si>
  <si>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</si>
  <si>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</si>
  <si>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</si>
  <si>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</si>
  <si>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</si>
  <si>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</si>
  <si>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</si>
  <si>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</si>
  <si>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</si>
  <si>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</si>
  <si>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</si>
  <si>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</si>
  <si>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</si>
  <si>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</si>
  <si>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</si>
  <si>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</si>
  <si>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</si>
  <si>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</si>
  <si>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</si>
  <si>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</si>
  <si>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</si>
  <si>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</si>
  <si>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</si>
  <si>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</si>
  <si>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</si>
  <si>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</si>
  <si>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</si>
  <si>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</si>
  <si>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</si>
  <si>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</si>
  <si>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</si>
  <si>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</si>
  <si>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</si>
  <si>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</si>
  <si>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</si>
  <si>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</si>
  <si>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</si>
  <si>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</si>
  <si>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</si>
  <si>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</si>
  <si>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</si>
  <si>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</si>
  <si>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</si>
  <si>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</si>
  <si>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</si>
  <si>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</si>
  <si>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</si>
  <si>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</si>
  <si>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</si>
  <si>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</si>
  <si>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</si>
  <si>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</si>
  <si>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</si>
  <si>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</si>
  <si>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</si>
  <si>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</si>
  <si>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</si>
  <si>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</si>
  <si>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</si>
  <si>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</si>
  <si>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</si>
  <si>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</si>
  <si>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</si>
  <si>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</si>
  <si>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</si>
  <si>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</si>
  <si>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</si>
  <si>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</si>
  <si>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</si>
  <si>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</si>
  <si>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</si>
  <si>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</si>
  <si>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</si>
  <si>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</si>
  <si>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</si>
  <si>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</si>
  <si>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</si>
  <si>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</si>
  <si>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</si>
  <si>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</si>
  <si>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</si>
  <si>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</si>
  <si>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</si>
  <si>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</si>
  <si>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</si>
  <si>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</si>
  <si>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</si>
  <si>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</si>
  <si>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</si>
  <si>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</si>
  <si>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</si>
  <si>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</si>
  <si>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</si>
  <si>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</si>
  <si>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</si>
  <si>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</si>
  <si>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</si>
  <si>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</si>
  <si>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</si>
  <si>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</si>
  <si>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</si>
  <si>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</si>
  <si>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</si>
  <si>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</si>
  <si>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</si>
  <si>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</si>
  <si>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</si>
  <si>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</si>
  <si>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</si>
  <si>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</si>
  <si>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</si>
  <si>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</si>
  <si>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</si>
  <si>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</si>
  <si>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</si>
  <si>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</si>
  <si>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</si>
  <si>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</si>
  <si>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</si>
  <si>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</si>
  <si>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</si>
  <si>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</si>
  <si>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</si>
  <si>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</si>
  <si>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</si>
  <si>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</si>
  <si>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</si>
  <si>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</si>
  <si>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</si>
  <si>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</si>
  <si>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</si>
  <si>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</si>
  <si>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</si>
  <si>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</si>
  <si>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</si>
  <si>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</si>
  <si>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</si>
  <si>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</si>
  <si>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</si>
  <si>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</si>
  <si>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</si>
  <si>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</si>
  <si>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</si>
  <si>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</si>
  <si>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</si>
  <si>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</si>
  <si>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</si>
  <si>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</si>
  <si>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</si>
  <si>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</si>
  <si>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</si>
  <si>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</si>
  <si>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</si>
  <si>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</si>
  <si>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</si>
  <si>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</si>
  <si>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</si>
  <si>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</si>
  <si>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</si>
  <si>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</si>
  <si>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</si>
  <si>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</si>
  <si>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</si>
  <si>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</si>
  <si>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</si>
  <si>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</si>
  <si>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</si>
  <si>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</si>
  <si>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</si>
  <si>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</si>
  <si>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</si>
  <si>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</si>
  <si>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</si>
  <si>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</si>
  <si>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</si>
  <si>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</si>
  <si>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</si>
  <si>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</si>
  <si>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</si>
  <si>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</si>
  <si>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</si>
  <si>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</si>
  <si>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</si>
  <si>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</si>
  <si>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</si>
  <si>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</si>
  <si>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</si>
  <si>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</si>
  <si>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</si>
  <si>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</si>
  <si>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</si>
  <si>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</si>
  <si>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</si>
  <si>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</si>
  <si>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</si>
  <si>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</si>
  <si>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</si>
  <si>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</si>
  <si>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</si>
  <si>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</si>
  <si>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</si>
  <si>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</si>
  <si>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</si>
  <si>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</si>
  <si>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</si>
  <si>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</si>
  <si>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</si>
  <si>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</si>
  <si>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</si>
  <si>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</si>
  <si>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</si>
  <si>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</si>
  <si>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</si>
  <si>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</si>
  <si>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</si>
  <si>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</si>
  <si>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</si>
  <si>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</si>
  <si>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</si>
  <si>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</si>
  <si>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</si>
  <si>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</si>
  <si>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</si>
  <si>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</si>
  <si>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</si>
  <si>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</si>
  <si>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</si>
  <si>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</si>
  <si>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</si>
  <si>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</si>
  <si>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</si>
  <si>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</si>
  <si>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</si>
  <si>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</si>
  <si>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</si>
  <si>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</si>
  <si>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</si>
  <si>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</si>
  <si>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</si>
  <si>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</si>
  <si>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</si>
  <si>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</si>
  <si>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</si>
  <si>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</si>
  <si>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</si>
  <si>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</si>
  <si>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</si>
  <si>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</si>
  <si>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</si>
  <si>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</si>
  <si>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</si>
  <si>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</si>
  <si>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</si>
  <si>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</si>
  <si>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</si>
  <si>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</si>
  <si>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</si>
  <si>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</si>
  <si>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</si>
  <si>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</si>
  <si>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</si>
  <si>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</si>
  <si>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</si>
  <si>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</si>
  <si>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</si>
  <si>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</si>
  <si>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</si>
  <si>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</si>
  <si>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</si>
  <si>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</si>
  <si>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</si>
  <si>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</si>
  <si>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</si>
  <si>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</si>
  <si>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</si>
  <si>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</si>
  <si>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</si>
  <si>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</si>
  <si>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</si>
  <si>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</si>
  <si>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</si>
  <si>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</si>
  <si>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</si>
  <si>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</si>
  <si>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</si>
  <si>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</si>
  <si>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</si>
  <si>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</si>
  <si>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</si>
  <si>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</si>
  <si>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</si>
  <si>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</si>
  <si>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</si>
  <si>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</si>
  <si>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</si>
  <si>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</si>
  <si>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</si>
  <si>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</si>
  <si>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</si>
  <si>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</si>
  <si>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</si>
  <si>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</si>
  <si>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</si>
  <si>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</si>
  <si>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</si>
  <si>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</si>
  <si>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</si>
  <si>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</si>
  <si>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</si>
  <si>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</si>
  <si>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</si>
  <si>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</si>
  <si>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</si>
  <si>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</si>
  <si>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</si>
  <si>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</si>
  <si>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</si>
  <si>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</si>
  <si>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</si>
  <si>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</si>
  <si>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</si>
  <si>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</si>
  <si>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</si>
  <si>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</si>
  <si>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</si>
  <si>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</si>
  <si>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</si>
  <si>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</si>
  <si>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</si>
  <si>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</si>
  <si>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</si>
  <si>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</si>
  <si>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</si>
  <si>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</si>
  <si>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</si>
  <si>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</si>
  <si>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</si>
  <si>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</si>
  <si>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</si>
  <si>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</si>
  <si>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</si>
  <si>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</si>
  <si>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</si>
  <si>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</si>
  <si>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</si>
  <si>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</si>
  <si>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</si>
  <si>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</si>
  <si>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</si>
  <si>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</si>
  <si>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</si>
  <si>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</si>
  <si>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</si>
  <si>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</si>
  <si>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</si>
  <si>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</si>
  <si>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</si>
  <si>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</si>
  <si>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</si>
  <si>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</si>
  <si>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</si>
  <si>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</si>
  <si>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</si>
  <si>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</si>
  <si>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</si>
  <si>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</si>
  <si>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</si>
  <si>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</si>
  <si>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</si>
  <si>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</si>
  <si>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</si>
  <si>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</si>
  <si>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</si>
  <si>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</si>
  <si>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</si>
  <si>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</si>
  <si>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</si>
  <si>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</si>
  <si>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</si>
  <si>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</si>
  <si>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</si>
  <si>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</si>
  <si>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</si>
  <si>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</si>
  <si>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</si>
  <si>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</si>
  <si>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</si>
  <si>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</si>
  <si>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</si>
  <si>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</si>
  <si>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</si>
  <si>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</si>
  <si>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</si>
  <si>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</si>
  <si>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</si>
  <si>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</si>
  <si>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</si>
  <si>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</si>
  <si>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</si>
  <si>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</si>
  <si>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</si>
  <si>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</si>
  <si>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</si>
  <si>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</si>
  <si>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</si>
  <si>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</si>
  <si>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</si>
  <si>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</si>
  <si>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</si>
  <si>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</si>
  <si>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</si>
  <si>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</si>
  <si>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</si>
  <si>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</si>
  <si>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</si>
  <si>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</si>
  <si>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</si>
  <si>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</si>
  <si>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</si>
  <si>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</si>
  <si>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</si>
  <si>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</si>
  <si>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</si>
  <si>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</si>
  <si>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</si>
  <si>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</si>
  <si>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</si>
  <si>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</si>
  <si>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</si>
  <si>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</si>
  <si>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</si>
  <si>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</si>
  <si>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</si>
  <si>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</si>
  <si>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</si>
  <si>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</si>
  <si>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</si>
  <si>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</si>
  <si>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</si>
  <si>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</si>
  <si>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</si>
  <si>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</si>
  <si>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</si>
  <si>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</si>
  <si>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</si>
  <si>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</si>
  <si>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</si>
  <si>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</si>
  <si>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</si>
  <si>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</si>
  <si>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</si>
  <si>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</si>
  <si>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</si>
  <si>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</si>
  <si>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</si>
  <si>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</si>
  <si>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</si>
  <si>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</si>
  <si>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</si>
  <si>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</si>
  <si>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</si>
  <si>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</si>
  <si>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</si>
  <si>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</si>
  <si>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</si>
  <si>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</si>
  <si>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</si>
  <si>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</si>
  <si>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</si>
  <si>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</si>
  <si>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</si>
  <si>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</si>
  <si>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</si>
  <si>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</si>
  <si>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</si>
  <si>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</si>
  <si>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</si>
  <si>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</si>
  <si>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</si>
  <si>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</si>
  <si>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</si>
  <si>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</si>
  <si>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</si>
  <si>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</si>
  <si>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</si>
  <si>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</si>
  <si>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</si>
  <si>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</si>
  <si>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</si>
  <si>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</si>
  <si>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</si>
  <si>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</si>
  <si>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</si>
  <si>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</si>
  <si>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</si>
  <si>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</si>
  <si>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</si>
  <si>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</si>
  <si>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</si>
  <si>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</si>
  <si>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</si>
  <si>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</si>
  <si>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</si>
  <si>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</si>
  <si>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</si>
  <si>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</si>
  <si>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</si>
  <si>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</si>
  <si>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</si>
  <si>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</si>
  <si>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</si>
  <si>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</si>
  <si>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</si>
  <si>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</si>
  <si>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</si>
  <si>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</si>
  <si>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</si>
  <si>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</si>
  <si>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</si>
  <si>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</si>
  <si>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</si>
  <si>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</si>
  <si>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</si>
  <si>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</si>
  <si>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</si>
  <si>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</si>
  <si>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</si>
  <si>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</si>
  <si>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</si>
  <si>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</si>
  <si>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</si>
  <si>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</si>
  <si>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</si>
  <si>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</si>
  <si>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</si>
  <si>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</si>
  <si>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</si>
  <si>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</si>
  <si>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</si>
  <si>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</si>
  <si>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</si>
  <si>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</si>
  <si>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</si>
  <si>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</si>
  <si>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</si>
  <si>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</si>
  <si>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</si>
  <si>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</si>
  <si>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</si>
  <si>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</si>
  <si>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</si>
  <si>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</si>
  <si>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</si>
  <si>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</si>
  <si>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</si>
  <si>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</si>
  <si>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</si>
  <si>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</si>
  <si>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</si>
  <si>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</si>
  <si>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</si>
  <si>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</si>
  <si>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</si>
  <si>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</si>
  <si>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</si>
  <si>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</si>
  <si>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</si>
  <si>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</si>
  <si>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</si>
  <si>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</si>
  <si>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</si>
  <si>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</si>
  <si>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</si>
  <si>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</si>
  <si>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</si>
  <si>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</si>
  <si>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</si>
  <si>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</si>
  <si>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</si>
  <si>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</si>
  <si>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</si>
  <si>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</si>
  <si>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</si>
  <si>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</si>
  <si>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</si>
  <si>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</si>
  <si>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</si>
  <si>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</si>
  <si>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</si>
  <si>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</si>
  <si>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</si>
  <si>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</si>
  <si>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</si>
  <si>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</si>
  <si>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</si>
  <si>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</si>
  <si>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</si>
  <si>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</si>
  <si>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</si>
  <si>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</si>
  <si>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</si>
  <si>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</si>
  <si>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</si>
  <si>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</si>
  <si>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</si>
  <si>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</si>
  <si>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</si>
  <si>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</si>
  <si>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</si>
  <si>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</si>
  <si>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</si>
  <si>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</si>
  <si>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</si>
  <si>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</si>
  <si>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</si>
  <si>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</si>
  <si>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</si>
  <si>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</si>
  <si>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</si>
  <si>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</si>
  <si>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</si>
  <si>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</si>
  <si>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</si>
  <si>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</si>
  <si>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</si>
  <si>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</si>
  <si>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</si>
  <si>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</si>
  <si>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</si>
  <si>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</si>
  <si>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</si>
  <si>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</si>
  <si>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</si>
  <si>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</si>
  <si>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</si>
  <si>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</si>
  <si>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</si>
  <si>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</si>
  <si>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</si>
  <si>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</si>
  <si>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</si>
  <si>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</si>
  <si>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</si>
  <si>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</si>
  <si>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</si>
  <si>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</si>
  <si>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</si>
  <si>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</si>
  <si>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</si>
  <si>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</si>
  <si>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</si>
  <si>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</si>
  <si>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</si>
  <si>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</si>
  <si>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</si>
  <si>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</si>
  <si>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</si>
  <si>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</si>
  <si>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</si>
  <si>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</si>
  <si>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</si>
  <si>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</si>
  <si>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</si>
  <si>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</si>
  <si>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</si>
  <si>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</si>
  <si>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</si>
  <si>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</si>
  <si>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</si>
  <si>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</si>
  <si>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</si>
  <si>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</si>
  <si>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</si>
  <si>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</si>
  <si>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</si>
  <si>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</si>
  <si>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</si>
  <si>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</si>
  <si>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</si>
  <si>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</si>
  <si>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</si>
  <si>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</si>
  <si>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</si>
  <si>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</si>
  <si>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</si>
  <si>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</si>
  <si>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</si>
  <si>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</si>
  <si>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</si>
  <si>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</si>
  <si>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</si>
  <si>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</si>
  <si>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</si>
  <si>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</si>
  <si>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</si>
  <si>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</si>
  <si>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</si>
  <si>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</si>
  <si>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</si>
  <si>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</si>
  <si>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</si>
  <si>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</si>
  <si>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</si>
  <si>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</si>
  <si>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</si>
  <si>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</si>
  <si>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</si>
  <si>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</si>
  <si>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</si>
  <si>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</si>
  <si>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</si>
  <si>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</si>
  <si>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</si>
  <si>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</si>
  <si>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</si>
  <si>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</si>
  <si>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</si>
  <si>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</si>
  <si>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</si>
  <si>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</si>
  <si>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</si>
  <si>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</si>
  <si>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</si>
  <si>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</si>
  <si>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</si>
  <si>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</si>
  <si>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</si>
  <si>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</si>
  <si>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</si>
  <si>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</si>
  <si>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</si>
  <si>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</si>
  <si>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</si>
  <si>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</si>
  <si>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</si>
  <si>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</si>
  <si>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</si>
  <si>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</si>
  <si>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</si>
  <si>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</si>
  <si>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</si>
  <si>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</si>
  <si>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</si>
  <si>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</si>
  <si>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</si>
  <si>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</si>
  <si>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</si>
  <si>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</si>
  <si>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</si>
  <si>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</si>
  <si>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</si>
  <si>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</si>
  <si>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</si>
  <si>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</si>
  <si>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</si>
  <si>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</si>
  <si>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</si>
  <si>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</si>
  <si>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</si>
  <si>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</si>
  <si>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</si>
  <si>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</si>
  <si>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</si>
  <si>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</si>
  <si>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</si>
  <si>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</si>
  <si>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</si>
  <si>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</si>
  <si>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</si>
  <si>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</si>
  <si>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</si>
  <si>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</si>
  <si>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</si>
  <si>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</si>
  <si>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</si>
  <si>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</si>
  <si>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</si>
  <si>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</si>
  <si>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</si>
  <si>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</si>
  <si>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</si>
  <si>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</si>
  <si>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</si>
  <si>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</si>
  <si>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</si>
  <si>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</si>
  <si>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</si>
  <si>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</si>
  <si>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</si>
  <si>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</si>
  <si>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</si>
  <si>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</si>
  <si>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</si>
  <si>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</si>
  <si>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</si>
  <si>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</si>
  <si>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</si>
  <si>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</si>
  <si>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</si>
  <si>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</si>
  <si>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</si>
  <si>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</si>
  <si>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</si>
  <si>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</si>
  <si>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</si>
  <si>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</si>
  <si>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</si>
  <si>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</si>
  <si>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</si>
  <si>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</si>
  <si>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</si>
  <si>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</si>
  <si>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</si>
  <si>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</si>
  <si>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</si>
  <si>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</si>
  <si>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</si>
  <si>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</si>
  <si>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</si>
  <si>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</si>
  <si>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</si>
  <si>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</si>
  <si>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</si>
  <si>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</si>
  <si>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</si>
  <si>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</si>
  <si>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</si>
  <si>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</si>
  <si>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</si>
  <si>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</si>
  <si>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</si>
  <si>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</si>
  <si>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</si>
  <si>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</si>
  <si>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</si>
  <si>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</si>
  <si>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</si>
  <si>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</si>
  <si>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</si>
  <si>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</si>
  <si>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</si>
  <si>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</si>
  <si>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</si>
  <si>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</si>
  <si>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</si>
  <si>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</si>
  <si>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</si>
  <si>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</si>
  <si>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</si>
  <si>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</si>
  <si>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</si>
  <si>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</si>
  <si>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</si>
  <si>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</si>
  <si>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</si>
  <si>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</si>
  <si>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</si>
  <si>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</si>
  <si>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</si>
  <si>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</si>
  <si>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</si>
  <si>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</si>
  <si>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</si>
  <si>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</si>
  <si>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</si>
  <si>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</si>
  <si>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</si>
  <si>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</si>
  <si>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</si>
  <si>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</si>
  <si>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</si>
  <si>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</si>
  <si>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</si>
  <si>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</si>
  <si>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</si>
  <si>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</si>
  <si>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</si>
  <si>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</si>
  <si>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</si>
  <si>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</si>
  <si>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</si>
  <si>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</si>
  <si>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</si>
  <si>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</si>
  <si>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</si>
  <si>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</si>
  <si>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</si>
  <si>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</si>
  <si>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</si>
  <si>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</si>
  <si>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</si>
  <si>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</si>
  <si>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</si>
  <si>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</si>
  <si>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</si>
  <si>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</si>
  <si>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</si>
  <si>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</si>
  <si>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</si>
  <si>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</si>
  <si>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</si>
  <si>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</si>
  <si>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</si>
  <si>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</si>
  <si>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</si>
  <si>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</si>
  <si>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</si>
  <si>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</si>
  <si>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</si>
  <si>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</si>
  <si>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</si>
  <si>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</si>
  <si>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</si>
  <si>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</si>
  <si>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</si>
  <si>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</si>
  <si>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</si>
  <si>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</si>
  <si>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</si>
  <si>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</si>
  <si>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</si>
  <si>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</si>
  <si>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</si>
  <si>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</si>
  <si>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</si>
  <si>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</si>
  <si>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</si>
  <si>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</si>
  <si>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</si>
  <si>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</si>
  <si>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</si>
  <si>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</si>
  <si>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</si>
  <si>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</si>
  <si>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</si>
  <si>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</si>
  <si>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</si>
  <si>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</si>
  <si>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</si>
  <si>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</si>
  <si>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</si>
  <si>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</si>
  <si>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</si>
  <si>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</si>
  <si>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</si>
  <si>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</si>
  <si>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</si>
  <si>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</si>
  <si>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</si>
  <si>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</si>
  <si>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</si>
  <si>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</si>
  <si>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</si>
  <si>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</si>
  <si>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</si>
  <si>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</si>
  <si>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</si>
  <si>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</si>
  <si>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</si>
  <si>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</si>
  <si>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</si>
  <si>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</si>
  <si>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</si>
  <si>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</si>
  <si>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</si>
  <si>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</si>
  <si>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</si>
  <si>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</si>
  <si>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</si>
  <si>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</si>
  <si>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</si>
  <si>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</si>
  <si>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</si>
  <si>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</si>
  <si>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</si>
  <si>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</si>
  <si>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</si>
  <si>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</si>
  <si>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</si>
  <si>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</si>
  <si>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</si>
  <si>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</si>
  <si>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</si>
  <si>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</si>
  <si>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</si>
  <si>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</si>
  <si>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</si>
  <si>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</si>
  <si>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</si>
  <si>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</si>
  <si>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</si>
  <si>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</si>
  <si>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</si>
  <si>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</si>
  <si>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</si>
  <si>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</si>
  <si>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</si>
  <si>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</si>
  <si>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</si>
  <si>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</si>
  <si>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</si>
  <si>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</si>
  <si>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</si>
  <si>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</si>
  <si>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</si>
  <si>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</si>
  <si>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</si>
  <si>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</si>
  <si>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</si>
  <si>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</si>
  <si>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</si>
  <si>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</si>
  <si>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</si>
  <si>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</si>
  <si>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</si>
  <si>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</si>
  <si>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</si>
  <si>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</si>
  <si>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</si>
  <si>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</si>
  <si>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</si>
  <si>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</si>
  <si>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</si>
  <si>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</si>
  <si>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</si>
  <si>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</si>
  <si>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</si>
  <si>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</si>
  <si>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</si>
  <si>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</si>
  <si>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</si>
  <si>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</si>
  <si>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</si>
  <si>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</si>
  <si>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</si>
  <si>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</si>
  <si>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</si>
  <si>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</si>
  <si>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</si>
  <si>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</si>
  <si>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</si>
  <si>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</si>
  <si>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</si>
  <si>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</si>
  <si>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</si>
  <si>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</si>
  <si>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</si>
  <si>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</si>
  <si>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</si>
  <si>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</si>
  <si>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</si>
  <si>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</si>
  <si>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</si>
  <si>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</si>
  <si>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</si>
  <si>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</si>
  <si>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</si>
  <si>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</si>
  <si>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</si>
  <si>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</si>
  <si>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</si>
  <si>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</si>
  <si>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</si>
  <si>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</si>
  <si>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</si>
  <si>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</si>
  <si>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</si>
  <si>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</si>
  <si>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</si>
  <si>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</si>
  <si>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</si>
  <si>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</si>
  <si>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</si>
  <si>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</si>
  <si>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</si>
  <si>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</si>
  <si>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</si>
  <si>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</si>
  <si>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</si>
  <si>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</si>
  <si>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</si>
  <si>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</si>
  <si>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</si>
  <si>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</si>
  <si>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</si>
  <si>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</si>
  <si>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</si>
  <si>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</si>
  <si>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</si>
  <si>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</si>
  <si>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</si>
  <si>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</si>
  <si>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</si>
  <si>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</si>
  <si>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</si>
  <si>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</si>
  <si>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</si>
  <si>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</si>
  <si>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</si>
  <si>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</si>
  <si>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</si>
  <si>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</si>
  <si>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</si>
  <si>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</si>
  <si>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</si>
  <si>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</si>
  <si>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</si>
  <si>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</si>
  <si>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</si>
  <si>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</si>
  <si>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</si>
  <si>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</si>
  <si>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</si>
  <si>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</si>
  <si>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</si>
  <si>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</si>
  <si>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</si>
  <si>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</si>
  <si>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</si>
  <si>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</si>
  <si>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</si>
  <si>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</si>
  <si>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</si>
  <si>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</si>
  <si>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</si>
  <si>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</si>
  <si>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</si>
  <si>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</si>
  <si>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</si>
  <si>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</si>
  <si>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</si>
  <si>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</si>
  <si>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</si>
  <si>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</si>
  <si>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</si>
  <si>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</si>
  <si>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</si>
  <si>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</si>
  <si>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</si>
  <si>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</si>
  <si>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</si>
  <si>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</si>
  <si>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</si>
  <si>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</si>
  <si>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</si>
  <si>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</si>
  <si>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</si>
  <si>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</si>
  <si>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</si>
  <si>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</si>
  <si>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</si>
  <si>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</si>
  <si>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</si>
  <si>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</si>
  <si>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</si>
  <si>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</si>
  <si>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</si>
  <si>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</si>
  <si>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</si>
  <si>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</si>
  <si>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</si>
  <si>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</si>
  <si>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</si>
  <si>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</si>
  <si>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</si>
  <si>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</si>
  <si>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</si>
  <si>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</si>
  <si>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</si>
  <si>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</si>
  <si>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</si>
  <si>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</si>
  <si>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</si>
  <si>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</si>
  <si>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</si>
  <si>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</si>
  <si>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</si>
  <si>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</si>
  <si>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</si>
  <si>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</si>
  <si>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</si>
  <si>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</si>
  <si>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</si>
  <si>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</si>
  <si>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</si>
  <si>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</si>
  <si>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</si>
  <si>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</si>
  <si>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</si>
  <si>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</si>
  <si>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</si>
  <si>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</si>
  <si>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</si>
  <si>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</si>
  <si>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</si>
  <si>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</si>
  <si>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</si>
  <si>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</si>
  <si>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</si>
  <si>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</si>
  <si>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</si>
  <si>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</si>
  <si>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</si>
  <si>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</si>
  <si>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</si>
  <si>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</si>
  <si>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</si>
  <si>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</si>
  <si>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</si>
  <si>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</si>
  <si>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</si>
  <si>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</si>
  <si>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</si>
  <si>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</si>
  <si>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</si>
  <si>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</si>
  <si>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</si>
  <si>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</si>
  <si>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</si>
  <si>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</si>
  <si>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</si>
  <si>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</si>
  <si>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</si>
  <si>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</si>
  <si>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</si>
  <si>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</si>
  <si>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</si>
  <si>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</si>
  <si>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</si>
  <si>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</si>
  <si>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</si>
  <si>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</si>
  <si>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</si>
  <si>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</si>
  <si>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</si>
  <si>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</si>
  <si>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</si>
  <si>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</si>
  <si>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</si>
  <si>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</si>
  <si>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</si>
  <si>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</si>
  <si>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</si>
  <si>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</si>
  <si>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</si>
  <si>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</si>
  <si>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</si>
  <si>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</si>
  <si>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</si>
  <si>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</si>
  <si>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</si>
  <si>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</si>
  <si>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</si>
  <si>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</si>
  <si>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</si>
  <si>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</si>
  <si>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</si>
  <si>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</si>
  <si>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</si>
  <si>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</si>
  <si>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</si>
  <si>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</si>
  <si>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</si>
  <si>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</si>
  <si>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</si>
  <si>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</si>
  <si>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</si>
  <si>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</si>
  <si>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</si>
  <si>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</si>
  <si>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</si>
  <si>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</si>
  <si>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</si>
  <si>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</si>
  <si>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</si>
  <si>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</si>
  <si>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</si>
  <si>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</si>
  <si>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</si>
  <si>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</si>
  <si>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</si>
  <si>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</si>
  <si>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</si>
  <si>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</si>
  <si>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</si>
  <si>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</si>
  <si>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</si>
  <si>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</si>
  <si>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</si>
  <si>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</si>
  <si>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</si>
  <si>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</si>
  <si>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</si>
  <si>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</si>
  <si>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</si>
  <si>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</si>
  <si>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</si>
  <si>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</si>
  <si>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</si>
  <si>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</si>
  <si>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</si>
  <si>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</si>
  <si>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</si>
  <si>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</si>
  <si>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</si>
  <si>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</si>
  <si>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</si>
  <si>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</si>
  <si>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</si>
  <si>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</si>
  <si>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</si>
  <si>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</si>
  <si>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</si>
  <si>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</si>
  <si>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</si>
  <si>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</si>
  <si>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</si>
  <si>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</si>
  <si>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</si>
  <si>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</si>
  <si>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</si>
  <si>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</si>
  <si>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</si>
  <si>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</si>
  <si>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</si>
  <si>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</si>
  <si>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</si>
  <si>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</si>
  <si>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</si>
  <si>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</si>
  <si>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</si>
  <si>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</si>
  <si>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</si>
  <si>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</si>
  <si>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</si>
  <si>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</si>
  <si>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</si>
  <si>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</si>
  <si>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</si>
  <si>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</si>
  <si>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</si>
  <si>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</si>
  <si>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</si>
  <si>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</si>
  <si>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</si>
  <si>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</si>
  <si>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</si>
  <si>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</si>
  <si>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</si>
  <si>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</si>
  <si>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</si>
  <si>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</si>
  <si>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</si>
  <si>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</si>
  <si>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</si>
  <si>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</si>
  <si>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</si>
  <si>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</si>
  <si>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</si>
  <si>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</si>
  <si>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</si>
  <si>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</si>
  <si>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</si>
  <si>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</si>
  <si>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</si>
  <si>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</si>
  <si>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</si>
  <si>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</si>
  <si>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</si>
  <si>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</si>
  <si>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</si>
  <si>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</si>
  <si>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</si>
  <si>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</si>
  <si>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</si>
  <si>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</si>
  <si>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</si>
  <si>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</si>
  <si>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</si>
  <si>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</si>
  <si>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</si>
  <si>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</si>
  <si>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</si>
  <si>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</si>
  <si>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</si>
  <si>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</si>
  <si>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</si>
  <si>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</si>
  <si>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</si>
  <si>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</si>
  <si>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</si>
  <si>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</si>
  <si>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</si>
  <si>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</si>
  <si>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</si>
  <si>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</si>
  <si>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</si>
  <si>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</si>
  <si>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</si>
  <si>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</si>
  <si>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</si>
  <si>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</si>
  <si>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</si>
  <si>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</si>
  <si>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</si>
  <si>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</si>
  <si>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</si>
  <si>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</si>
  <si>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</si>
  <si>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</si>
  <si>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</si>
  <si>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</si>
  <si>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</si>
  <si>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</si>
  <si>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</si>
  <si>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</si>
  <si>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</si>
  <si>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</si>
  <si>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</si>
  <si>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</si>
  <si>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</si>
  <si>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</si>
  <si>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</si>
  <si>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</si>
  <si>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</si>
  <si>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</si>
  <si>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</si>
  <si>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</si>
  <si>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</si>
  <si>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</si>
  <si>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</si>
  <si>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</si>
  <si>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</si>
  <si>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</si>
  <si>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</si>
  <si>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</si>
  <si>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</si>
  <si>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</si>
  <si>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</si>
  <si>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</si>
  <si>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</si>
  <si>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</si>
  <si>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</si>
  <si>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</si>
  <si>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</si>
  <si>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</si>
  <si>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</si>
  <si>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</si>
  <si>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</si>
  <si>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</si>
  <si>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</si>
  <si>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</si>
  <si>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</si>
  <si>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</si>
  <si>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</si>
  <si>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</si>
  <si>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</si>
  <si>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</si>
  <si>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</si>
  <si>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</si>
  <si>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</si>
  <si>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</si>
  <si>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</si>
  <si>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</si>
  <si>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</si>
  <si>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</si>
  <si>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</si>
  <si>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</si>
  <si>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</si>
  <si>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</si>
  <si>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</si>
  <si>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</si>
  <si>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</si>
  <si>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</si>
  <si>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</si>
  <si>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</si>
  <si>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</si>
  <si>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</si>
  <si>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</si>
  <si>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</si>
  <si>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</si>
  <si>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</si>
  <si>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</si>
  <si>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</si>
  <si>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</si>
  <si>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</si>
  <si>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</si>
  <si>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</si>
  <si>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</si>
  <si>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</si>
  <si>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</si>
  <si>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</si>
  <si>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</si>
  <si>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</si>
  <si>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</si>
  <si>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</si>
  <si>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</si>
  <si>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</si>
  <si>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</si>
  <si>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</si>
  <si>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</si>
  <si>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</si>
  <si>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</si>
  <si>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</si>
  <si>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</si>
  <si>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</si>
  <si>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</si>
  <si>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</si>
  <si>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</si>
  <si>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</si>
  <si>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</si>
  <si>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</si>
  <si>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</si>
  <si>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</si>
  <si>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</si>
  <si>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</si>
  <si>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</si>
  <si>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</si>
  <si>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</si>
  <si>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</si>
  <si>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</si>
  <si>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</si>
  <si>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</si>
  <si>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</si>
  <si>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</si>
  <si>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</si>
  <si>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</si>
  <si>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</si>
  <si>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</si>
  <si>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</si>
  <si>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</si>
  <si>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</si>
  <si>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</si>
  <si>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</si>
  <si>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</si>
  <si>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</si>
  <si>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</si>
  <si>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</si>
  <si>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</si>
  <si>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</si>
  <si>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</si>
  <si>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</si>
  <si>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</si>
  <si>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</si>
  <si>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</si>
  <si>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</si>
  <si>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</si>
  <si>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</si>
  <si>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</si>
  <si>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</si>
  <si>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</si>
  <si>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</si>
  <si>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</si>
  <si>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</si>
  <si>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</si>
  <si>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</si>
  <si>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</si>
  <si>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</si>
  <si>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</si>
  <si>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</si>
  <si>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</si>
  <si>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</si>
  <si>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</si>
  <si>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</si>
  <si>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</si>
  <si>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</si>
  <si>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</si>
  <si>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</si>
  <si>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</si>
  <si>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</si>
  <si>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</si>
  <si>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</si>
  <si>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</si>
  <si>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</si>
  <si>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</si>
  <si>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</si>
  <si>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</si>
  <si>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</si>
  <si>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</si>
  <si>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</si>
  <si>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</si>
  <si>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</si>
  <si>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</si>
  <si>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</si>
  <si>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</si>
  <si>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</si>
  <si>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</si>
  <si>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</si>
  <si>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</si>
  <si>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</si>
  <si>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</si>
  <si>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</si>
  <si>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</si>
  <si>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</si>
  <si>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</si>
  <si>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</si>
  <si>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</si>
  <si>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</si>
  <si>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</si>
  <si>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</si>
  <si>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</si>
  <si>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</si>
  <si>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</si>
  <si>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</si>
  <si>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</si>
  <si>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</si>
  <si>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</si>
  <si>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</si>
  <si>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</si>
  <si>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</si>
  <si>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</si>
  <si>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</si>
  <si>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</si>
  <si>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</si>
  <si>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</si>
  <si>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</si>
  <si>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</si>
  <si>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</si>
  <si>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</si>
  <si>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</si>
  <si>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</si>
  <si>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</si>
  <si>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</si>
  <si>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</si>
  <si>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</si>
  <si>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</si>
  <si>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</si>
  <si>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</si>
  <si>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</si>
  <si>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</si>
  <si>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</si>
  <si>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</si>
  <si>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</si>
  <si>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</si>
  <si>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</si>
  <si>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</si>
  <si>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</si>
  <si>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</si>
  <si>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</si>
  <si>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</si>
  <si>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</si>
  <si>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</si>
  <si>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</si>
  <si>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</si>
  <si>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</si>
  <si>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</si>
  <si>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</si>
  <si>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</si>
  <si>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</si>
  <si>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</si>
  <si>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</si>
  <si>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</si>
  <si>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</si>
  <si>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</si>
  <si>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</si>
  <si>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</si>
  <si>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</si>
  <si>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</si>
  <si>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</si>
  <si>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</si>
  <si>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</si>
  <si>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</si>
  <si>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</si>
  <si>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</si>
  <si>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</si>
  <si>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</si>
  <si>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</si>
  <si>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</si>
  <si>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</si>
  <si>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</si>
  <si>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</si>
  <si>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</si>
  <si>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</si>
  <si>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</si>
  <si>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</si>
  <si>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</si>
  <si>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</si>
  <si>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</si>
  <si>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</si>
  <si>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</si>
  <si>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</si>
  <si>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</si>
  <si>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</si>
  <si>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</si>
  <si>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</si>
  <si>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</si>
  <si>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</si>
  <si>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</si>
  <si>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</si>
  <si>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</si>
  <si>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</si>
  <si>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</si>
  <si>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</si>
  <si>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</si>
  <si>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</si>
  <si>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</si>
  <si>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</si>
  <si>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</si>
  <si>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</si>
  <si>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</si>
  <si>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</si>
  <si>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</si>
  <si>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</si>
  <si>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</si>
  <si>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</si>
  <si>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</si>
  <si>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</si>
  <si>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</si>
  <si>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</si>
  <si>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</si>
  <si>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</si>
  <si>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</si>
  <si>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</si>
  <si>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</si>
  <si>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</si>
  <si>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</si>
  <si>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</si>
  <si>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</si>
  <si>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</si>
  <si>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</si>
  <si>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</si>
  <si>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</si>
  <si>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</si>
  <si>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</si>
  <si>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</si>
  <si>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</si>
  <si>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</si>
  <si>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</si>
  <si>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</si>
  <si>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</si>
  <si>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</si>
  <si>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</si>
  <si>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</si>
  <si>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</si>
  <si>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</si>
  <si>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</si>
  <si>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</si>
  <si>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</si>
  <si>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</si>
  <si>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</si>
  <si>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</si>
  <si>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</si>
  <si>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</si>
  <si>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</si>
  <si>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</si>
  <si>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</si>
  <si>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</si>
  <si>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</si>
  <si>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</si>
  <si>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</si>
  <si>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</si>
  <si>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</si>
  <si>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</si>
  <si>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</si>
  <si>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</si>
  <si>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</si>
  <si>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</si>
  <si>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</si>
  <si>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</si>
  <si>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</si>
  <si>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</si>
  <si>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</si>
  <si>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</si>
  <si>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</si>
  <si>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</si>
  <si>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</si>
  <si>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</si>
  <si>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</si>
  <si>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</si>
  <si>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</si>
  <si>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</si>
  <si>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</si>
  <si>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</si>
  <si>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</si>
  <si>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</si>
  <si>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</si>
  <si>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</si>
  <si>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</si>
  <si>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</si>
  <si>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</si>
  <si>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</si>
  <si>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</si>
  <si>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</si>
  <si>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</si>
  <si>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</si>
  <si>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</si>
  <si>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</si>
  <si>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</si>
  <si>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</si>
  <si>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</si>
  <si>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</si>
  <si>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</si>
  <si>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</si>
  <si>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</si>
  <si>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</si>
  <si>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</si>
  <si>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</si>
  <si>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</si>
  <si>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</si>
  <si>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</si>
  <si>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</si>
  <si>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</si>
  <si>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</si>
  <si>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</si>
  <si>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</si>
  <si>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</si>
  <si>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</si>
  <si>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</si>
  <si>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</si>
  <si>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</si>
  <si>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</si>
  <si>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</si>
  <si>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</si>
  <si>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</si>
  <si>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</si>
  <si>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</si>
  <si>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</si>
  <si>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</si>
  <si>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</si>
  <si>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</si>
  <si>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</si>
  <si>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</si>
  <si>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</si>
  <si>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</si>
  <si>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</si>
  <si>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</si>
  <si>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</si>
  <si>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</si>
  <si>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</si>
  <si>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</si>
  <si>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</si>
  <si>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</si>
  <si>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</si>
  <si>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</si>
  <si>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</si>
  <si>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</si>
  <si>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</si>
  <si>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</si>
  <si>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</si>
  <si>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</si>
  <si>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</si>
  <si>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</si>
  <si>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</si>
  <si>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</si>
  <si>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</si>
  <si>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</si>
  <si>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</si>
  <si>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</si>
  <si>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</si>
  <si>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</si>
  <si>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</si>
  <si>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</si>
  <si>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</si>
  <si>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</si>
  <si>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</si>
  <si>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</si>
  <si>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</si>
  <si>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</si>
  <si>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</si>
  <si>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</si>
  <si>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</si>
  <si>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</si>
  <si>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</si>
  <si>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</si>
  <si>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</si>
  <si>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</si>
  <si>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</si>
  <si>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</si>
  <si>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</si>
  <si>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</si>
  <si>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</si>
  <si>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</si>
  <si>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</si>
  <si>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</si>
  <si>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</si>
  <si>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</si>
  <si>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</si>
  <si>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</si>
  <si>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</si>
  <si>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</si>
  <si>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</si>
  <si>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</si>
  <si>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</si>
  <si>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</si>
  <si>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</si>
  <si>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</si>
  <si>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</si>
  <si>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</si>
  <si>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</si>
  <si>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</si>
  <si>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</si>
  <si>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</si>
  <si>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</si>
  <si>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</si>
  <si>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</si>
  <si>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</si>
  <si>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</si>
  <si>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</si>
  <si>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</si>
  <si>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</si>
  <si>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</si>
  <si>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</si>
  <si>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</si>
  <si>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</si>
  <si>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</si>
  <si>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</si>
  <si>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</si>
  <si>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</si>
  <si>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</si>
  <si>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</si>
  <si>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</si>
  <si>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</si>
  <si>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</si>
  <si>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</si>
  <si>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</si>
  <si>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</si>
  <si>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</si>
  <si>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</si>
  <si>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</si>
  <si>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</si>
  <si>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</si>
  <si>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</si>
  <si>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</si>
  <si>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</si>
  <si>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</si>
  <si>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</si>
  <si>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</si>
  <si>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</si>
  <si>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</si>
  <si>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</si>
  <si>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</si>
  <si>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</si>
  <si>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</si>
  <si>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</si>
  <si>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</si>
  <si>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</si>
  <si>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</si>
  <si>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</si>
  <si>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</si>
  <si>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</si>
  <si>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</si>
  <si>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</si>
  <si>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</si>
  <si>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</si>
  <si>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</si>
  <si>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</si>
  <si>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</si>
  <si>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</si>
  <si>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</si>
  <si>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</si>
  <si>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</si>
  <si>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</si>
  <si>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</si>
  <si>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</si>
  <si>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</si>
  <si>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</si>
  <si>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</si>
  <si>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</si>
  <si>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</si>
  <si>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</si>
  <si>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</si>
  <si>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</si>
  <si>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</si>
  <si>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</si>
  <si>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</si>
  <si>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</si>
  <si>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</si>
  <si>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</si>
  <si>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</si>
  <si>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</si>
  <si>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</si>
  <si>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</si>
  <si>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</si>
  <si>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</si>
  <si>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</si>
  <si>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</si>
  <si>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</si>
  <si>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</si>
  <si>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</si>
  <si>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</si>
  <si>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</si>
  <si>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</si>
  <si>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</si>
  <si>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</si>
  <si>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</si>
  <si>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</si>
  <si>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</si>
  <si>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</si>
  <si>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</si>
  <si>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</si>
  <si>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</si>
  <si>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</si>
  <si>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</si>
  <si>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</si>
  <si>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</si>
  <si>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</si>
  <si>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</si>
  <si>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</si>
  <si>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</si>
  <si>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</si>
  <si>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</si>
  <si>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</si>
  <si>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</si>
  <si>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</si>
  <si>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</si>
  <si>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</si>
  <si>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</si>
  <si>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</si>
  <si>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</si>
  <si>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</si>
  <si>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</si>
  <si>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</si>
  <si>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</si>
  <si>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</si>
  <si>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</si>
  <si>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</si>
  <si>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</si>
  <si>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</si>
  <si>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</si>
  <si>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</si>
  <si>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</si>
  <si>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</si>
  <si>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</si>
  <si>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</si>
  <si>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</si>
  <si>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</si>
  <si>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</si>
  <si>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</si>
  <si>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</si>
  <si>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</si>
  <si>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</si>
  <si>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</si>
  <si>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</si>
  <si>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</si>
  <si>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</si>
  <si>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</si>
  <si>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</si>
  <si>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</si>
  <si>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</si>
  <si>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</si>
  <si>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</si>
  <si>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</si>
  <si>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</si>
  <si>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</si>
  <si>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</si>
  <si>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</si>
  <si>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</si>
  <si>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</si>
  <si>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</si>
  <si>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</si>
  <si>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</si>
  <si>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</si>
  <si>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</si>
  <si>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</si>
  <si>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</si>
  <si>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</si>
  <si>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</si>
  <si>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</si>
  <si>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</si>
  <si>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</si>
  <si>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</si>
  <si>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</si>
  <si>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</si>
  <si>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</si>
  <si>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</si>
  <si>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</si>
  <si>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</si>
  <si>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</si>
  <si>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</si>
  <si>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</si>
  <si>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</si>
  <si>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</si>
  <si>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</si>
  <si>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</si>
  <si>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</si>
  <si>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</si>
  <si>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</si>
  <si>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</si>
  <si>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</si>
  <si>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</si>
  <si>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</si>
  <si>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</si>
  <si>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</si>
  <si>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</si>
  <si>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</si>
  <si>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</si>
  <si>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</si>
  <si>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</si>
  <si>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</si>
  <si>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</si>
  <si>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</si>
  <si>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</si>
  <si>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</si>
  <si>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</si>
  <si>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</si>
  <si>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</si>
  <si>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</si>
  <si>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</si>
  <si>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</si>
  <si>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</si>
  <si>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</si>
  <si>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</si>
  <si>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</si>
  <si>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</si>
  <si>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</si>
  <si>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</si>
  <si>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</si>
  <si>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</si>
  <si>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</si>
  <si>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</si>
  <si>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</si>
  <si>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</si>
  <si>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</si>
  <si>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</si>
  <si>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</si>
  <si>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</si>
  <si>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</si>
  <si>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</si>
  <si>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</si>
  <si>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</si>
  <si>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</si>
  <si>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</si>
  <si>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</si>
  <si>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</si>
  <si>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</si>
  <si>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</si>
  <si>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</si>
  <si>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</si>
  <si>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</si>
  <si>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</si>
  <si>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</si>
  <si>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</si>
  <si>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</si>
  <si>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</si>
  <si>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</si>
  <si>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</si>
  <si>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</si>
  <si>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</si>
  <si>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</si>
  <si>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</si>
  <si>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</si>
  <si>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</si>
  <si>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</si>
  <si>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</si>
  <si>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</si>
  <si>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</si>
  <si>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</si>
  <si>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</si>
  <si>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</si>
  <si>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</si>
  <si>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</si>
  <si>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</si>
  <si>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</si>
  <si>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</si>
  <si>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</si>
  <si>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</si>
  <si>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</si>
  <si>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</si>
  <si>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</si>
  <si>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</si>
  <si>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</si>
  <si>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</si>
  <si>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</si>
  <si>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</si>
  <si>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</si>
  <si>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</si>
  <si>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</si>
  <si>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</si>
  <si>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</si>
  <si>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</si>
  <si>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</si>
  <si>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</si>
  <si>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</si>
  <si>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</si>
  <si>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</si>
  <si>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</si>
  <si>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</si>
  <si>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</si>
  <si>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</si>
  <si>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</si>
  <si>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</si>
  <si>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</si>
  <si>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</si>
  <si>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</si>
  <si>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</si>
  <si>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</si>
  <si>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</si>
  <si>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</si>
  <si>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</si>
  <si>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</si>
  <si>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</si>
  <si>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</si>
  <si>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</si>
  <si>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</si>
  <si>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</si>
  <si>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</si>
  <si>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</si>
  <si>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</si>
  <si>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</si>
  <si>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</si>
  <si>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</si>
  <si>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</si>
  <si>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</si>
  <si>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</si>
  <si>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</si>
  <si>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</si>
  <si>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</si>
  <si>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</si>
  <si>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</si>
  <si>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</si>
  <si>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</si>
  <si>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</si>
  <si>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</si>
  <si>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</si>
  <si>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</si>
  <si>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</si>
  <si>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</si>
  <si>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</si>
  <si>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</si>
  <si>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</si>
  <si>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</si>
  <si>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</si>
  <si>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</si>
  <si>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</si>
  <si>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</si>
  <si>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</si>
  <si>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</si>
  <si>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</si>
  <si>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</si>
  <si>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</si>
  <si>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</si>
  <si>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</si>
  <si>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</si>
  <si>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</si>
  <si>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</si>
  <si>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</si>
  <si>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</si>
  <si>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</si>
  <si>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</si>
  <si>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</si>
  <si>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</si>
  <si>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</si>
  <si>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</si>
  <si>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</si>
  <si>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</si>
  <si>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</si>
  <si>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</si>
  <si>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</si>
  <si>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</si>
  <si>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</si>
  <si>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</si>
  <si>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</si>
  <si>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</si>
  <si>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</si>
  <si>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</si>
  <si>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</si>
  <si>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</si>
  <si>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</si>
  <si>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</si>
  <si>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</si>
  <si>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</si>
  <si>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</si>
  <si>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</si>
  <si>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</si>
  <si>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</si>
  <si>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</si>
  <si>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</si>
  <si>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</si>
  <si>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</si>
  <si>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</si>
  <si>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</si>
  <si>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</si>
  <si>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</si>
  <si>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</si>
  <si>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</si>
  <si>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</si>
  <si>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</si>
  <si>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</si>
  <si>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</si>
  <si>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</si>
  <si>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</si>
  <si>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</si>
  <si>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</si>
  <si>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</si>
  <si>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</si>
  <si>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</si>
  <si>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</si>
  <si>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</si>
  <si>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</si>
  <si>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</si>
  <si>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</si>
  <si>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</si>
  <si>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</si>
  <si>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</si>
  <si>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</si>
  <si>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</si>
  <si>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</si>
  <si>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</si>
  <si>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</si>
  <si>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</si>
  <si>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</si>
  <si>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</si>
  <si>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</si>
  <si>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</si>
  <si>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</si>
  <si>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</si>
  <si>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</si>
  <si>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</si>
  <si>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</si>
  <si>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</si>
  <si>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</si>
  <si>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</si>
  <si>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</si>
  <si>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</si>
  <si>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</si>
  <si>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</si>
  <si>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</si>
  <si>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</si>
  <si>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</si>
  <si>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</si>
  <si>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</si>
  <si>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</si>
  <si>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</si>
  <si>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</si>
  <si>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</si>
  <si>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</si>
  <si>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</si>
  <si>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</si>
  <si>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</si>
  <si>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</si>
  <si>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</si>
  <si>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</si>
  <si>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</si>
  <si>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</si>
  <si>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</si>
  <si>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</si>
  <si>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</si>
  <si>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</si>
  <si>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</si>
  <si>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</si>
  <si>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</si>
  <si>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</si>
  <si>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</si>
  <si>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</si>
  <si>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</si>
  <si>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</si>
  <si>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</si>
  <si>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</si>
  <si>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</si>
  <si>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</si>
  <si>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</si>
  <si>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</si>
  <si>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</si>
  <si>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</si>
  <si>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</si>
  <si>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</si>
  <si>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</si>
  <si>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</si>
  <si>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</si>
  <si>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</si>
  <si>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</si>
  <si>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</si>
  <si>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</si>
  <si>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</si>
  <si>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</si>
  <si>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</si>
  <si>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</si>
  <si>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</si>
  <si>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</si>
  <si>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</si>
  <si>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</si>
  <si>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</si>
  <si>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</si>
  <si>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</si>
  <si>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</si>
  <si>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</si>
  <si>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</si>
  <si>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</si>
  <si>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</si>
  <si>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</si>
  <si>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</si>
  <si>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</si>
  <si>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</si>
  <si>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</si>
  <si>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</si>
  <si>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</si>
  <si>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</si>
  <si>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</si>
  <si>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</si>
  <si>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</si>
  <si>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</si>
  <si>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</si>
  <si>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</si>
  <si>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</si>
  <si>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</si>
  <si>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</si>
  <si>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</si>
  <si>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</si>
  <si>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</si>
  <si>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</si>
  <si>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</si>
  <si>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</si>
  <si>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</si>
  <si>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</si>
  <si>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</si>
  <si>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</si>
  <si>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</si>
  <si>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</si>
  <si>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</si>
  <si>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</si>
  <si>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</si>
  <si>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</si>
  <si>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</si>
  <si>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</si>
  <si>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</si>
  <si>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</si>
  <si>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</si>
  <si>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</si>
  <si>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</si>
  <si>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</si>
  <si>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</si>
  <si>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</si>
  <si>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</si>
  <si>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</si>
  <si>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</si>
  <si>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</si>
  <si>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</si>
  <si>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</si>
  <si>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</si>
  <si>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</si>
  <si>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</si>
  <si>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</si>
  <si>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</si>
  <si>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</si>
  <si>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</si>
  <si>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</si>
  <si>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</si>
  <si>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</si>
  <si>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</si>
  <si>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</si>
  <si>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</si>
  <si>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</si>
  <si>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</si>
  <si>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</si>
  <si>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</si>
  <si>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</si>
  <si>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</si>
  <si>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</si>
  <si>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</si>
  <si>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</si>
  <si>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</si>
  <si>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</si>
  <si>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</si>
  <si>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</si>
  <si>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</si>
  <si>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</si>
  <si>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</si>
  <si>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</si>
  <si>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</si>
  <si>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</si>
  <si>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</si>
  <si>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</si>
  <si>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</si>
  <si>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</si>
  <si>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</si>
  <si>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</si>
  <si>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</si>
  <si>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</si>
  <si>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</si>
  <si>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</si>
  <si>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</si>
  <si>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</si>
  <si>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</si>
  <si>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</si>
  <si>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</si>
  <si>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</si>
  <si>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</si>
  <si>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</si>
  <si>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</si>
  <si>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</si>
  <si>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</si>
  <si>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</si>
  <si>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</si>
  <si>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</si>
  <si>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</si>
  <si>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</si>
  <si>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</si>
  <si>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</si>
  <si>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</si>
  <si>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</si>
  <si>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</si>
  <si>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</si>
  <si>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</si>
  <si>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</si>
  <si>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</si>
  <si>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</si>
  <si>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</si>
  <si>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</si>
  <si>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</si>
  <si>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</si>
  <si>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</si>
  <si>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</si>
  <si>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</si>
  <si>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</si>
  <si>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</si>
  <si>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</si>
  <si>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</si>
  <si>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</si>
  <si>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</si>
  <si>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</si>
  <si>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</si>
  <si>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</si>
  <si>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</si>
  <si>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</si>
  <si>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</si>
  <si>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</si>
  <si>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</si>
  <si>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</si>
  <si>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</si>
  <si>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</si>
  <si>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</si>
  <si>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</si>
  <si>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</si>
  <si>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</si>
  <si>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</si>
  <si>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</si>
  <si>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</si>
  <si>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</si>
  <si>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</si>
  <si>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</si>
  <si>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</si>
  <si>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</si>
  <si>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</si>
  <si>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</si>
  <si>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</si>
  <si>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</si>
  <si>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</si>
  <si>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</si>
  <si>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</si>
  <si>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</si>
  <si>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</si>
  <si>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</si>
  <si>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</si>
  <si>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</si>
  <si>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</si>
  <si>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</si>
  <si>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</si>
  <si>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</si>
  <si>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</si>
  <si>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</si>
  <si>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</si>
  <si>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</si>
  <si>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</si>
  <si>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</si>
  <si>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</si>
  <si>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</si>
  <si>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</si>
  <si>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</si>
  <si>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</si>
  <si>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</si>
  <si>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</si>
  <si>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</si>
  <si>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</si>
  <si>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</si>
  <si>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</si>
  <si>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</si>
  <si>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</si>
  <si>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</si>
  <si>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</si>
  <si>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</si>
  <si>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</si>
  <si>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</si>
  <si>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</si>
  <si>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</si>
  <si>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</si>
  <si>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</si>
  <si>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</si>
  <si>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</si>
  <si>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</si>
  <si>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</si>
  <si>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</si>
  <si>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</si>
  <si>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</si>
  <si>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</si>
  <si>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</si>
  <si>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</si>
  <si>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</si>
  <si>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</si>
  <si>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</si>
  <si>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</si>
  <si>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</si>
  <si>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</si>
  <si>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</si>
  <si>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</si>
  <si>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</si>
  <si>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</si>
  <si>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</si>
  <si>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</si>
  <si>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</si>
  <si>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</si>
  <si>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</si>
  <si>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</si>
  <si>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</si>
  <si>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</si>
  <si>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</si>
  <si>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</si>
  <si>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</si>
  <si>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</si>
  <si>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</si>
  <si>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</si>
  <si>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</si>
  <si>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</si>
  <si>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</si>
  <si>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</si>
  <si>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</si>
  <si>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</si>
  <si>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</si>
  <si>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</si>
  <si>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</si>
  <si>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</si>
  <si>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</si>
  <si>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</si>
  <si>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</si>
  <si>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</si>
  <si>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</si>
  <si>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</si>
  <si>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</si>
  <si>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</si>
  <si>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</si>
  <si>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</si>
  <si>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</si>
  <si>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</si>
  <si>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</si>
  <si>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</si>
  <si>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</si>
  <si>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</si>
  <si>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</si>
  <si>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</si>
  <si>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</si>
  <si>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</si>
  <si>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</si>
  <si>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</si>
  <si>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</si>
  <si>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</si>
  <si>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</si>
  <si>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</si>
  <si>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</si>
  <si>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</si>
  <si>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</si>
  <si>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</si>
  <si>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</si>
  <si>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</si>
  <si>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</si>
  <si>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</si>
  <si>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</si>
  <si>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</si>
  <si>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</si>
  <si>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</si>
  <si>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</si>
  <si>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</si>
  <si>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</si>
  <si>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</si>
  <si>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</si>
  <si>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</si>
  <si>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</si>
  <si>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</si>
  <si>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</si>
  <si>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</si>
  <si>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</si>
  <si>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</si>
  <si>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</si>
  <si>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</si>
  <si>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</si>
  <si>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</si>
  <si>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</si>
  <si>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</si>
  <si>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</si>
  <si>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</si>
  <si>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</si>
  <si>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</si>
  <si>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</si>
  <si>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</si>
  <si>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</si>
  <si>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</si>
  <si>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</si>
  <si>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</si>
  <si>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</si>
  <si>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</si>
  <si>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</si>
  <si>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</si>
  <si>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</si>
  <si>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</si>
  <si>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</si>
  <si>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</si>
  <si>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</si>
  <si>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</si>
  <si>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</si>
  <si>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</si>
  <si>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</si>
  <si>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</si>
  <si>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</si>
  <si>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</si>
  <si>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</si>
  <si>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</si>
  <si>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</si>
  <si>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</si>
  <si>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</si>
  <si>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</si>
  <si>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</si>
  <si>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</si>
  <si>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</si>
  <si>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</si>
  <si>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</si>
  <si>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</si>
  <si>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</si>
  <si>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</si>
  <si>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</si>
  <si>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</si>
  <si>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</si>
  <si>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</si>
  <si>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</si>
  <si>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</si>
  <si>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</si>
  <si>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</si>
  <si>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</si>
  <si>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</si>
  <si>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</si>
  <si>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</si>
  <si>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</si>
  <si>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</si>
  <si>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</si>
  <si>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</si>
  <si>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</si>
  <si>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</si>
  <si>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</si>
  <si>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</si>
  <si>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</si>
  <si>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</si>
  <si>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</si>
  <si>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</si>
  <si>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</si>
  <si>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</si>
  <si>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押一</t>
  </si>
  <si>
    <t>按租金收入计税</t>
  </si>
  <si>
    <t>钢混</t>
  </si>
  <si>
    <t>非生产用房</t>
  </si>
  <si>
    <t>售价</t>
  </si>
  <si>
    <t>比较法-商业</t>
  </si>
  <si>
    <t>否</t>
  </si>
  <si>
    <t>转让取得</t>
  </si>
  <si>
    <t>非个人房产</t>
  </si>
  <si>
    <t>抵押</t>
  </si>
  <si>
    <t>房地产抵押价值</t>
  </si>
  <si>
    <t>仅含出让金</t>
  </si>
  <si>
    <t>情况4</t>
  </si>
  <si>
    <t>林肯公园</t>
    <phoneticPr fontId="3" type="noConversion"/>
  </si>
  <si>
    <t>商业</t>
    <phoneticPr fontId="31" type="noConversion"/>
  </si>
  <si>
    <t>较好</t>
  </si>
  <si>
    <t>七通</t>
  </si>
  <si>
    <t>底商</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</si>
  <si>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</si>
  <si>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</si>
  <si>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</si>
  <si>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</si>
  <si>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</si>
  <si>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</si>
  <si>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</si>
  <si>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</si>
  <si>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</si>
  <si>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</si>
  <si>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</si>
  <si>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租金</t>
  </si>
  <si>
    <t>20-30（含）</t>
  </si>
  <si>
    <t>精装修</t>
  </si>
  <si>
    <t>企业提供（在右侧录入）</t>
  </si>
  <si>
    <t>主干道</t>
  </si>
  <si>
    <t>主干道</t>
    <phoneticPr fontId="31" type="noConversion"/>
  </si>
  <si>
    <t>次干道</t>
  </si>
  <si>
    <t>次干道</t>
    <phoneticPr fontId="31" type="noConversion"/>
  </si>
  <si>
    <t>较好</t>
    <phoneticPr fontId="31" type="noConversion"/>
  </si>
  <si>
    <t>一般</t>
    <phoneticPr fontId="31" type="noConversion"/>
  </si>
  <si>
    <t>较差</t>
    <phoneticPr fontId="31" type="noConversion"/>
  </si>
  <si>
    <t>较大</t>
  </si>
  <si>
    <t>较大</t>
    <phoneticPr fontId="31" type="noConversion"/>
  </si>
  <si>
    <t>标准</t>
  </si>
  <si>
    <t>标准</t>
    <phoneticPr fontId="31" type="noConversion"/>
  </si>
  <si>
    <r>
      <t>1</t>
    </r>
    <r>
      <rPr>
        <sz val="11"/>
        <color indexed="8"/>
        <rFont val="宋体"/>
        <family val="3"/>
        <charset val="134"/>
      </rPr>
      <t>层</t>
    </r>
    <phoneticPr fontId="31" type="noConversion"/>
  </si>
  <si>
    <t>1层</t>
  </si>
  <si>
    <t>主干道</t>
    <phoneticPr fontId="143" type="noConversion"/>
  </si>
  <si>
    <t>次干道</t>
    <phoneticPr fontId="143" type="noConversion"/>
  </si>
  <si>
    <t>较好</t>
    <phoneticPr fontId="143" type="noConversion"/>
  </si>
  <si>
    <t>一般</t>
    <phoneticPr fontId="143" type="noConversion"/>
  </si>
  <si>
    <t>较差</t>
    <phoneticPr fontId="143" type="noConversion"/>
  </si>
  <si>
    <t>较大</t>
    <phoneticPr fontId="143" type="noConversion"/>
  </si>
  <si>
    <r>
      <t>1</t>
    </r>
    <r>
      <rPr>
        <sz val="11"/>
        <color indexed="8"/>
        <rFont val="宋体"/>
        <family val="3"/>
        <charset val="134"/>
      </rPr>
      <t>层</t>
    </r>
    <phoneticPr fontId="143" type="noConversion"/>
  </si>
  <si>
    <t>标准</t>
    <phoneticPr fontId="143" type="noConversion"/>
  </si>
  <si>
    <t>五通</t>
  </si>
  <si>
    <r>
      <rPr>
        <sz val="12"/>
        <color theme="9" tint="-0.249977111117893"/>
        <rFont val="宋体"/>
        <family val="3"/>
        <charset val="134"/>
      </rPr>
      <t>北京经济技术开发区荣华南路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r>
      <rPr>
        <sz val="12"/>
        <color theme="9" tint="-0.249977111117893"/>
        <rFont val="Arial"/>
        <family val="2"/>
      </rPr>
      <t>102</t>
    </r>
    <r>
      <rPr>
        <sz val="12"/>
        <color theme="9" tint="-0.249977111117893"/>
        <rFont val="宋体"/>
        <family val="3"/>
        <charset val="134"/>
      </rPr>
      <t>商业用房</t>
    </r>
    <phoneticPr fontId="6" type="noConversion"/>
  </si>
  <si>
    <t>北京华融天辰投资有限公司</t>
    <phoneticPr fontId="6" type="noConversion"/>
  </si>
  <si>
    <t>招商银行北京分行</t>
    <phoneticPr fontId="6" type="noConversion"/>
  </si>
  <si>
    <t>2020-1-0145-P04DYGJ1</t>
  </si>
  <si>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</si>
  <si>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</si>
  <si>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建筑面积</t>
    </r>
    <phoneticPr fontId="3" type="noConversion"/>
  </si>
  <si>
    <t>亦庄创意生活广场</t>
    <phoneticPr fontId="3" type="noConversion"/>
  </si>
  <si>
    <t>富兴国际</t>
    <phoneticPr fontId="3" type="noConversion"/>
  </si>
  <si>
    <t>100/</t>
    <phoneticPr fontId="3" type="noConversion"/>
  </si>
  <si>
    <r>
      <rPr>
        <sz val="11"/>
        <color indexed="8"/>
        <rFont val="宋体"/>
        <family val="3"/>
        <charset val="134"/>
      </rPr>
      <t>正常</t>
    </r>
    <phoneticPr fontId="3" type="noConversion"/>
  </si>
  <si>
    <t>商业</t>
    <phoneticPr fontId="3" type="noConversion"/>
  </si>
  <si>
    <t>100/</t>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</si>
  <si>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</si>
  <si>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</si>
  <si>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</si>
  <si>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</si>
  <si>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</si>
  <si>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较好</t>
    <phoneticPr fontId="143" type="noConversion"/>
  </si>
  <si>
    <r>
      <rPr>
        <sz val="11"/>
        <color indexed="8"/>
        <rFont val="宋体"/>
        <family val="3"/>
        <charset val="134"/>
      </rPr>
      <t>人流量</t>
    </r>
    <phoneticPr fontId="3" type="noConversion"/>
  </si>
  <si>
    <r>
      <rPr>
        <sz val="11"/>
        <color indexed="8"/>
        <rFont val="宋体"/>
        <family val="3"/>
        <charset val="134"/>
      </rPr>
      <t>楼层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</si>
  <si>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</si>
  <si>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</si>
  <si>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</si>
  <si>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</si>
  <si>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</si>
  <si>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</si>
  <si>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</si>
  <si>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</si>
  <si>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</si>
  <si>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rFont val="宋体"/>
        <family val="3"/>
        <charset val="134"/>
      </rPr>
      <t>进深比</t>
    </r>
    <phoneticPr fontId="3" type="noConversion"/>
  </si>
  <si>
    <r>
      <rPr>
        <sz val="11"/>
        <color indexed="8"/>
        <rFont val="宋体"/>
        <family val="3"/>
        <charset val="134"/>
      </rPr>
      <t>内部装修</t>
    </r>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</si>
  <si>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</si>
  <si>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</si>
  <si>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</si>
  <si>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</si>
  <si>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</si>
  <si>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</si>
  <si>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</si>
  <si>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</si>
  <si>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</si>
  <si>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</si>
  <si>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</si>
  <si>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</si>
  <si>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</si>
  <si>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</si>
  <si>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</si>
  <si>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</si>
  <si>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</si>
  <si>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</si>
  <si>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</si>
  <si>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</si>
  <si>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</si>
  <si>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</si>
  <si>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</si>
  <si>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</si>
  <si>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</si>
  <si>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</si>
  <si>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</si>
  <si>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</si>
  <si>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</si>
  <si>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</si>
  <si>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</si>
  <si>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</si>
  <si>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</si>
  <si>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</si>
  <si>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</si>
  <si>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</si>
  <si>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</si>
  <si>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快速路</t>
    <phoneticPr fontId="143" type="noConversion"/>
  </si>
  <si>
    <t>主干道</t>
    <phoneticPr fontId="143" type="noConversion"/>
  </si>
  <si>
    <t>次干道</t>
    <phoneticPr fontId="143" type="noConversion"/>
  </si>
  <si>
    <t>较大</t>
    <phoneticPr fontId="143" type="noConversion"/>
  </si>
  <si>
    <t>一般</t>
    <phoneticPr fontId="143" type="noConversion"/>
  </si>
  <si>
    <t>较少</t>
    <phoneticPr fontId="143" type="noConversion"/>
  </si>
  <si>
    <r>
      <t>1</t>
    </r>
    <r>
      <rPr>
        <sz val="11"/>
        <color indexed="8"/>
        <rFont val="宋体"/>
        <family val="3"/>
        <charset val="134"/>
      </rPr>
      <t>层</t>
    </r>
    <phoneticPr fontId="14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</si>
  <si>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</si>
  <si>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</si>
  <si>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底商</t>
    <phoneticPr fontId="3" type="noConversion"/>
  </si>
  <si>
    <t>商业综合体</t>
    <phoneticPr fontId="14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</si>
  <si>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</si>
  <si>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</si>
  <si>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</si>
  <si>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</si>
  <si>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</si>
  <si>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</si>
  <si>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</si>
  <si>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</si>
  <si>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</si>
  <si>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</si>
  <si>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</si>
  <si>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</si>
  <si>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143" type="noConversion"/>
  </si>
  <si>
    <r>
      <rPr>
        <sz val="11"/>
        <color indexed="8"/>
        <rFont val="宋体"/>
        <family val="3"/>
        <charset val="134"/>
      </rPr>
      <t>进深比</t>
    </r>
    <phoneticPr fontId="3" type="noConversion"/>
  </si>
  <si>
    <r>
      <rPr>
        <sz val="11"/>
        <color indexed="8"/>
        <rFont val="宋体"/>
        <family val="3"/>
        <charset val="134"/>
      </rPr>
      <t>内部装修维护情况</t>
    </r>
    <phoneticPr fontId="3" type="noConversion"/>
  </si>
</sst>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30" fillId="0" borderId="4" xfId="0" applyNumberFormat="1" applyFont="1" applyFill="1" applyBorder="1" applyAlignment="1" applyProtection="1">
      <alignment horizontal="left" vertical="center"/>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262" fillId="0" borderId="0" xfId="0" applyFont="1">
      <alignment vertical="center"/>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47"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4" fillId="6" borderId="14" xfId="10" applyFont="1" applyFill="1" applyBorder="1" applyAlignment="1" applyProtection="1">
      <alignment horizontal="center" vertical="center" textRotation="255" wrapText="1"/>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3" fillId="6" borderId="12" xfId="10" applyFont="1" applyFill="1" applyBorder="1" applyAlignment="1" applyProtection="1">
      <alignment vertical="center" textRotation="255" wrapText="1"/>
    </xf>
    <xf numFmtId="0" fontId="54" fillId="6" borderId="41"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1" xfId="10" applyFont="1" applyFill="1" applyBorder="1" applyAlignment="1" applyProtection="1">
      <alignment horizontal="center" vertical="center" wrapText="1"/>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18" xfId="10" applyFont="1" applyFill="1" applyBorder="1" applyAlignment="1" applyProtection="1">
      <alignment horizontal="center" vertical="center"/>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47" fillId="0" borderId="0"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13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3-&#21531;&#23433;&#22269;&#38469;-&#40644;&#33521;20200408-1557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31;&#23433;&#22269;&#38469;%20-%201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 (2)"/>
      <sheetName val="收益法"/>
      <sheetName val="收益法 (元)"/>
      <sheetName val="收益法（汇总）"/>
      <sheetName val="酒店收入计算"/>
      <sheetName val="比较法-住宅"/>
      <sheetName val="比较法-商业租金"/>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765.92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v>102</v>
          </cell>
        </row>
      </sheetData>
      <sheetData sheetId="14">
        <row r="2">
          <cell r="B2">
            <v>43914</v>
          </cell>
        </row>
        <row r="6">
          <cell r="N6">
            <v>0.86699999999999999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efreshError="1"/>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北京市北京经济技术开发区荣华南路7号院4号楼102商业用房出让国有建设用地使用权及在建建筑物房地产抵押价值预评估</v>
      </c>
    </row>
    <row r="3" spans="1:2" s="1592" customFormat="1">
      <c r="A3" s="1590" t="s">
        <v>1216</v>
      </c>
      <c r="B3" s="1591" t="str">
        <f>'预评函-封皮'!B40</f>
        <v>北京华融天辰投资有限公司</v>
      </c>
    </row>
    <row r="4" spans="1:2" s="1592" customFormat="1">
      <c r="A4" s="1590" t="s">
        <v>1217</v>
      </c>
      <c r="B4" s="1591" t="str">
        <f>'预评函-封皮'!B46</f>
        <v>（注册号：0)、（注册号：0)</v>
      </c>
    </row>
    <row r="5" spans="1:2" s="1586" customFormat="1" ht="15" thickBot="1">
      <c r="A5" s="1593" t="s">
        <v>1218</v>
      </c>
      <c r="B5" s="1594" t="str">
        <f>'预评函-封皮'!B49</f>
        <v>康正预评字2020-1-0145-P04DYGJ1号</v>
      </c>
    </row>
    <row r="6" spans="1:2" s="1589" customFormat="1" ht="15" thickTop="1">
      <c r="A6" s="1587" t="s">
        <v>1219</v>
      </c>
      <c r="B6" s="1588" t="str">
        <f>'预评函-1'!A4</f>
        <v>受贵公司委托，我公司对北京市北京经济技术开发区荣华南路7号院4号楼102商业用房出让国有建设用地使用权及在建建筑物房地产抵押价值进行了预评估。</v>
      </c>
    </row>
    <row r="7" spans="1:2" s="1592" customFormat="1">
      <c r="A7" s="1590" t="s">
        <v>1259</v>
      </c>
      <c r="B7" s="1591" t="str">
        <f>'预评函-1'!A7</f>
        <v>估价对象为北京市北京经济技术开发区荣华南路7号院4号楼102商业用房出让国有建设用地使用权及在建建筑物房地产，为所有。根据《国有土地使用证》[]，估价对象（分摊）出让国有建设用地使用权面积为0平方米，建筑面积为631.32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北京经济技术开发区荣华南路7号院4号楼102商业用房出让国有建设用地使用权及在建建筑物房地产,属开发建设的，该项目尚在开发建设中。根据《国有土地使用证》[]，估价对象（分摊）出让国有建设用地使用权面积为0平方米，规划建筑面积为631.32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为估价委托人在向招商银行北京分行办理贷款手续过程中，确定房地产抵押贷款额度提供参考依据而评估房地产抵押价值。</v>
      </c>
    </row>
    <row r="12" spans="1:2" s="1592" customFormat="1">
      <c r="A12" s="1590" t="s">
        <v>1221</v>
      </c>
      <c r="B12" s="1591" t="str">
        <f>'预评函-1'!A15</f>
        <v>2020年3月24日</v>
      </c>
    </row>
    <row r="13" spans="1:2" s="1592" customFormat="1">
      <c r="A13" s="1590" t="s">
        <v>1222</v>
      </c>
      <c r="B13" s="1591"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2717</v>
      </c>
    </row>
    <row r="21" spans="1:2" s="1592" customFormat="1">
      <c r="A21" s="1590" t="s">
        <v>1230</v>
      </c>
      <c r="B21" s="1591">
        <f ca="1">'预评函-2'!D7</f>
        <v>43037</v>
      </c>
    </row>
    <row r="22" spans="1:2" s="1592" customFormat="1">
      <c r="A22" s="1590" t="s">
        <v>1231</v>
      </c>
      <c r="B22" s="1591" t="str">
        <f ca="1">'预评函-2'!D6</f>
        <v>贰仟柒佰壹拾柒万元整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2717</v>
      </c>
    </row>
    <row r="31" spans="1:2" s="1592" customFormat="1">
      <c r="A31" s="1590" t="s">
        <v>1269</v>
      </c>
      <c r="B31" s="1591">
        <f ca="1">'预评函-2'!D15</f>
        <v>43037</v>
      </c>
    </row>
    <row r="32" spans="1:2" s="1592" customFormat="1">
      <c r="A32" s="1590" t="s">
        <v>1236</v>
      </c>
      <c r="B32" s="1591" t="str">
        <f ca="1">'预评函-2'!D14</f>
        <v>贰仟柒佰壹拾柒万元整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2118</v>
      </c>
    </row>
    <row r="39" spans="1:2" s="1592" customFormat="1">
      <c r="A39" s="1590" t="s">
        <v>1238</v>
      </c>
      <c r="B39" s="1591">
        <f ca="1">'预评函-2'!D21</f>
        <v>33549</v>
      </c>
    </row>
    <row r="40" spans="1:2" s="1592" customFormat="1">
      <c r="A40" s="1590" t="s">
        <v>1239</v>
      </c>
      <c r="B40" s="1591" t="str">
        <f ca="1">'预评函-2'!D20</f>
        <v>贰仟壹佰壹拾捌万元整</v>
      </c>
    </row>
    <row r="41" spans="1:2" s="1592" customFormat="1">
      <c r="A41" s="1590" t="s">
        <v>1285</v>
      </c>
      <c r="B41" s="1591" t="str">
        <f>'预评函-3'!A4</f>
        <v>北京市北京经济技术开发区荣华南路7号院4号楼102商业用房出让国有建设用地使用权及在建建筑物房地产</v>
      </c>
    </row>
    <row r="42" spans="1:2" s="1592" customFormat="1">
      <c r="A42" s="1590" t="s">
        <v>1283</v>
      </c>
      <c r="B42" s="1591" t="str">
        <f>'预评函-3'!B2</f>
        <v>建筑面积</v>
      </c>
    </row>
    <row r="43" spans="1:2" s="1592" customFormat="1">
      <c r="A43" s="1590" t="s">
        <v>1284</v>
      </c>
      <c r="B43" s="1591">
        <f>'预评函-3'!B4</f>
        <v>631.32000000000005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为估价委托人在向招商银行北京分行办理贷款手续过程中，确定房地产抵押贷款额度提供参考依据而评估房地产抵押价值。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南路7号院4号楼102商业用房出让国有建设用地使用权及在建建筑物房地产作为抵押担保物，向招商银行北京分行办理贷款手续。招商银行北京分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51"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20" t="s">
        <v>860</v>
      </c>
      <c r="C54" s="2017" t="s">
        <v>1276</v>
      </c>
    </row>
    <row r="55" spans="1:4">
      <c r="A55" s="3051"/>
      <c r="B55" s="2020" t="s">
        <v>861</v>
      </c>
      <c r="C55" s="2017" t="s">
        <v>1277</v>
      </c>
    </row>
    <row r="56" spans="1:4">
      <c r="A56" s="3051"/>
      <c r="B56" s="2020" t="s">
        <v>862</v>
      </c>
      <c r="C56" s="2017" t="s">
        <v>1281</v>
      </c>
    </row>
    <row r="57" spans="1:4">
      <c r="A57" s="3051"/>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Normal="100" zoomScaleSheetLayoutView="90" workbookViewId="0">
      <selection activeCell="E8" sqref="E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52" t="str">
        <f>IF(B10="北京市","北京市",C10)&amp;F10&amp;IF(结果表!G1="在建","出让国有建设用地使用权及在建建筑物",IF(结果表!G1="土地","出让国有建设用地使用权",))&amp;B9&amp;"预评估"</f>
        <v>北京市北京经济技术开发区荣华南路7号院4号楼102商业用房出让国有建设用地使用权及在建建筑物房地产抵押价值预评估</v>
      </c>
      <c r="C1" s="3053"/>
      <c r="D1" s="3053"/>
      <c r="E1" s="3053"/>
      <c r="F1" s="3053"/>
      <c r="G1" s="3053"/>
      <c r="H1" s="3053"/>
      <c r="I1" s="305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北京市北京经济技术开发区荣华南路7号院4号楼102商业用房出让国有建设用地使用权及在建建筑物房地产抵押价值</v>
      </c>
    </row>
    <row r="2" spans="1:19" ht="18" customHeight="1">
      <c r="A2" s="2024" t="s">
        <v>1771</v>
      </c>
      <c r="B2" s="3343" t="s">
        <v>3167</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北京市北京经济技术开发区荣华南路7号院4号楼102商业用房出让国有建设用地使用权及在建建筑物房地产</v>
      </c>
    </row>
    <row r="3" spans="1:19" ht="18" customHeight="1">
      <c r="A3" s="2033" t="s">
        <v>1772</v>
      </c>
      <c r="B3" s="2034"/>
      <c r="C3" s="2035" t="s">
        <v>1773</v>
      </c>
      <c r="D3" s="2034">
        <v>43914</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3340" t="s">
        <v>3165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3341" t="s">
        <v>3166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3342"/>
      <c r="C7" s="2046"/>
      <c r="D7" s="2047"/>
      <c r="E7" s="2032"/>
      <c r="F7" s="2040"/>
      <c r="G7" s="2040"/>
      <c r="H7" s="2040"/>
      <c r="I7" s="2040"/>
      <c r="J7" s="2040"/>
      <c r="K7" s="2049"/>
      <c r="L7" s="2026"/>
      <c r="M7" s="2026"/>
      <c r="N7" s="2027"/>
      <c r="O7" s="2028"/>
      <c r="P7" s="2027"/>
      <c r="Q7" s="2027"/>
      <c r="R7" s="2027"/>
    </row>
    <row r="8" spans="1:19" ht="18" customHeight="1">
      <c r="A8" s="2045" t="s">
        <v>1778</v>
      </c>
      <c r="B8" s="2050" t="s">
        <v>3118</v>
      </c>
      <c r="C8" s="2051"/>
      <c r="D8" s="3055" t="s">
        <v>1779</v>
      </c>
      <c r="E8" s="2052" t="s">
        <v>3119</v>
      </c>
      <c r="F8" s="2053"/>
      <c r="G8" s="2024"/>
      <c r="H8" s="2024"/>
      <c r="I8" s="2024"/>
      <c r="J8" s="2040"/>
      <c r="K8" s="2041"/>
      <c r="L8" s="2026"/>
      <c r="M8" s="2026"/>
      <c r="N8" s="2027"/>
      <c r="O8" s="2028"/>
      <c r="P8" s="2027"/>
      <c r="Q8" s="2027"/>
      <c r="R8" s="2027"/>
    </row>
    <row r="9" spans="1:19" ht="18" customHeight="1" thickBot="1">
      <c r="A9" s="2038" t="s">
        <v>1780</v>
      </c>
      <c r="B9" s="2054" t="s">
        <v>3119</v>
      </c>
      <c r="C9" s="2055"/>
      <c r="D9" s="3056"/>
      <c r="E9" s="2054" t="s">
        <v>1280</v>
      </c>
      <c r="F9" s="2056"/>
      <c r="G9" s="2057"/>
      <c r="H9" s="2057"/>
      <c r="I9" s="2057"/>
      <c r="J9" s="2040"/>
      <c r="K9" s="2049"/>
      <c r="L9" s="2026"/>
      <c r="M9" s="2026"/>
      <c r="N9" s="2027"/>
      <c r="O9" s="2028"/>
      <c r="P9" s="2027"/>
      <c r="Q9" s="2027"/>
      <c r="R9" s="2027"/>
    </row>
    <row r="10" spans="1:19" ht="18" customHeight="1" thickTop="1">
      <c r="A10" s="2058" t="s">
        <v>1781</v>
      </c>
      <c r="B10" s="2059" t="s">
        <v>3100</v>
      </c>
      <c r="C10" s="2060"/>
      <c r="D10" s="2044"/>
      <c r="E10" s="2061" t="s">
        <v>1782</v>
      </c>
      <c r="F10" s="3006" t="s">
        <v>3164</v>
      </c>
      <c r="G10" s="2062"/>
      <c r="H10" s="2063"/>
      <c r="I10" s="2044"/>
      <c r="J10" s="2040"/>
      <c r="K10" s="2049"/>
      <c r="L10" s="2026"/>
      <c r="M10" s="2026"/>
      <c r="N10" s="2027"/>
      <c r="O10" s="2028"/>
      <c r="P10" s="2027"/>
      <c r="Q10" s="2027"/>
      <c r="R10" s="2027"/>
    </row>
    <row r="11" spans="1:19" ht="18" customHeight="1">
      <c r="A11" s="2064" t="s">
        <v>1783</v>
      </c>
      <c r="B11" s="2065" t="s">
        <v>3101</v>
      </c>
      <c r="C11" s="2066"/>
      <c r="D11" s="2067"/>
      <c r="E11" s="2040"/>
      <c r="F11" s="2040"/>
      <c r="G11" s="2040"/>
      <c r="H11" s="2040"/>
      <c r="I11" s="2040"/>
      <c r="J11" s="2040"/>
      <c r="K11" s="2049"/>
      <c r="L11" s="2026"/>
      <c r="M11" s="2026"/>
      <c r="N11" s="2027"/>
      <c r="O11" s="2028"/>
      <c r="P11" s="2027"/>
      <c r="Q11" s="2027"/>
      <c r="R11" s="2027"/>
    </row>
    <row r="12" spans="1:19" ht="18" customHeight="1">
      <c r="A12" s="2068" t="s">
        <v>1784</v>
      </c>
      <c r="B12" s="2065" t="s">
        <v>3102</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54584</v>
      </c>
      <c r="F13" s="2074"/>
      <c r="G13" s="2074"/>
      <c r="H13" s="2074"/>
      <c r="I13" s="1046"/>
      <c r="J13" s="2040"/>
      <c r="K13" s="2049"/>
      <c r="L13" s="2026"/>
      <c r="M13" s="2026"/>
      <c r="N13" s="2027"/>
      <c r="O13" s="2028"/>
      <c r="P13" s="2027"/>
      <c r="Q13" s="2027"/>
      <c r="R13" s="2027"/>
    </row>
    <row r="14" spans="1:19" ht="18" customHeight="1">
      <c r="A14" s="2071"/>
      <c r="B14" s="2072"/>
      <c r="C14" s="2073" t="s">
        <v>1793</v>
      </c>
      <c r="D14" s="1049"/>
      <c r="E14" s="1049">
        <v>40</v>
      </c>
      <c r="F14" s="1049"/>
      <c r="G14" s="1049"/>
      <c r="H14" s="1049"/>
      <c r="I14" s="1049"/>
      <c r="J14" s="2040"/>
      <c r="K14" s="2075"/>
      <c r="L14" s="2026"/>
      <c r="M14" s="2026"/>
      <c r="N14" s="2027"/>
      <c r="O14" s="2028"/>
      <c r="P14" s="2027"/>
      <c r="Q14" s="2027"/>
      <c r="R14" s="2027"/>
    </row>
    <row r="15" spans="1:19" ht="18" customHeight="1">
      <c r="A15" s="2058"/>
      <c r="B15" s="2076"/>
      <c r="C15" s="2073" t="s">
        <v>1794</v>
      </c>
      <c r="D15" s="1048" t="str">
        <f>IF(B12="出让",IF(D13="","",ROUNDDOWN(MIN((D13-$D$3)/365,D14),2)),D14)</f>
        <v/>
      </c>
      <c r="E15" s="1048">
        <f>IF(B12="出让",IF(E13="","",ROUNDDOWN(MIN((E13-$D$3)/365,E14),2)),E14)</f>
        <v>29.23</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7"/>
      <c r="L15" s="2078"/>
      <c r="M15" s="2078"/>
      <c r="N15" s="2079"/>
      <c r="O15" s="2078"/>
      <c r="P15" s="2079"/>
      <c r="Q15" s="2027"/>
      <c r="R15" s="2027"/>
    </row>
    <row r="16" spans="1:19" ht="30.75" customHeight="1">
      <c r="A16" s="2061" t="s">
        <v>1795</v>
      </c>
      <c r="B16" s="3062"/>
      <c r="C16" s="3063"/>
      <c r="D16" s="3064"/>
      <c r="E16" s="2080" t="s">
        <v>1796</v>
      </c>
      <c r="F16" s="3065"/>
      <c r="G16" s="3066"/>
      <c r="H16" s="3066"/>
      <c r="I16" s="3067"/>
      <c r="J16" s="2027"/>
      <c r="K16" s="2077"/>
      <c r="L16" s="2078"/>
      <c r="M16" s="2078"/>
      <c r="N16" s="2079"/>
      <c r="O16" s="2078"/>
      <c r="P16" s="2079"/>
      <c r="Q16" s="2027"/>
      <c r="R16" s="2027"/>
    </row>
    <row r="17" spans="1:22" ht="18" customHeight="1">
      <c r="A17" s="2081" t="s">
        <v>1797</v>
      </c>
      <c r="B17" s="2033" t="s">
        <v>1798</v>
      </c>
      <c r="C17" s="1053">
        <f>'数据-汇总表'!E3</f>
        <v>631.32000000000005</v>
      </c>
      <c r="D17" s="2082" t="s">
        <v>1799</v>
      </c>
      <c r="E17" s="3068" t="s">
        <v>1800</v>
      </c>
      <c r="F17" s="3069"/>
      <c r="G17" s="3069"/>
      <c r="H17" s="3069"/>
      <c r="I17" s="3070"/>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0</v>
      </c>
      <c r="D18" s="2085" t="s">
        <v>1799</v>
      </c>
      <c r="E18" s="3071" t="s">
        <v>1803</v>
      </c>
      <c r="F18" s="3072"/>
      <c r="G18" s="3072"/>
      <c r="H18" s="3072"/>
      <c r="I18" s="3073"/>
      <c r="J18" s="2027"/>
      <c r="K18" s="2083"/>
      <c r="L18" s="2078"/>
      <c r="M18" s="2078"/>
      <c r="N18" s="2079"/>
      <c r="O18" s="2078"/>
      <c r="P18" s="2079"/>
      <c r="Q18" s="2027"/>
      <c r="R18" s="2027"/>
      <c r="S18" s="2027"/>
      <c r="T18" s="2027"/>
      <c r="U18" s="2027"/>
      <c r="V18" s="2027"/>
    </row>
    <row r="19" spans="1:22" ht="37.5" customHeight="1" thickTop="1" thickBot="1">
      <c r="A19" s="373" t="s">
        <v>1804</v>
      </c>
      <c r="B19" s="352" t="s">
        <v>1805</v>
      </c>
      <c r="C19" s="2086"/>
      <c r="D19" s="2087" t="s">
        <v>1806</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1807</v>
      </c>
      <c r="B20" s="3058" t="s">
        <v>1808</v>
      </c>
      <c r="C20" s="3059"/>
      <c r="D20" s="3060" t="s">
        <v>1809</v>
      </c>
      <c r="E20" s="3061"/>
      <c r="F20" s="2092" t="s">
        <v>1810</v>
      </c>
      <c r="G20" s="2040"/>
      <c r="H20" s="2040"/>
      <c r="I20" s="2040"/>
      <c r="J20" s="2040"/>
      <c r="K20" s="305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1812</v>
      </c>
      <c r="C21" s="2094" t="s">
        <v>1813</v>
      </c>
      <c r="D21" s="2095" t="s">
        <v>1814</v>
      </c>
      <c r="E21" s="2096" t="s">
        <v>1813</v>
      </c>
      <c r="F21" s="2097"/>
      <c r="G21" s="2040"/>
      <c r="H21" s="2040"/>
      <c r="I21" s="2040"/>
      <c r="J21" s="2040"/>
      <c r="K21" s="305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1815</v>
      </c>
      <c r="C22" s="2094" t="s">
        <v>1816</v>
      </c>
      <c r="D22" s="2024"/>
      <c r="E22" s="2024"/>
      <c r="F22" s="2099"/>
      <c r="G22" s="2040"/>
      <c r="H22" s="2040"/>
      <c r="I22" s="2040"/>
      <c r="J22" s="2040"/>
      <c r="K22" s="305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1817</v>
      </c>
      <c r="B23" s="183" t="s">
        <v>1818</v>
      </c>
      <c r="C23" s="2101"/>
      <c r="D23" s="2102" t="s">
        <v>1818</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1819</v>
      </c>
      <c r="C24" s="2106"/>
      <c r="D24" s="2100" t="s">
        <v>1819</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1820</v>
      </c>
      <c r="C25" s="2106"/>
      <c r="D25" s="2100" t="s">
        <v>1820</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1821</v>
      </c>
      <c r="C26" s="2110"/>
      <c r="D26" s="2111" t="s">
        <v>1822</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75" t="s">
        <v>1823</v>
      </c>
      <c r="B27" s="2058" t="s">
        <v>1824</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5"/>
      <c r="B28" s="2033" t="s">
        <v>1825</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5"/>
      <c r="B29" s="2033" t="s">
        <v>1826</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6"/>
      <c r="B30" s="2033" t="s">
        <v>1827</v>
      </c>
      <c r="C30" s="3077"/>
      <c r="D30" s="3078"/>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79" t="s">
        <v>1828</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80"/>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80"/>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8"/>
      <c r="C34" s="2128"/>
      <c r="D34" s="2128"/>
      <c r="E34" s="2128"/>
      <c r="F34" s="2128"/>
      <c r="G34" s="2128"/>
      <c r="H34" s="2128"/>
      <c r="I34" s="2040"/>
      <c r="J34" s="2040"/>
      <c r="K34" s="1794">
        <f>COUNTIF(B34:H34,"——")</f>
        <v>0</v>
      </c>
      <c r="L34" s="2069" t="s">
        <v>1830</v>
      </c>
      <c r="M34" s="2069" t="s">
        <v>1831</v>
      </c>
      <c r="N34" s="2069" t="s">
        <v>1832</v>
      </c>
      <c r="O34" s="2069" t="s">
        <v>1833</v>
      </c>
      <c r="P34" s="2069" t="s">
        <v>1834</v>
      </c>
      <c r="Q34" s="2069" t="s">
        <v>1835</v>
      </c>
      <c r="R34" s="2069" t="s">
        <v>1836</v>
      </c>
      <c r="S34" s="3074" t="s">
        <v>1837</v>
      </c>
      <c r="T34" s="2129" t="str">
        <f>NUMBERSTRING(7-K34,1)&amp;"通"</f>
        <v>七通</v>
      </c>
      <c r="U34" s="2027"/>
      <c r="V34" s="2027"/>
    </row>
    <row r="35" spans="1:22" ht="18" customHeight="1">
      <c r="A35" s="2130"/>
      <c r="B35" s="3081" t="s">
        <v>1838</v>
      </c>
      <c r="C35" s="3081"/>
      <c r="D35" s="3081"/>
      <c r="E35" s="3081"/>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4"/>
      <c r="T35" s="48" t="str">
        <f>IF(T34="一通",L35,IF(T34="二通",M35,IF(T34="三通",N35,IF(T34="四通",O35,IF(T34="五通",P35,IF(T34="六通",Q35,R35))))))</f>
        <v>、、、、、、</v>
      </c>
      <c r="U35" s="2027"/>
      <c r="V35" s="2027"/>
    </row>
    <row r="36" spans="1:22" ht="18" customHeight="1">
      <c r="A36" s="2132"/>
      <c r="B36" s="2131" t="s">
        <v>1839</v>
      </c>
      <c r="C36" s="2131" t="s">
        <v>1840</v>
      </c>
      <c r="D36" s="2131" t="s">
        <v>1841</v>
      </c>
      <c r="E36" s="2131" t="s">
        <v>1842</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1843</v>
      </c>
      <c r="B37" s="2135"/>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1844</v>
      </c>
      <c r="B38" s="2137"/>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1846</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1847</v>
      </c>
      <c r="B42" s="1794" t="s">
        <v>1848</v>
      </c>
      <c r="C42" s="1794" t="s">
        <v>1849</v>
      </c>
      <c r="D42" s="1794" t="s">
        <v>1850</v>
      </c>
      <c r="E42" s="1794" t="s">
        <v>1851</v>
      </c>
      <c r="F42" s="1794" t="s">
        <v>1852</v>
      </c>
      <c r="G42" s="1794" t="s">
        <v>1853</v>
      </c>
      <c r="H42" s="1794" t="s">
        <v>1854</v>
      </c>
      <c r="I42" s="1794" t="s">
        <v>1855</v>
      </c>
      <c r="J42" s="2147" t="s">
        <v>1856</v>
      </c>
      <c r="K42" s="2070" t="s">
        <v>1857</v>
      </c>
      <c r="L42" s="2070" t="s">
        <v>1858</v>
      </c>
      <c r="M42" s="2070" t="s">
        <v>1859</v>
      </c>
      <c r="N42" s="1794" t="s">
        <v>1860</v>
      </c>
      <c r="O42" s="1794" t="s">
        <v>1861</v>
      </c>
      <c r="P42" s="1794" t="s">
        <v>1862</v>
      </c>
      <c r="Q42" s="2069" t="s">
        <v>1863</v>
      </c>
      <c r="R42" s="2069" t="s">
        <v>1864</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7" sqref="E1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1870</v>
      </c>
      <c r="AZ2" s="1269"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2163.25</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2"/>
      <c r="C5" s="1802"/>
      <c r="D5" s="1805"/>
      <c r="E5" s="16" t="s">
        <v>1</v>
      </c>
      <c r="F5" s="16">
        <f>SUM(F13:F587)</f>
        <v>0</v>
      </c>
      <c r="G5" s="16">
        <f>SUM(G13:G587)</f>
        <v>2163.25</v>
      </c>
      <c r="H5" s="16">
        <f t="shared" ref="H5:AT5" si="0">SUM(H13:H656)</f>
        <v>2163.25</v>
      </c>
      <c r="I5" s="16">
        <f t="shared" si="0"/>
        <v>2163.25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631.32000000000005</v>
      </c>
      <c r="BA5" s="18">
        <f t="shared" si="1"/>
        <v>631.32000000000005</v>
      </c>
      <c r="BB5" s="18">
        <f t="shared" si="1"/>
        <v>631.32000000000005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1875</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1883</v>
      </c>
      <c r="AV7" s="23" t="s">
        <v>1884</v>
      </c>
      <c r="AW7" s="2161" t="s">
        <v>1885</v>
      </c>
      <c r="AX7" s="23" t="s">
        <v>1878</v>
      </c>
      <c r="AY7" s="1802"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7"/>
      <c r="K8" s="1817"/>
      <c r="L8" s="1817"/>
      <c r="M8" s="1817"/>
      <c r="N8" s="1817"/>
      <c r="O8" s="1817"/>
      <c r="P8" s="1817"/>
      <c r="Q8" s="1817"/>
      <c r="R8" s="1817"/>
      <c r="S8" s="1817"/>
      <c r="T8" s="1817"/>
      <c r="U8" s="1817"/>
      <c r="V8" s="2181"/>
      <c r="W8" s="1817"/>
      <c r="X8" s="1817"/>
      <c r="Y8" s="1817"/>
      <c r="Z8" s="1817"/>
      <c r="AA8" s="2181"/>
      <c r="AB8" s="2182"/>
      <c r="AC8" s="981" t="s">
        <v>1889</v>
      </c>
      <c r="AD8" s="2183"/>
      <c r="AE8" s="2175"/>
      <c r="AF8" s="1817"/>
      <c r="AG8" s="1817"/>
      <c r="AH8" s="1817"/>
      <c r="AI8" s="1817"/>
      <c r="AJ8" s="1817"/>
      <c r="AK8" s="1817"/>
      <c r="AL8" s="1817"/>
      <c r="AM8" s="1817"/>
      <c r="AN8" s="1817"/>
      <c r="AO8" s="1817"/>
      <c r="AP8" s="1817"/>
      <c r="AQ8" s="1817"/>
      <c r="AR8" s="1817"/>
      <c r="AS8" s="1817"/>
      <c r="AT8" s="1291" t="s">
        <v>1890</v>
      </c>
      <c r="AU8" s="2177" t="s">
        <v>1891</v>
      </c>
      <c r="AV8" s="1291"/>
      <c r="AW8" s="2160"/>
      <c r="AX8" s="1291"/>
      <c r="AY8" s="2161"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1894</v>
      </c>
      <c r="I9" s="2186" t="s">
        <v>3103</v>
      </c>
      <c r="J9" s="981"/>
      <c r="K9" s="2186"/>
      <c r="L9" s="981"/>
      <c r="M9" s="2186"/>
      <c r="N9" s="981"/>
      <c r="O9" s="2186"/>
      <c r="P9" s="981"/>
      <c r="Q9" s="2186"/>
      <c r="R9" s="981"/>
      <c r="S9" s="2186"/>
      <c r="T9" s="981"/>
      <c r="U9" s="2186"/>
      <c r="V9" s="981"/>
      <c r="W9" s="2186"/>
      <c r="X9" s="2187"/>
      <c r="Y9" s="2186"/>
      <c r="Z9" s="981"/>
      <c r="AA9" s="2186"/>
      <c r="AB9" s="981"/>
      <c r="AC9" s="2178"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8"/>
      <c r="AT9" s="2177"/>
      <c r="AU9" s="2177" t="s">
        <v>1897</v>
      </c>
      <c r="AV9" s="1291"/>
      <c r="AW9" s="2160"/>
      <c r="AX9" s="1291"/>
      <c r="AY9" s="28"/>
      <c r="AZ9" s="28" t="s">
        <v>1887</v>
      </c>
      <c r="BA9" s="2189" t="s">
        <v>1898</v>
      </c>
      <c r="BB9" s="2190"/>
      <c r="BC9" s="1337"/>
      <c r="BD9" s="1337"/>
      <c r="BE9" s="1337"/>
      <c r="BF9" s="1337"/>
      <c r="BG9" s="1337"/>
      <c r="BH9" s="1337"/>
      <c r="BI9" s="1337"/>
      <c r="BJ9" s="1337"/>
      <c r="BK9" s="2191"/>
      <c r="BL9" s="15" t="s">
        <v>1899</v>
      </c>
      <c r="BM9" s="1817"/>
      <c r="BN9" s="2180"/>
      <c r="BO9" s="1817"/>
      <c r="BP9" s="1817"/>
      <c r="BQ9" s="1817"/>
      <c r="BR9" s="1817"/>
      <c r="BS9" s="1817"/>
      <c r="BT9" s="26"/>
    </row>
    <row r="10" spans="1:72" s="2184" customFormat="1" ht="12.75">
      <c r="A10" s="2177"/>
      <c r="B10" s="2177"/>
      <c r="C10" s="2177"/>
      <c r="D10" s="2177"/>
      <c r="E10" s="2177"/>
      <c r="F10" s="2177"/>
      <c r="G10" s="1291"/>
      <c r="H10" s="28"/>
      <c r="I10" s="2186" t="s">
        <v>1372</v>
      </c>
      <c r="J10" s="981"/>
      <c r="K10" s="2192"/>
      <c r="L10" s="981"/>
      <c r="M10" s="2192"/>
      <c r="N10" s="981"/>
      <c r="O10" s="2192"/>
      <c r="P10" s="981"/>
      <c r="Q10" s="2192"/>
      <c r="R10" s="981"/>
      <c r="S10" s="2192"/>
      <c r="T10" s="981"/>
      <c r="U10" s="2192"/>
      <c r="V10" s="981"/>
      <c r="W10" s="2192"/>
      <c r="X10" s="981"/>
      <c r="Y10" s="2192"/>
      <c r="Z10" s="981"/>
      <c r="AA10" s="2192"/>
      <c r="AB10" s="981"/>
      <c r="AC10" s="1291"/>
      <c r="AD10" s="15" t="s">
        <v>1900</v>
      </c>
      <c r="AE10" s="2193"/>
      <c r="AF10" s="15" t="s">
        <v>1900</v>
      </c>
      <c r="AG10" s="2193"/>
      <c r="AH10" s="15" t="s">
        <v>1901</v>
      </c>
      <c r="AI10" s="2193"/>
      <c r="AJ10" s="15" t="s">
        <v>1901</v>
      </c>
      <c r="AK10" s="2193"/>
      <c r="AL10" s="15" t="s">
        <v>1902</v>
      </c>
      <c r="AM10" s="1297"/>
      <c r="AN10" s="15" t="s">
        <v>1902</v>
      </c>
      <c r="AO10" s="1297"/>
      <c r="AP10" s="15" t="s">
        <v>1903</v>
      </c>
      <c r="AQ10" s="1297"/>
      <c r="AR10" s="15" t="s">
        <v>1903</v>
      </c>
      <c r="AS10" s="1297"/>
      <c r="AT10" s="2177"/>
      <c r="AU10" s="2177"/>
      <c r="AV10" s="1291"/>
      <c r="AW10" s="2160"/>
      <c r="AX10" s="1291"/>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t="s">
        <v>3104</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1904</v>
      </c>
      <c r="AE11" s="1818"/>
      <c r="AF11" s="2199" t="s">
        <v>1904</v>
      </c>
      <c r="AG11" s="1818"/>
      <c r="AH11" s="2199" t="s">
        <v>1905</v>
      </c>
      <c r="AI11" s="2200"/>
      <c r="AJ11" s="2199" t="s">
        <v>1905</v>
      </c>
      <c r="AK11" s="1818"/>
      <c r="AL11" s="1816"/>
      <c r="AM11" s="1818"/>
      <c r="AN11" s="1816"/>
      <c r="AO11" s="1818"/>
      <c r="AP11" s="1816"/>
      <c r="AQ11" s="1818"/>
      <c r="AR11" s="1816"/>
      <c r="AS11" s="1818"/>
      <c r="AT11" s="2160"/>
      <c r="AU11" s="2177"/>
      <c r="AV11" s="1291"/>
      <c r="AW11" s="2160"/>
      <c r="AX11" s="1291"/>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4"/>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底商</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1271"/>
      <c r="D13" s="2208" t="s">
        <v>3115</v>
      </c>
      <c r="E13" s="16">
        <f>IF($C$3="是",ROUND($A$3*G13/$B$3,2),ROUND($A$3*(G13-AT13)/$B$3,2))</f>
        <v>0</v>
      </c>
      <c r="F13" s="32"/>
      <c r="G13" s="33">
        <f>H13+AC13+AT13</f>
        <v>765.92</v>
      </c>
      <c r="H13" s="20">
        <f>SUMIF(I$12:AB$12,"总值",I13:AB13)</f>
        <v>765.92</v>
      </c>
      <c r="I13" s="2209">
        <v>765.92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1"/>
      <c r="B14" s="1271"/>
      <c r="C14" s="2148"/>
      <c r="D14" s="2208" t="s">
        <v>3105</v>
      </c>
      <c r="E14" s="16">
        <f>IF($C$3="是",ROUND($A$3*G14/$B$3,2),ROUND($A$3*(G14-AT14)/$B$3,2))</f>
        <v>0</v>
      </c>
      <c r="F14" s="32"/>
      <c r="G14" s="33">
        <f>H14+AC14+AT14</f>
        <v>631.32000000000005</v>
      </c>
      <c r="H14" s="20">
        <f>SUMIF(I$12:AB$12,"总值",I14:AB14)</f>
        <v>631.32000000000005</v>
      </c>
      <c r="I14" s="2209">
        <v>631.32000000000005</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631.32000000000005</v>
      </c>
      <c r="BA14" s="16">
        <f>SUM(BB14:BK14)</f>
        <v>631.32000000000005</v>
      </c>
      <c r="BB14" s="16">
        <f>IF($D14="是",I14-J14,0)</f>
        <v>631.32000000000005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2148"/>
      <c r="D15" s="2208" t="s">
        <v>3115</v>
      </c>
      <c r="E15" s="16">
        <f>IF($C$3="是",ROUND($A$3*G15/$B$3,2),ROUND($A$3*(G15-AT15)/$B$3,2))</f>
        <v>0</v>
      </c>
      <c r="F15" s="32"/>
      <c r="G15" s="33">
        <f>H15+AC15+AT15</f>
        <v>766.01</v>
      </c>
      <c r="H15" s="20">
        <f>SUMIF(I$12:AB$12,"总值",I15:AB15)</f>
        <v>766.01</v>
      </c>
      <c r="I15" s="2209">
        <v>766.01</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91"/>
      <c r="C1" s="1391"/>
      <c r="D1" s="1391"/>
      <c r="E1" s="1391"/>
      <c r="F1" s="1391"/>
      <c r="G1" s="1391"/>
      <c r="H1" s="1391"/>
      <c r="I1" s="1391"/>
      <c r="J1" s="1391"/>
      <c r="K1" s="1391"/>
      <c r="L1" s="1391"/>
      <c r="M1" s="1391"/>
      <c r="N1" s="1391"/>
      <c r="O1" s="1391"/>
      <c r="P1" s="1391"/>
    </row>
    <row r="2" spans="1:16" ht="15">
      <c r="A2" s="3093" t="s">
        <v>1934</v>
      </c>
      <c r="B2" s="3093"/>
      <c r="C2" s="3093"/>
      <c r="D2" s="967" t="s">
        <v>1910</v>
      </c>
      <c r="E2" s="2222" t="s">
        <v>1911</v>
      </c>
      <c r="F2" s="1391"/>
      <c r="G2" s="2223"/>
      <c r="H2" s="2224"/>
      <c r="I2" s="2225" t="s">
        <v>1935</v>
      </c>
      <c r="J2" s="1391"/>
      <c r="K2" s="1391"/>
      <c r="L2" s="1391"/>
      <c r="M2" s="1391"/>
      <c r="N2" s="1426"/>
      <c r="O2" s="1391"/>
      <c r="P2" s="1391"/>
    </row>
    <row r="3" spans="1:16" ht="15.75" thickBot="1">
      <c r="A3" s="3094" t="s">
        <v>1908</v>
      </c>
      <c r="B3" s="3094"/>
      <c r="C3" s="3094"/>
      <c r="D3" s="46">
        <f>'数据-基础表'!AY6</f>
        <v>0</v>
      </c>
      <c r="E3" s="46">
        <f>'数据-基础表'!AZ5</f>
        <v>631.32000000000005</v>
      </c>
      <c r="F3" s="1391"/>
      <c r="G3" s="1398"/>
      <c r="H3" s="1246" t="s">
        <v>1909</v>
      </c>
      <c r="I3" s="55" t="e">
        <f>ROUND('数据-基础表'!B3/'数据-基础表'!A3,2)</f>
        <v>#DIV/0!</v>
      </c>
      <c r="J3" s="1391"/>
      <c r="K3" s="1391"/>
      <c r="L3" s="1391"/>
      <c r="M3" s="1391"/>
      <c r="N3" s="1426"/>
      <c r="O3" s="1391"/>
      <c r="P3" s="1391"/>
    </row>
    <row r="4" spans="1:16" ht="15">
      <c r="A4" s="3095"/>
      <c r="B4" s="3096"/>
      <c r="C4" s="3097"/>
      <c r="D4" s="2226" t="s">
        <v>1910</v>
      </c>
      <c r="E4" s="2227" t="s">
        <v>1911</v>
      </c>
      <c r="F4" s="1391"/>
      <c r="G4" s="2228" t="s">
        <v>1936</v>
      </c>
      <c r="H4" s="1246" t="s">
        <v>1916</v>
      </c>
      <c r="I4" s="55" t="e">
        <f>ROUND(SUMIF('数据-基础表'!I9:AS9,"地上",'数据-基础表'!I5:AS5)/'数据-基础表'!A3,2)</f>
        <v>#DIV/0!</v>
      </c>
      <c r="J4" s="1391"/>
      <c r="K4" s="1391"/>
      <c r="L4" s="1391"/>
      <c r="M4" s="1391"/>
      <c r="N4" s="1426"/>
      <c r="O4" s="1391"/>
      <c r="P4" s="1391"/>
    </row>
    <row r="5" spans="1:16">
      <c r="A5" s="47" t="s">
        <v>1912</v>
      </c>
      <c r="B5" s="3098" t="s">
        <v>1913</v>
      </c>
      <c r="C5" s="3098"/>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229"/>
      <c r="B6" s="3098" t="s">
        <v>1914</v>
      </c>
      <c r="C6" s="3098"/>
      <c r="D6" s="48">
        <f>ROUND($D$3*E6/$E$3,2)</f>
        <v>0</v>
      </c>
      <c r="E6" s="49">
        <f>E3-E5</f>
        <v>631.32000000000005</v>
      </c>
      <c r="F6" s="1391"/>
      <c r="G6" s="2230" t="s">
        <v>1915</v>
      </c>
      <c r="H6" s="1398" t="s">
        <v>1916</v>
      </c>
      <c r="I6" s="939" t="e">
        <f>ROUND(F31/D31,2)</f>
        <v>#DIV/0!</v>
      </c>
      <c r="J6" s="1391"/>
      <c r="K6" s="1391"/>
      <c r="L6" s="1391"/>
      <c r="M6" s="1391"/>
      <c r="N6" s="1391"/>
      <c r="O6" s="1391"/>
      <c r="P6" s="1391"/>
    </row>
    <row r="7" spans="1:16" ht="15">
      <c r="A7" s="3090"/>
      <c r="B7" s="3091"/>
      <c r="C7" s="3092"/>
      <c r="D7" s="2226" t="s">
        <v>1910</v>
      </c>
      <c r="E7" s="2231" t="s">
        <v>1917</v>
      </c>
      <c r="F7" s="1391"/>
      <c r="G7" s="2223" t="s">
        <v>1918</v>
      </c>
      <c r="H7" s="64"/>
      <c r="I7" s="420"/>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631.32000000000005</v>
      </c>
      <c r="F8" s="1391"/>
      <c r="G8" s="2232"/>
      <c r="H8" s="2232"/>
      <c r="I8" s="1391"/>
      <c r="J8" s="1391"/>
      <c r="K8" s="1391"/>
      <c r="L8" s="1391"/>
      <c r="M8" s="1391"/>
      <c r="N8" s="1391"/>
      <c r="O8" s="1391"/>
      <c r="P8" s="1391"/>
    </row>
    <row r="9" spans="1:16">
      <c r="A9" s="2233"/>
      <c r="B9" s="2234"/>
      <c r="C9" s="48" t="s">
        <v>1922</v>
      </c>
      <c r="D9" s="48">
        <f t="shared" si="0"/>
        <v>0</v>
      </c>
      <c r="E9" s="52">
        <v>0</v>
      </c>
      <c r="F9" s="1391"/>
      <c r="G9" s="2232"/>
      <c r="H9" s="2232"/>
      <c r="I9" s="1391"/>
      <c r="J9" s="1391"/>
      <c r="K9" s="1391"/>
      <c r="L9" s="1391"/>
      <c r="M9" s="1391"/>
      <c r="N9" s="1391"/>
      <c r="O9" s="1391"/>
      <c r="P9" s="1391"/>
    </row>
    <row r="10" spans="1:16">
      <c r="A10" s="2233"/>
      <c r="B10" s="2234"/>
      <c r="C10" s="48" t="s">
        <v>1931</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1923</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1924</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1925</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1937</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1932</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1926</v>
      </c>
      <c r="D16" s="50">
        <f>SUM(D8:D15)</f>
        <v>0</v>
      </c>
      <c r="E16" s="53">
        <f>SUM(E8:E15)</f>
        <v>631.32000000000005</v>
      </c>
      <c r="F16" s="1391"/>
      <c r="G16" s="2232"/>
      <c r="H16" s="2235" t="s">
        <v>1938</v>
      </c>
      <c r="I16" s="2236"/>
      <c r="J16" s="1391"/>
      <c r="K16" s="3087" t="s">
        <v>1938</v>
      </c>
      <c r="L16" s="3088"/>
      <c r="M16" s="3088"/>
      <c r="N16" s="3088"/>
      <c r="O16" s="3088"/>
      <c r="P16" s="3089"/>
    </row>
    <row r="17" spans="1:19" ht="15">
      <c r="A17" s="2237" t="s">
        <v>1939</v>
      </c>
      <c r="B17" s="2238" t="s">
        <v>1940</v>
      </c>
      <c r="C17" s="2239" t="s">
        <v>1941</v>
      </c>
      <c r="D17" s="2240" t="s">
        <v>1929</v>
      </c>
      <c r="E17" s="2241" t="s">
        <v>1930</v>
      </c>
      <c r="F17" s="2242"/>
      <c r="G17" s="2243"/>
      <c r="H17" s="2244" t="s">
        <v>1942</v>
      </c>
      <c r="I17" s="2245" t="s">
        <v>1927</v>
      </c>
      <c r="J17" s="1391"/>
      <c r="K17" s="3084" t="s">
        <v>1943</v>
      </c>
      <c r="L17" s="3085"/>
      <c r="M17" s="3086"/>
      <c r="N17" s="3084" t="s">
        <v>1944</v>
      </c>
      <c r="O17" s="3085"/>
      <c r="P17" s="3086"/>
      <c r="R17" s="2223" t="s">
        <v>1945</v>
      </c>
      <c r="S17" s="64"/>
    </row>
    <row r="18" spans="1:19" ht="15">
      <c r="A18" s="2233"/>
      <c r="B18" s="2246"/>
      <c r="C18" s="2247"/>
      <c r="D18" s="2248"/>
      <c r="E18" s="2249" t="s">
        <v>1946</v>
      </c>
      <c r="F18" s="2250" t="s">
        <v>1947</v>
      </c>
      <c r="G18" s="2251" t="s">
        <v>1948</v>
      </c>
      <c r="H18" s="1261" t="s">
        <v>1949</v>
      </c>
      <c r="I18" s="2252" t="s">
        <v>1950</v>
      </c>
      <c r="J18" s="1391"/>
      <c r="K18" s="1261" t="s">
        <v>1951</v>
      </c>
      <c r="L18" s="2253" t="s">
        <v>1952</v>
      </c>
      <c r="M18" s="1045" t="s">
        <v>1953</v>
      </c>
      <c r="N18" s="1261" t="s">
        <v>1951</v>
      </c>
      <c r="O18" s="2253" t="s">
        <v>1952</v>
      </c>
      <c r="P18" s="1045" t="s">
        <v>1953</v>
      </c>
      <c r="R18" s="1246" t="s">
        <v>1954</v>
      </c>
      <c r="S18" s="1246" t="s">
        <v>1955</v>
      </c>
    </row>
    <row r="19" spans="1:19">
      <c r="A19" s="2254"/>
      <c r="B19" s="50" t="s">
        <v>1928</v>
      </c>
      <c r="C19" s="2255">
        <v>102</v>
      </c>
      <c r="D19" s="48">
        <f>ROUND($D$3*E19/$E$3,2)</f>
        <v>0</v>
      </c>
      <c r="E19" s="56">
        <f t="shared" ref="E19:E26" si="1">SUM(F19:G19)</f>
        <v>631.32000000000005</v>
      </c>
      <c r="F19" s="57">
        <f>'数据-基础表'!I14</f>
        <v>631.32000000000005</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0</v>
      </c>
      <c r="S19" s="1247">
        <f t="shared" si="5"/>
        <v>631.32000000000005</v>
      </c>
    </row>
    <row r="20" spans="1:19">
      <c r="A20" s="2258"/>
      <c r="B20" s="50" t="s">
        <v>1956</v>
      </c>
      <c r="C20" s="2255"/>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255"/>
      <c r="D21" s="48">
        <f t="shared" si="6"/>
        <v>0</v>
      </c>
      <c r="E21" s="56">
        <f t="shared" si="1"/>
        <v>0</v>
      </c>
      <c r="F21" s="57"/>
      <c r="G21" s="58"/>
      <c r="H21" s="723">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1957</v>
      </c>
      <c r="D27" s="1392">
        <f>SUM(D19:D26)</f>
        <v>0</v>
      </c>
      <c r="E27" s="1393">
        <f>IF(SUM(E19:E26)='数据-基础表'!BA5,SUM(E19:E26),IF(F27="地上面积有误","面积有误","地下面积有误"))</f>
        <v>631.32000000000005</v>
      </c>
      <c r="F27" s="1392">
        <f>IF(SUM(F19:F26)=E8,SUM(F19:F26),"地上面积有误")</f>
        <v>631.32000000000005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631.32000000000005</v>
      </c>
    </row>
    <row r="28" spans="1:19">
      <c r="A28" s="2258"/>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1958</v>
      </c>
      <c r="C29" s="2262"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7" t="s">
        <v>1961</v>
      </c>
      <c r="D31" s="729">
        <f>D27+D30</f>
        <v>0</v>
      </c>
      <c r="E31" s="729">
        <f>E27+E30</f>
        <v>631.32000000000005</v>
      </c>
      <c r="F31" s="730">
        <f>F27+F30</f>
        <v>631.32000000000005</v>
      </c>
      <c r="G31" s="731">
        <f>G27+G30</f>
        <v>0</v>
      </c>
      <c r="H31" s="1391"/>
      <c r="I31" s="1391"/>
      <c r="J31" s="1391"/>
      <c r="K31" s="1391"/>
      <c r="L31" s="1391"/>
      <c r="M31" s="1391"/>
      <c r="N31" s="1391"/>
      <c r="O31" s="1391"/>
      <c r="P31" s="1391"/>
    </row>
    <row r="32" spans="1:19">
      <c r="A32" s="2228"/>
      <c r="B32" s="2228" t="s">
        <v>1962</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43914</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3107</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69" t="s">
        <v>2004</v>
      </c>
      <c r="AP5" s="1248"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f>'数据-汇总表'!C19</f>
        <v>102</v>
      </c>
      <c r="B6" s="2302" t="str">
        <f>IF(A6=0,"","经营性")</f>
        <v>经营性</v>
      </c>
      <c r="C6" s="2303" t="s">
        <v>1372</v>
      </c>
      <c r="D6" s="1050">
        <f>SUMIF(项目基本情况!D$12:I$12,C6,项目基本情况!D$14:I$14)</f>
        <v>40</v>
      </c>
      <c r="E6" s="1047">
        <f>IF(B6="","",SUMIF(项目基本情况!D$12:I$12,C6,项目基本情况!D$13:I$13))</f>
        <v>54584</v>
      </c>
      <c r="F6" s="72">
        <f>SUMIF(项目基本情况!D$12:I$12,C6,项目基本情况!D$15:I$15)</f>
        <v>29.23</v>
      </c>
      <c r="G6" s="73">
        <f>IF(ISERROR(ROUND(POWER(1+H6,D6-F6)*(POWER(1+H6,F6)-1)/(POWER(1+H6,D6)-1),3)),0,ROUND(POWER(1+H6,D6-F6)*(POWER(1+H6,F6)-1)/(POWER(1+H6,D6)-1),3))</f>
        <v>0.88600000000000001</v>
      </c>
      <c r="H6" s="802">
        <v>0.05</v>
      </c>
      <c r="I6" s="802">
        <v>0.06</v>
      </c>
      <c r="J6" s="74">
        <v>8.5000000000000006E-2</v>
      </c>
      <c r="K6" s="1250">
        <f>SUMIF('数据-汇总表'!C$19:C$33,A6,'数据-汇总表'!E$19:E$33)</f>
        <v>631.32000000000005</v>
      </c>
      <c r="L6" s="803">
        <v>3500</v>
      </c>
      <c r="M6" s="75">
        <f t="shared" ref="M6:M14" si="0">ROUND(K6*L6/10000,0)</f>
        <v>221</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f>'比较法-商业租金'!C48</f>
        <v>9.1</v>
      </c>
      <c r="V6" s="79">
        <v>2.5000000000000001E-2</v>
      </c>
      <c r="W6" s="79">
        <v>0.1</v>
      </c>
      <c r="X6" s="1260"/>
      <c r="Y6" s="80">
        <f>N6</f>
        <v>0.86699999999999999</v>
      </c>
      <c r="Z6" s="81"/>
      <c r="AA6" s="74"/>
      <c r="AB6" s="74"/>
      <c r="AC6" s="1260"/>
      <c r="AD6" s="82"/>
      <c r="AE6" s="1261">
        <f ca="1">IF(AN6="",0,SUMIF(INDIRECT("'"&amp;AN6&amp;"'"&amp;"!E:E"),$AE$5,INDIRECT("'"&amp;AN6&amp;"'"&amp;"!F:F")))</f>
        <v>29.23</v>
      </c>
      <c r="AF6" s="1803"/>
      <c r="AG6" s="147">
        <f>IF(AF6="",0,AE6-AF6)</f>
        <v>0</v>
      </c>
      <c r="AH6" s="83"/>
      <c r="AI6" s="85">
        <v>365</v>
      </c>
      <c r="AJ6" s="86"/>
      <c r="AK6" s="87">
        <v>1.4999999999999999E-2</v>
      </c>
      <c r="AL6" s="88">
        <v>1.5E-3</v>
      </c>
      <c r="AM6" s="89">
        <v>0.01</v>
      </c>
      <c r="AN6" s="2304" t="s">
        <v>3106</v>
      </c>
      <c r="AO6" s="55">
        <f ca="1">SUMIF(INDIRECT("'"&amp;AN6&amp;"'"&amp;"!A:A"),"总价",INDIRECT("'"&amp;AN6&amp;"'"&amp;"!B:B"))</f>
        <v>2680</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5"/>
      <c r="D16" s="2309"/>
      <c r="E16" s="97"/>
      <c r="F16" s="97"/>
      <c r="G16" s="98">
        <f>ROUND(SUMPRODUCT(G6:G13,K6:K13)/SUMPRODUCT((G6:G13&gt;0)*(K6:K13)),3)</f>
        <v>0.88600000000000001</v>
      </c>
      <c r="H16" s="99">
        <f>ROUND(SUMPRODUCT(H6:H13,K6:K13)/SUMPRODUCT((H6:H13&gt;0)*(K6:K13)),3)</f>
        <v>0.05</v>
      </c>
      <c r="I16" s="100"/>
      <c r="J16" s="100"/>
      <c r="K16" s="101">
        <f>SUM(K6:K15)</f>
        <v>631.32000000000005</v>
      </c>
      <c r="L16" s="102">
        <f>ROUND(M16*10000/SUM(K6:K14),0)</f>
        <v>3501</v>
      </c>
      <c r="M16" s="102">
        <f>SUM(M6:M14)</f>
        <v>221</v>
      </c>
      <c r="N16" s="103">
        <f>ROUND(SUMPRODUCT(M6:M14,N6:N14)/M16,3)</f>
        <v>0.86699999999999999</v>
      </c>
      <c r="O16" s="102">
        <f>SUM(O6:O14)</f>
        <v>0</v>
      </c>
      <c r="P16" s="102">
        <f>SUM(P6:P14)</f>
        <v>0</v>
      </c>
      <c r="Q16" s="104">
        <f>ROUND(SUMPRODUCT(Q6:Q13,K6:K13)/SUMPRODUCT((Q6:Q13&gt;0)*(K6:K13)),2)</f>
        <v>0.15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2</v>
      </c>
      <c r="C20" s="2272" t="s">
        <v>2017</v>
      </c>
      <c r="D20" s="2273"/>
      <c r="E20" s="2272"/>
      <c r="F20" s="2272"/>
      <c r="G20" s="2272"/>
      <c r="H20" s="2272"/>
      <c r="I20" s="2272"/>
      <c r="J20" s="2272"/>
      <c r="K20" s="168"/>
      <c r="L20" s="168"/>
      <c r="M20" s="1580"/>
      <c r="N20" s="1580"/>
      <c r="O20" s="1580"/>
      <c r="P20" s="1580"/>
      <c r="Q20" s="1580"/>
      <c r="R20" s="1580"/>
      <c r="S20" s="1580"/>
      <c r="T20" s="1580"/>
      <c r="U20" s="1580">
        <f>8*0.7</f>
        <v>5.6</v>
      </c>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v>160</v>
      </c>
      <c r="C27" s="1763" t="s">
        <v>2026</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2027</v>
      </c>
      <c r="B28" s="119">
        <v>190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2028</v>
      </c>
      <c r="B29" s="121">
        <f>ROUND(B28*K16/10000,0)</f>
        <v>12</v>
      </c>
      <c r="C29" s="1763" t="s">
        <v>2029</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2030</v>
      </c>
      <c r="B30" s="724">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2031</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2032</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2033</v>
      </c>
      <c r="B33" s="726">
        <v>0.03</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2035</v>
      </c>
      <c r="B34" s="122"/>
      <c r="C34" s="1762" t="s">
        <v>2036</v>
      </c>
      <c r="D34" s="2273" t="s">
        <v>2037</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2038</v>
      </c>
      <c r="B35" s="119">
        <v>200</v>
      </c>
      <c r="C35" s="1762" t="s">
        <v>2039</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2">
        <v>0.02</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3">
        <f>SUMIF(A54:A63,B53,B54:B63)</f>
        <v>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c r="C53" s="1426"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99" t="s">
        <v>2079</v>
      </c>
      <c r="B1" s="3100"/>
      <c r="C1" s="3100"/>
      <c r="D1" s="3100"/>
      <c r="E1" s="3100"/>
      <c r="F1" s="3100"/>
      <c r="G1" s="310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54">
      <c r="A3" s="415" t="s">
        <v>2082</v>
      </c>
      <c r="B3" s="1267" t="s">
        <v>2083</v>
      </c>
      <c r="C3" s="2364" t="s">
        <v>2084</v>
      </c>
      <c r="D3" s="2365"/>
      <c r="E3" s="431" t="s">
        <v>2082</v>
      </c>
      <c r="F3" s="2366" t="s">
        <v>2085</v>
      </c>
      <c r="G3" s="2367" t="s">
        <v>2086</v>
      </c>
      <c r="H3" s="2362"/>
      <c r="I3" s="2362"/>
      <c r="J3" s="2362"/>
      <c r="K3" s="2362"/>
      <c r="L3" s="2362"/>
      <c r="M3" s="2362"/>
      <c r="N3" s="2362"/>
      <c r="O3" s="2362"/>
      <c r="P3" s="2362"/>
      <c r="Q3" s="2362"/>
      <c r="R3" s="2362"/>
    </row>
    <row r="4" spans="1:29" ht="41.25">
      <c r="A4" s="431"/>
      <c r="B4" s="1794" t="s">
        <v>2087</v>
      </c>
      <c r="C4" s="2368" t="s">
        <v>2088</v>
      </c>
      <c r="D4" s="2365"/>
      <c r="E4" s="2369"/>
      <c r="F4" s="42" t="s">
        <v>2089</v>
      </c>
      <c r="G4" s="2370" t="s">
        <v>2090</v>
      </c>
      <c r="H4" s="2362"/>
      <c r="I4" s="2362"/>
      <c r="J4" s="2362"/>
      <c r="K4" s="2362"/>
      <c r="L4" s="2362"/>
      <c r="M4" s="2362"/>
      <c r="N4" s="2362"/>
      <c r="O4" s="2362"/>
      <c r="P4" s="2362"/>
      <c r="Q4" s="2362"/>
      <c r="R4" s="2362"/>
    </row>
    <row r="5" spans="1:29" ht="41.25">
      <c r="A5" s="431"/>
      <c r="B5" s="1794" t="s">
        <v>2091</v>
      </c>
      <c r="C5" s="2368" t="s">
        <v>2092</v>
      </c>
      <c r="D5" s="2365"/>
      <c r="E5" s="2369"/>
      <c r="F5" s="1794" t="s">
        <v>2093</v>
      </c>
      <c r="G5" s="2370" t="s">
        <v>2094</v>
      </c>
      <c r="H5" s="2362"/>
      <c r="I5" s="2362"/>
      <c r="J5" s="2362"/>
      <c r="K5" s="2362"/>
      <c r="L5" s="2362"/>
      <c r="M5" s="2362"/>
      <c r="N5" s="2362"/>
      <c r="O5" s="2362"/>
      <c r="P5" s="2362"/>
      <c r="Q5" s="2362"/>
      <c r="R5" s="2362"/>
    </row>
    <row r="6" spans="1:29" ht="54">
      <c r="A6" s="431"/>
      <c r="B6" s="1794" t="s">
        <v>2095</v>
      </c>
      <c r="C6" s="2370" t="s">
        <v>2090</v>
      </c>
      <c r="D6" s="2365"/>
      <c r="E6" s="2369"/>
      <c r="F6" s="1794" t="s">
        <v>2096</v>
      </c>
      <c r="G6" s="2370" t="s">
        <v>2097</v>
      </c>
      <c r="H6" s="2362"/>
      <c r="I6" s="2362"/>
      <c r="J6" s="2362"/>
      <c r="K6" s="2362"/>
      <c r="L6" s="2362"/>
      <c r="M6" s="2362"/>
      <c r="N6" s="2362"/>
      <c r="O6" s="2362"/>
      <c r="P6" s="2362"/>
      <c r="Q6" s="2362"/>
      <c r="R6" s="2362"/>
    </row>
    <row r="7" spans="1:29" ht="41.25" thickBot="1">
      <c r="A7" s="431"/>
      <c r="B7" s="1794" t="s">
        <v>2093</v>
      </c>
      <c r="C7" s="2370" t="s">
        <v>2094</v>
      </c>
      <c r="D7" s="2371"/>
      <c r="E7" s="2372"/>
      <c r="F7" s="2373" t="s">
        <v>2098</v>
      </c>
      <c r="G7" s="2374" t="s">
        <v>2099</v>
      </c>
      <c r="H7" s="2362"/>
      <c r="I7" s="2362"/>
      <c r="J7" s="2362"/>
      <c r="K7" s="2362"/>
      <c r="L7" s="2362"/>
      <c r="M7" s="2362"/>
      <c r="N7" s="2362"/>
      <c r="O7" s="2362"/>
      <c r="P7" s="2362"/>
      <c r="Q7" s="2362"/>
      <c r="R7" s="2362"/>
    </row>
    <row r="8" spans="1:29" ht="27">
      <c r="A8" s="431"/>
      <c r="B8" s="1794" t="s">
        <v>2096</v>
      </c>
      <c r="C8" s="2370" t="s">
        <v>2097</v>
      </c>
      <c r="D8" s="2371"/>
      <c r="E8" s="2371"/>
      <c r="F8" s="1132"/>
      <c r="G8" s="1132"/>
      <c r="H8" s="2362"/>
      <c r="I8" s="2362"/>
      <c r="J8" s="2362"/>
      <c r="K8" s="2362"/>
      <c r="L8" s="2362"/>
      <c r="M8" s="2362"/>
      <c r="N8" s="2362"/>
      <c r="O8" s="2362"/>
      <c r="P8" s="2362"/>
      <c r="Q8" s="2362"/>
      <c r="R8" s="2362"/>
    </row>
    <row r="9" spans="1:29" ht="27">
      <c r="A9" s="431"/>
      <c r="B9" s="1794" t="s">
        <v>2100</v>
      </c>
      <c r="C9" s="2368" t="s">
        <v>2101</v>
      </c>
      <c r="D9" s="2365"/>
      <c r="E9" s="2371"/>
      <c r="F9" s="1132"/>
      <c r="G9" s="1132"/>
      <c r="H9" s="2362"/>
      <c r="I9" s="2362"/>
      <c r="J9" s="2362"/>
      <c r="K9" s="2362"/>
      <c r="L9" s="2362"/>
      <c r="M9" s="2362"/>
      <c r="N9" s="2362"/>
      <c r="O9" s="2362"/>
      <c r="P9" s="2362"/>
      <c r="Q9" s="2362"/>
      <c r="R9" s="2362"/>
    </row>
    <row r="10" spans="1:29" s="117" customFormat="1" ht="15.75" thickBot="1">
      <c r="A10" s="2375"/>
      <c r="B10" s="2376" t="s">
        <v>2102</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2103</v>
      </c>
      <c r="B13" s="2382"/>
      <c r="C13" s="2382"/>
      <c r="D13" s="2389"/>
      <c r="E13" s="2382"/>
      <c r="F13" s="2382"/>
      <c r="G13" s="2382"/>
    </row>
    <row r="14" spans="1:29" ht="15.75" thickBot="1">
      <c r="A14" s="2393"/>
      <c r="B14" s="2394"/>
      <c r="C14" s="2395" t="s">
        <v>2104</v>
      </c>
      <c r="D14" s="2365"/>
      <c r="E14" s="2396"/>
      <c r="F14" s="2396"/>
      <c r="G14" s="2359" t="s">
        <v>2105</v>
      </c>
    </row>
    <row r="15" spans="1:29" ht="57">
      <c r="A15" s="68" t="s">
        <v>2106</v>
      </c>
      <c r="B15" s="1266" t="s">
        <v>2083</v>
      </c>
      <c r="C15" s="2397" t="str">
        <f>C3</f>
        <v>估价对象周边居住用地比例、居住小区规模和社区发展完善程度，综合评价居住社区成熟度一般</v>
      </c>
      <c r="D15" s="2365"/>
      <c r="E15" s="2398" t="s">
        <v>2107</v>
      </c>
      <c r="F15" s="1266" t="s">
        <v>2108</v>
      </c>
      <c r="G15" s="135" t="str">
        <f>G3</f>
        <v>估价对象位于XX开发区，园区建设成熟度XX，产业集聚程度XX</v>
      </c>
    </row>
    <row r="16" spans="1:29" ht="42.75">
      <c r="A16" s="645"/>
      <c r="B16" s="2399" t="s">
        <v>2087</v>
      </c>
      <c r="C16" s="2400" t="str">
        <f>C4</f>
        <v>估价对象位于XX商圈，周边商业氛围成熟，人流量大，商业繁华度好</v>
      </c>
      <c r="D16" s="2365"/>
      <c r="E16" s="2401"/>
      <c r="F16" s="2402" t="s">
        <v>2089</v>
      </c>
      <c r="G16" s="136" t="str">
        <f>G4</f>
        <v>估价对象周边道路状况、公共交通通达情况、停车便捷程度，综合评价交通便捷度较好</v>
      </c>
    </row>
    <row r="17" spans="1:18" ht="42.75">
      <c r="A17" s="645"/>
      <c r="B17" s="2399" t="s">
        <v>2091</v>
      </c>
      <c r="C17" s="2400" t="str">
        <f>C5</f>
        <v>估价对象位于XX商圈，周边办公楼项目较多，入驻率高，办公集聚程度较好</v>
      </c>
      <c r="D17" s="2371"/>
      <c r="E17" s="2401"/>
      <c r="F17" s="2402" t="s">
        <v>2109</v>
      </c>
      <c r="G17" s="1568"/>
    </row>
    <row r="18" spans="1:18" ht="57">
      <c r="A18" s="645"/>
      <c r="B18" s="2402" t="s">
        <v>2095</v>
      </c>
      <c r="C18" s="136" t="str">
        <f>C6</f>
        <v>估价对象周边道路状况、公共交通通达情况、停车便捷程度，综合评价交通便捷度较好</v>
      </c>
      <c r="D18" s="2371"/>
      <c r="E18" s="2401"/>
      <c r="F18" s="2402" t="s">
        <v>2098</v>
      </c>
      <c r="G18" s="136" t="str">
        <f>G7</f>
        <v>该园区内是否有污染型企业，绿化情况，卫生条件，整体环境状况判断</v>
      </c>
    </row>
    <row r="19" spans="1:18" ht="28.5">
      <c r="A19" s="645"/>
      <c r="B19" s="2402" t="s">
        <v>2110</v>
      </c>
      <c r="C19" s="1568"/>
      <c r="D19" s="2365"/>
      <c r="E19" s="2401"/>
      <c r="F19" s="1794" t="s">
        <v>2093</v>
      </c>
      <c r="G19" s="136" t="str">
        <f>G5</f>
        <v>估价对象所在区域公共配套设施齐备情况</v>
      </c>
    </row>
    <row r="20" spans="1:18" ht="28.5">
      <c r="A20" s="645"/>
      <c r="B20" s="2402" t="s">
        <v>2111</v>
      </c>
      <c r="C20" s="2400" t="str">
        <f>C9</f>
        <v>区域自然环境：；人文环境；综合评价环境状况一般</v>
      </c>
      <c r="D20" s="2371"/>
      <c r="E20" s="2401"/>
      <c r="F20" s="1794" t="s">
        <v>2112</v>
      </c>
      <c r="G20" s="136" t="str">
        <f>G6</f>
        <v>估价对象所在区域基础设施水平</v>
      </c>
    </row>
    <row r="21" spans="1:18" ht="28.5">
      <c r="A21" s="645"/>
      <c r="B21" s="1794" t="s">
        <v>2093</v>
      </c>
      <c r="C21" s="136" t="str">
        <f>C7</f>
        <v>估价对象所在区域公共配套设施齐备情况</v>
      </c>
      <c r="D21" s="2365"/>
      <c r="E21" s="2401"/>
      <c r="F21" s="2402" t="s">
        <v>2113</v>
      </c>
      <c r="G21" s="2403"/>
    </row>
    <row r="22" spans="1:18" ht="13.5" customHeight="1">
      <c r="A22" s="645"/>
      <c r="B22" s="1794" t="s">
        <v>2096</v>
      </c>
      <c r="C22" s="136" t="str">
        <f>C8</f>
        <v>估价对象所在区域基础设施水平</v>
      </c>
      <c r="D22" s="2365"/>
      <c r="E22" s="2401"/>
      <c r="F22" s="2402" t="s">
        <v>2102</v>
      </c>
      <c r="G22" s="1568"/>
    </row>
    <row r="23" spans="1:18" s="2362" customFormat="1" ht="15.75" thickBot="1">
      <c r="A23" s="645"/>
      <c r="B23" s="2402" t="s">
        <v>2113</v>
      </c>
      <c r="C23" s="2403"/>
      <c r="D23" s="2390"/>
      <c r="E23" s="2404"/>
      <c r="F23" s="2405" t="s">
        <v>2114</v>
      </c>
      <c r="G23" s="2406"/>
      <c r="H23" s="2390"/>
      <c r="I23" s="2391"/>
      <c r="J23" s="2390"/>
      <c r="K23" s="2390"/>
      <c r="L23" s="2391"/>
      <c r="M23" s="2390"/>
      <c r="N23" s="2390"/>
      <c r="O23" s="2391"/>
      <c r="P23" s="2390"/>
      <c r="Q23" s="2390"/>
      <c r="R23" s="2392"/>
    </row>
    <row r="24" spans="1:18" s="2362" customFormat="1" ht="15.75" thickBot="1">
      <c r="A24" s="2407"/>
      <c r="B24" s="2405" t="s">
        <v>2115</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C5" sqref="C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631.32000000000005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43914</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2717</v>
      </c>
      <c r="C5" s="1742">
        <f ca="1">ROUND(B5*10000/$B$1,0)</f>
        <v>43037</v>
      </c>
      <c r="D5" s="1742" t="e">
        <f ca="1">ROUND(B5*10000/$B$2,0)</f>
        <v>#DIV/0!</v>
      </c>
      <c r="E5" s="1741"/>
      <c r="F5" s="1739"/>
      <c r="G5" s="1739"/>
    </row>
    <row r="6" spans="1:10" ht="16.5">
      <c r="A6" s="1742" t="s">
        <v>1351</v>
      </c>
      <c r="B6" s="1742">
        <f ca="1">SUM(G14:G23)</f>
        <v>2717</v>
      </c>
      <c r="C6" s="1742">
        <f ca="1">ROUND(B6*10000/$B$1,0)</f>
        <v>43037</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 ca="1">SUM(I14:I23)</f>
        <v>2118</v>
      </c>
      <c r="C8" s="1742">
        <f ca="1">ROUND(B8*10000/$B$1,0)</f>
        <v>33549</v>
      </c>
      <c r="D8" s="1742" t="e">
        <f ca="1">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631.32000000000005</v>
      </c>
      <c r="C14" s="1740">
        <f>结果表!C118</f>
        <v>0</v>
      </c>
      <c r="D14" s="1740">
        <f ca="1">结果表!H118</f>
        <v>2717</v>
      </c>
      <c r="E14" s="1740">
        <f ca="1">ROUND(D14*10000/B14,0)</f>
        <v>43037</v>
      </c>
      <c r="F14" s="1740" t="e">
        <f ca="1">ROUND(D14*10000/C14,0)</f>
        <v>#DIV/0!</v>
      </c>
      <c r="G14" s="1740">
        <f ca="1">结果表!D122</f>
        <v>2717</v>
      </c>
      <c r="H14" s="1740" t="str">
        <f>结果表!D124</f>
        <v>——</v>
      </c>
      <c r="I14" s="1740">
        <f ca="1">结果表!D126</f>
        <v>2118</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25" zoomScaleNormal="100" zoomScaleSheetLayoutView="100" zoomScalePageLayoutView="80" workbookViewId="0">
      <selection activeCell="A33" sqref="A33"/>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2116</v>
      </c>
      <c r="B1" s="2413"/>
      <c r="C1" s="2414"/>
      <c r="D1" s="2413"/>
      <c r="E1" s="2413"/>
      <c r="F1" s="2415" t="s">
        <v>2117</v>
      </c>
      <c r="G1" s="2065" t="s">
        <v>2118</v>
      </c>
      <c r="H1" s="2416" t="str">
        <f>IF(G1="现房","——","估价对象范围")</f>
        <v>估价对象范围</v>
      </c>
      <c r="I1" s="2417"/>
    </row>
    <row r="2" spans="1:12" ht="21.75" customHeight="1" thickBot="1">
      <c r="A2" s="3173" t="str">
        <f>项目基本情况!S2</f>
        <v>北京市北京经济技术开发区荣华南路7号院4号楼102商业用房出让国有建设用地使用权及在建建筑物房地产</v>
      </c>
      <c r="B2" s="3174"/>
      <c r="C2" s="3174"/>
      <c r="D2" s="3174"/>
      <c r="E2" s="3174"/>
      <c r="F2" s="3174"/>
      <c r="G2" s="3174"/>
      <c r="H2" s="3174"/>
      <c r="I2" s="3175"/>
    </row>
    <row r="3" spans="1:12" ht="12.75">
      <c r="A3" s="3176" t="s">
        <v>2119</v>
      </c>
      <c r="B3" s="3177"/>
      <c r="C3" s="3177"/>
      <c r="D3" s="3177"/>
      <c r="E3" s="3177"/>
      <c r="F3" s="3177"/>
      <c r="G3" s="3177"/>
      <c r="H3" s="3177"/>
      <c r="I3" s="3177"/>
    </row>
    <row r="4" spans="1:12" ht="14.25">
      <c r="A4" s="2420" t="s">
        <v>2120</v>
      </c>
      <c r="B4" s="2421" t="s">
        <v>2121</v>
      </c>
      <c r="C4" s="2422" t="s">
        <v>3106</v>
      </c>
      <c r="D4" s="2422" t="s">
        <v>3114</v>
      </c>
      <c r="E4" s="3157" t="s">
        <v>2122</v>
      </c>
      <c r="F4" s="3170"/>
      <c r="G4" s="3170"/>
      <c r="H4" s="3170"/>
      <c r="I4" s="3158"/>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比较法</v>
      </c>
    </row>
    <row r="5" spans="1:12" ht="12.75">
      <c r="A5" s="3148" t="s">
        <v>2123</v>
      </c>
      <c r="B5" s="3074">
        <v>25</v>
      </c>
      <c r="C5" s="3178"/>
      <c r="D5" s="3166"/>
      <c r="E5" s="140" t="s">
        <v>2124</v>
      </c>
      <c r="F5" s="2424"/>
      <c r="G5" s="2424"/>
      <c r="H5" s="2424"/>
      <c r="I5" s="1830"/>
    </row>
    <row r="6" spans="1:12" ht="12.75">
      <c r="A6" s="3148"/>
      <c r="B6" s="3074"/>
      <c r="C6" s="3180"/>
      <c r="D6" s="3166"/>
      <c r="E6" s="140" t="s">
        <v>2125</v>
      </c>
      <c r="F6" s="2424"/>
      <c r="G6" s="2424"/>
      <c r="H6" s="2424"/>
      <c r="I6" s="1830"/>
    </row>
    <row r="7" spans="1:12" ht="12.75">
      <c r="A7" s="3148"/>
      <c r="B7" s="3074"/>
      <c r="C7" s="3179"/>
      <c r="D7" s="3166"/>
      <c r="E7" s="140" t="s">
        <v>2126</v>
      </c>
      <c r="F7" s="2424"/>
      <c r="G7" s="2424"/>
      <c r="H7" s="2424"/>
      <c r="I7" s="1830"/>
    </row>
    <row r="8" spans="1:12" ht="12.75">
      <c r="A8" s="3148" t="s">
        <v>2127</v>
      </c>
      <c r="B8" s="3074">
        <v>15</v>
      </c>
      <c r="C8" s="3178"/>
      <c r="D8" s="3166"/>
      <c r="E8" s="140" t="s">
        <v>2128</v>
      </c>
      <c r="F8" s="2424"/>
      <c r="G8" s="2424"/>
      <c r="H8" s="2424"/>
      <c r="I8" s="1830"/>
    </row>
    <row r="9" spans="1:12" ht="12.75">
      <c r="A9" s="3148"/>
      <c r="B9" s="3074"/>
      <c r="C9" s="3179"/>
      <c r="D9" s="3166"/>
      <c r="E9" s="140" t="s">
        <v>2129</v>
      </c>
      <c r="F9" s="2424"/>
      <c r="G9" s="2424"/>
      <c r="H9" s="2424"/>
      <c r="I9" s="1830"/>
    </row>
    <row r="10" spans="1:12" ht="12.75">
      <c r="A10" s="3148" t="s">
        <v>2130</v>
      </c>
      <c r="B10" s="3074">
        <v>15</v>
      </c>
      <c r="C10" s="3178"/>
      <c r="D10" s="3166"/>
      <c r="E10" s="140" t="s">
        <v>2131</v>
      </c>
      <c r="F10" s="2424"/>
      <c r="G10" s="2424"/>
      <c r="H10" s="2424"/>
      <c r="I10" s="1830"/>
    </row>
    <row r="11" spans="1:12" ht="12.75">
      <c r="A11" s="3148"/>
      <c r="B11" s="3074"/>
      <c r="C11" s="3179"/>
      <c r="D11" s="3166"/>
      <c r="E11" s="140" t="s">
        <v>2132</v>
      </c>
      <c r="F11" s="2424"/>
      <c r="G11" s="2424"/>
      <c r="H11" s="2424"/>
      <c r="I11" s="1830"/>
    </row>
    <row r="12" spans="1:12" ht="12.75">
      <c r="A12" s="3148" t="s">
        <v>2133</v>
      </c>
      <c r="B12" s="3074">
        <v>15</v>
      </c>
      <c r="C12" s="3178"/>
      <c r="D12" s="3166"/>
      <c r="E12" s="140" t="s">
        <v>2134</v>
      </c>
      <c r="F12" s="2424"/>
      <c r="G12" s="2424"/>
      <c r="H12" s="2424"/>
      <c r="I12" s="1830"/>
    </row>
    <row r="13" spans="1:12" ht="12.75">
      <c r="A13" s="3148"/>
      <c r="B13" s="3074"/>
      <c r="C13" s="3179"/>
      <c r="D13" s="3166"/>
      <c r="E13" s="140" t="s">
        <v>2135</v>
      </c>
      <c r="F13" s="2424"/>
      <c r="G13" s="2424"/>
      <c r="H13" s="2424"/>
      <c r="I13" s="1830"/>
    </row>
    <row r="14" spans="1:12" ht="12.75">
      <c r="A14" s="3148" t="s">
        <v>2136</v>
      </c>
      <c r="B14" s="3074">
        <v>30</v>
      </c>
      <c r="C14" s="3178">
        <v>5</v>
      </c>
      <c r="D14" s="3166">
        <v>5</v>
      </c>
      <c r="E14" s="140" t="s">
        <v>2137</v>
      </c>
      <c r="F14" s="2424"/>
      <c r="G14" s="2424"/>
      <c r="H14" s="2424"/>
      <c r="I14" s="1830"/>
    </row>
    <row r="15" spans="1:12" ht="12.75">
      <c r="A15" s="3148"/>
      <c r="B15" s="3074"/>
      <c r="C15" s="3180"/>
      <c r="D15" s="3166"/>
      <c r="E15" s="140" t="s">
        <v>2138</v>
      </c>
      <c r="F15" s="2424"/>
      <c r="G15" s="2424"/>
      <c r="H15" s="2424"/>
      <c r="I15" s="1830"/>
    </row>
    <row r="16" spans="1:12" ht="12.75">
      <c r="A16" s="3148"/>
      <c r="B16" s="3074"/>
      <c r="C16" s="3179"/>
      <c r="D16" s="3166"/>
      <c r="E16" s="140" t="s">
        <v>2139</v>
      </c>
      <c r="F16" s="2424"/>
      <c r="G16" s="2424"/>
      <c r="H16" s="2424"/>
      <c r="I16" s="1830"/>
    </row>
    <row r="17" spans="1:35" ht="15">
      <c r="A17" s="2425" t="s">
        <v>2140</v>
      </c>
      <c r="B17" s="64"/>
      <c r="C17" s="141">
        <f>SUM(C5:C16)</f>
        <v>5</v>
      </c>
      <c r="D17" s="141">
        <f>SUM(D5:D16)</f>
        <v>5</v>
      </c>
      <c r="E17" s="138"/>
      <c r="F17" s="138"/>
      <c r="G17" s="138"/>
      <c r="H17" s="138"/>
      <c r="I17" s="138"/>
      <c r="K17" s="2423"/>
      <c r="L17" s="2426" t="s">
        <v>2141</v>
      </c>
      <c r="M17" s="2426" t="s">
        <v>2142</v>
      </c>
    </row>
    <row r="18" spans="1:35" ht="15.75" thickBot="1">
      <c r="A18" s="2427" t="s">
        <v>2143</v>
      </c>
      <c r="B18" s="2428"/>
      <c r="C18" s="142">
        <f>ROUND(C17/SUM(C17:D17),2)</f>
        <v>0.5</v>
      </c>
      <c r="D18" s="142">
        <f>1-C18</f>
        <v>0.5</v>
      </c>
      <c r="E18" s="138"/>
      <c r="F18" s="138"/>
      <c r="G18" s="138"/>
      <c r="H18" s="138"/>
      <c r="I18" s="138"/>
      <c r="K18" s="2423" t="s">
        <v>2144</v>
      </c>
      <c r="L18" s="2423">
        <f>IF(C1="",'数据-汇总表'!E3,SUMIF(项目类型,C1,'数据-汇总表'!E17:E26)+SUMIF(项目类型,C1,'数据-汇总表'!I17:I26))</f>
        <v>631.32000000000005</v>
      </c>
      <c r="M18" s="2423">
        <f>IF(C1="",'数据-汇总表'!E3,SUMIF(项目类型,C1,'数据-汇总表'!E17:E26))</f>
        <v>631.32000000000005</v>
      </c>
    </row>
    <row r="19" spans="1:35" ht="15">
      <c r="A19" s="2429" t="s">
        <v>2145</v>
      </c>
      <c r="B19" s="2430" t="s">
        <v>2146</v>
      </c>
      <c r="C19" s="143">
        <f ca="1">SUMIF(INDIRECT("'"&amp;C4&amp;"'"&amp;"!A:A"),结果表!B19,INDIRECT("'"&amp;C4&amp;"'"&amp;"!B:B"))</f>
        <v>2680</v>
      </c>
      <c r="D19" s="144">
        <f ca="1">SUMIF(INDIRECT("'"&amp;D4&amp;"'"&amp;"!A:A"),结果表!B19,INDIRECT("'"&amp;D4&amp;"'"&amp;"!B:B"))</f>
        <v>2753</v>
      </c>
      <c r="E19" s="2429" t="s">
        <v>2147</v>
      </c>
      <c r="F19" s="2430" t="s">
        <v>2146</v>
      </c>
      <c r="G19" s="145">
        <f ca="1">ROUND(C19*$C$18+D19*$D$18,0)</f>
        <v>2717</v>
      </c>
      <c r="H19" s="2431" t="s">
        <v>2148</v>
      </c>
      <c r="I19" s="138"/>
      <c r="K19" s="2423" t="s">
        <v>2149</v>
      </c>
      <c r="L19" s="2423">
        <f>IF(C1="",'数据-汇总表'!D3,SUMIF(项目类型,C1,'数据-汇总表'!D17:D26)+SUMIF(项目类型,C1,'数据-汇总表'!H17:H27))</f>
        <v>0</v>
      </c>
      <c r="M19" s="2423">
        <f>IF(C1="",'数据-汇总表'!D3,SUMIF(项目类型,C1,'数据-汇总表'!D17:D26))</f>
        <v>0</v>
      </c>
    </row>
    <row r="20" spans="1:35" ht="15">
      <c r="A20" s="2432"/>
      <c r="B20" s="1246" t="s">
        <v>2150</v>
      </c>
      <c r="C20" s="146">
        <f ca="1">SUMIF(INDIRECT("'"&amp;C4&amp;"'"&amp;"!A:A"),结果表!B20,INDIRECT("'"&amp;C4&amp;"'"&amp;"!B:B"))</f>
        <v>42451</v>
      </c>
      <c r="D20" s="147">
        <f ca="1">SUMIF(INDIRECT("'"&amp;D4&amp;"'"&amp;"!A:A"),结果表!B20,INDIRECT("'"&amp;D4&amp;"'"&amp;"!B:B"))</f>
        <v>43600</v>
      </c>
      <c r="E20" s="2432"/>
      <c r="F20" s="1246" t="s">
        <v>2150</v>
      </c>
      <c r="G20" s="148">
        <f ca="1">ROUND(C20*$C$18+D20*$D$18,0)</f>
        <v>43026</v>
      </c>
      <c r="H20" s="980" t="s">
        <v>2151</v>
      </c>
      <c r="I20" s="138"/>
    </row>
    <row r="21" spans="1:35" ht="15" customHeight="1" thickBot="1">
      <c r="A21" s="1000"/>
      <c r="B21" s="2433" t="s">
        <v>2152</v>
      </c>
      <c r="C21" s="789" t="e">
        <f ca="1">ROUND(C19*10000/L19,0)</f>
        <v>#DIV/0!</v>
      </c>
      <c r="D21" s="790" t="e">
        <f ca="1">ROUND(D19*10000/L19,0)</f>
        <v>#DIV/0!</v>
      </c>
      <c r="E21" s="1000"/>
      <c r="F21" s="2433" t="s">
        <v>2152</v>
      </c>
      <c r="G21" s="149" t="e">
        <f ca="1">ROUND(G19*10000/L19,0)</f>
        <v>#DIV/0!</v>
      </c>
      <c r="H21" s="2434" t="s">
        <v>2151</v>
      </c>
      <c r="I21" s="138"/>
    </row>
    <row r="22" spans="1:35" ht="15" thickBot="1">
      <c r="A22" s="2276" t="s">
        <v>2153</v>
      </c>
      <c r="B22" s="2435"/>
      <c r="C22" s="2436"/>
      <c r="D22" s="791">
        <f ca="1">IF(C19&lt;D19,D19/C19-1,C19/D19-1)</f>
        <v>2.723880597014916E-2</v>
      </c>
      <c r="E22" s="138"/>
      <c r="F22" s="138"/>
      <c r="G22" s="138"/>
      <c r="H22" s="138"/>
      <c r="I22" s="138"/>
    </row>
    <row r="23" spans="1:35" ht="13.5" thickBot="1">
      <c r="A23" s="2413"/>
      <c r="B23" s="2413"/>
      <c r="C23" s="2413"/>
      <c r="D23" s="2413"/>
      <c r="E23" s="138"/>
      <c r="F23" s="138"/>
      <c r="G23" s="138"/>
      <c r="H23" s="138"/>
      <c r="I23" s="138"/>
    </row>
    <row r="24" spans="1:35" ht="14.25">
      <c r="A24" s="3187" t="s">
        <v>2154</v>
      </c>
      <c r="B24" s="2430" t="s">
        <v>2146</v>
      </c>
      <c r="C24" s="145">
        <f>IF(B30=0,0,D30)</f>
        <v>0</v>
      </c>
      <c r="D24" s="2437"/>
      <c r="E24" s="138"/>
      <c r="F24" s="138"/>
      <c r="G24" s="138"/>
      <c r="H24" s="138"/>
      <c r="I24" s="138"/>
    </row>
    <row r="25" spans="1:35" ht="14.25">
      <c r="A25" s="3188"/>
      <c r="B25" s="1246" t="s">
        <v>2150</v>
      </c>
      <c r="C25" s="150">
        <f>IF(B30=0,0,C30)</f>
        <v>0</v>
      </c>
      <c r="D25" s="2438"/>
      <c r="E25" s="138"/>
      <c r="F25" s="138"/>
      <c r="G25" s="138"/>
      <c r="H25" s="138"/>
      <c r="I25" s="138"/>
    </row>
    <row r="26" spans="1:35" ht="13.5" customHeight="1">
      <c r="A26" s="2439" t="s">
        <v>2155</v>
      </c>
      <c r="B26" s="151" t="s">
        <v>2156</v>
      </c>
      <c r="C26" s="151" t="s">
        <v>2157</v>
      </c>
      <c r="D26" s="152" t="s">
        <v>2158</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2159</v>
      </c>
      <c r="B30" s="151"/>
      <c r="C30" s="151"/>
      <c r="D30" s="151"/>
      <c r="E30" s="2912" t="s">
        <v>3031</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2160</v>
      </c>
      <c r="B32" s="2443"/>
      <c r="C32" s="153">
        <f ca="1">IF(D32="总价",G19-C24,G20-C25)</f>
        <v>2717</v>
      </c>
      <c r="D32" s="2444" t="s">
        <v>2161</v>
      </c>
      <c r="E32" s="138"/>
      <c r="F32" s="138"/>
      <c r="G32" s="138"/>
      <c r="H32" s="138"/>
      <c r="I32" s="138"/>
    </row>
    <row r="33" spans="1:15" ht="15">
      <c r="A33" s="957" t="s">
        <v>2162</v>
      </c>
      <c r="B33" s="2445"/>
      <c r="C33" s="2446"/>
      <c r="D33" s="2447"/>
      <c r="E33" s="2448" t="s">
        <v>2163</v>
      </c>
      <c r="F33" s="2449" t="str">
        <f>IF(D32="楼面单价","取值（单价）","取值（总价）")</f>
        <v>取值（总价）</v>
      </c>
      <c r="G33" s="138"/>
      <c r="H33" s="138"/>
      <c r="I33" s="138"/>
    </row>
    <row r="34" spans="1:15" ht="15">
      <c r="A34" s="2450"/>
      <c r="B34" s="2451" t="s">
        <v>2164</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2165</v>
      </c>
      <c r="F34" s="1735"/>
      <c r="G34" s="138"/>
      <c r="H34" s="138"/>
      <c r="I34" s="138"/>
    </row>
    <row r="35" spans="1:15" ht="15.75" thickBot="1">
      <c r="A35" s="2453"/>
      <c r="B35" s="2454"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2167</v>
      </c>
      <c r="F35" s="163"/>
      <c r="G35" s="138"/>
      <c r="H35" s="138"/>
      <c r="I35" s="138"/>
    </row>
    <row r="36" spans="1:15" ht="15.75" thickBot="1">
      <c r="A36" s="3167" t="s">
        <v>2168</v>
      </c>
      <c r="B36" s="2456" t="s">
        <v>2169</v>
      </c>
      <c r="C36" s="154"/>
      <c r="D36" s="2457"/>
      <c r="E36" s="2458"/>
      <c r="F36" s="2459"/>
      <c r="G36" s="138"/>
      <c r="H36" s="138"/>
      <c r="I36" s="138"/>
    </row>
    <row r="37" spans="1:15" ht="15.75" thickBot="1">
      <c r="A37" s="3168"/>
      <c r="B37" s="2262" t="s">
        <v>2170</v>
      </c>
      <c r="C37" s="156"/>
      <c r="D37" s="1391"/>
      <c r="E37" s="1391"/>
      <c r="F37" s="2459"/>
      <c r="G37" s="138"/>
      <c r="H37" s="138"/>
      <c r="I37" s="138"/>
    </row>
    <row r="38" spans="1:15" ht="15.75" thickBot="1">
      <c r="A38" s="3169"/>
      <c r="B38" s="2460" t="s">
        <v>2171</v>
      </c>
      <c r="C38" s="727"/>
      <c r="D38" s="2461" t="s">
        <v>2172</v>
      </c>
      <c r="E38" s="1391"/>
      <c r="F38" s="2459"/>
      <c r="G38" s="138"/>
      <c r="H38" s="138"/>
      <c r="I38" s="138"/>
    </row>
    <row r="39" spans="1:15" ht="15">
      <c r="A39" s="2432" t="s">
        <v>2173</v>
      </c>
      <c r="B39" s="2462" t="s">
        <v>2174</v>
      </c>
      <c r="C39" s="2463" t="s">
        <v>2175</v>
      </c>
      <c r="D39" s="2463" t="s">
        <v>2176</v>
      </c>
      <c r="E39" s="2464" t="s">
        <v>2177</v>
      </c>
      <c r="F39" s="2459"/>
      <c r="G39" s="138"/>
      <c r="H39" s="138"/>
      <c r="I39" s="138"/>
    </row>
    <row r="40" spans="1:15" ht="14.25">
      <c r="A40" s="2465" t="s">
        <v>2178</v>
      </c>
      <c r="B40" s="158"/>
      <c r="C40" s="159"/>
      <c r="D40" s="159"/>
      <c r="E40" s="160"/>
      <c r="F40" s="2459"/>
      <c r="G40" s="138"/>
      <c r="H40" s="138"/>
      <c r="I40" s="138"/>
    </row>
    <row r="41" spans="1:15" ht="14.25">
      <c r="A41" s="2465" t="s">
        <v>2179</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184" t="s">
        <v>2182</v>
      </c>
      <c r="B45" s="3185"/>
      <c r="C45" s="3186"/>
      <c r="D45" s="164">
        <f ca="1">ROUND(H101*F45,0)</f>
        <v>2717</v>
      </c>
      <c r="E45" s="165" t="s">
        <v>2183</v>
      </c>
      <c r="F45" s="166">
        <v>1</v>
      </c>
      <c r="G45" s="167" t="s">
        <v>2184</v>
      </c>
      <c r="H45" s="138"/>
      <c r="I45" s="138"/>
      <c r="J45" s="3103" t="s">
        <v>2185</v>
      </c>
      <c r="K45" s="3103"/>
      <c r="L45" s="3103"/>
      <c r="M45" s="3103"/>
      <c r="N45" s="3103"/>
      <c r="O45" s="3103"/>
    </row>
    <row r="46" spans="1:15" ht="14.25" customHeight="1">
      <c r="A46" s="3181" t="s">
        <v>2186</v>
      </c>
      <c r="B46" s="3182"/>
      <c r="C46" s="3182"/>
      <c r="D46" s="3182"/>
      <c r="E46" s="3182"/>
      <c r="F46" s="3182"/>
      <c r="G46" s="3183"/>
      <c r="H46" s="2475"/>
      <c r="I46" s="168"/>
      <c r="J46" s="1808">
        <v>1</v>
      </c>
      <c r="K46" s="3103" t="s">
        <v>2187</v>
      </c>
      <c r="L46" s="3103"/>
      <c r="M46" s="3104"/>
      <c r="N46" s="3104"/>
      <c r="O46" s="3104"/>
    </row>
    <row r="47" spans="1:15" ht="12" customHeight="1">
      <c r="A47" s="169" t="s">
        <v>2188</v>
      </c>
      <c r="B47" s="170"/>
      <c r="C47" s="171"/>
      <c r="D47" s="172" t="s">
        <v>2189</v>
      </c>
      <c r="E47" s="24" t="s">
        <v>2190</v>
      </c>
      <c r="F47" s="173" t="s">
        <v>2191</v>
      </c>
      <c r="G47" s="174" t="s">
        <v>2192</v>
      </c>
      <c r="H47" s="2475"/>
      <c r="I47" s="168"/>
      <c r="J47" s="1808">
        <v>2</v>
      </c>
      <c r="K47" s="3103" t="s">
        <v>2193</v>
      </c>
      <c r="L47" s="3103"/>
      <c r="M47" s="3105">
        <f>'数据-取费表'!B2</f>
        <v>43914</v>
      </c>
      <c r="N47" s="3105"/>
      <c r="O47" s="3105"/>
    </row>
    <row r="48" spans="1:15" ht="25.5">
      <c r="A48" s="3171" t="s">
        <v>2194</v>
      </c>
      <c r="B48" s="3172"/>
      <c r="C48" s="3172"/>
      <c r="D48" s="140">
        <f ca="1">IF(H48="情况1",0,IF(H48="情况2",D52,IF(H48="情况3",D53,IF(H48="情况4",D54))))</f>
        <v>81</v>
      </c>
      <c r="E48" s="1797" t="str">
        <f>IF(H48="情况4","(销售额-原购置价)×税（费）率","销售额×税（费）率")</f>
        <v>(销售额-原购置价)×税（费）率</v>
      </c>
      <c r="F48" s="175">
        <f>IF(H48="情况1","免征",'数据-取费表'!B41)</f>
        <v>5.6000000000000001E-2</v>
      </c>
      <c r="G48" s="2476" t="s">
        <v>2195</v>
      </c>
      <c r="H48" s="2477" t="s">
        <v>3121</v>
      </c>
      <c r="I48" s="2475"/>
      <c r="J48" s="1808">
        <v>3</v>
      </c>
      <c r="K48" s="3103" t="s">
        <v>2196</v>
      </c>
      <c r="L48" s="3103"/>
      <c r="M48" s="3106">
        <f ca="1">H101</f>
        <v>2717</v>
      </c>
      <c r="N48" s="3106"/>
      <c r="O48" s="3106"/>
    </row>
    <row r="49" spans="1:35" ht="25.5" customHeight="1">
      <c r="A49" s="176" t="s">
        <v>2197</v>
      </c>
      <c r="B49" s="3151" t="s">
        <v>2198</v>
      </c>
      <c r="C49" s="3151"/>
      <c r="D49" s="177">
        <v>0</v>
      </c>
      <c r="E49" s="23" t="s">
        <v>2199</v>
      </c>
      <c r="F49" s="28" t="s">
        <v>34</v>
      </c>
      <c r="G49" s="3132"/>
      <c r="H49" s="138"/>
      <c r="I49" s="2478"/>
      <c r="J49" s="1808">
        <v>4</v>
      </c>
      <c r="K49" s="3103" t="str">
        <f>IF(项目基本情况!E8="房地产抵押价值","房地产抵押价值","抵押担保权已注销时的房地产抵押价值")</f>
        <v>房地产抵押价值</v>
      </c>
      <c r="L49" s="3103"/>
      <c r="M49" s="3106">
        <f ca="1">IF(项目基本情况!E8="房地产抵押价值",H107,H109)</f>
        <v>2717</v>
      </c>
      <c r="N49" s="3106"/>
      <c r="O49" s="3106"/>
    </row>
    <row r="50" spans="1:35" ht="25.5" customHeight="1">
      <c r="A50" s="178"/>
      <c r="B50" s="3151" t="s">
        <v>2200</v>
      </c>
      <c r="C50" s="3151"/>
      <c r="D50" s="179"/>
      <c r="E50" s="31"/>
      <c r="F50" s="180"/>
      <c r="G50" s="3133"/>
      <c r="H50" s="138"/>
      <c r="I50" s="2478"/>
      <c r="J50" s="3103" t="s">
        <v>2201</v>
      </c>
      <c r="K50" s="3103"/>
      <c r="L50" s="3103"/>
      <c r="M50" s="3103"/>
      <c r="N50" s="3103"/>
      <c r="O50" s="3103"/>
    </row>
    <row r="51" spans="1:35" ht="12" customHeight="1">
      <c r="A51" s="181"/>
      <c r="B51" s="3151" t="s">
        <v>2202</v>
      </c>
      <c r="C51" s="3151"/>
      <c r="D51" s="182"/>
      <c r="E51" s="30"/>
      <c r="F51" s="180"/>
      <c r="G51" s="3134"/>
      <c r="H51" s="138"/>
      <c r="I51" s="2478"/>
      <c r="J51" s="2479" t="s">
        <v>2203</v>
      </c>
      <c r="K51" s="3103" t="s">
        <v>2204</v>
      </c>
      <c r="L51" s="3103"/>
      <c r="M51" s="2479" t="s">
        <v>2205</v>
      </c>
      <c r="N51" s="2479" t="s">
        <v>2206</v>
      </c>
      <c r="O51" s="2479" t="s">
        <v>2207</v>
      </c>
    </row>
    <row r="52" spans="1:35" ht="24" customHeight="1">
      <c r="A52" s="183" t="s">
        <v>2208</v>
      </c>
      <c r="B52" s="3151" t="s">
        <v>2209</v>
      </c>
      <c r="C52" s="3151"/>
      <c r="D52" s="182">
        <f ca="1">ROUND(D45*'数据-取费表'!B41/(1+'数据-取费表'!C42),0)</f>
        <v>145</v>
      </c>
      <c r="E52" s="11" t="s">
        <v>2210</v>
      </c>
      <c r="F52" s="184">
        <f>'数据-取费表'!B41</f>
        <v>5.6000000000000001E-2</v>
      </c>
      <c r="G52" s="2480"/>
      <c r="H52" s="138"/>
      <c r="I52" s="2478"/>
      <c r="J52" s="1808">
        <v>1</v>
      </c>
      <c r="K52" s="3126" t="s">
        <v>2211</v>
      </c>
      <c r="L52" s="3126"/>
      <c r="M52" s="1750">
        <f ca="1">D48</f>
        <v>81</v>
      </c>
      <c r="N52" s="1808" t="str">
        <f>E48</f>
        <v>(销售额-原购置价)×税（费）率</v>
      </c>
      <c r="O52" s="1751">
        <f>F48</f>
        <v>5.6000000000000001E-2</v>
      </c>
    </row>
    <row r="53" spans="1:35" ht="12" customHeight="1">
      <c r="A53" s="183" t="s">
        <v>2212</v>
      </c>
      <c r="B53" s="3152" t="s">
        <v>2213</v>
      </c>
      <c r="C53" s="3153"/>
      <c r="D53" s="182">
        <f ca="1">ROUND(D45*'数据-取费表'!B41/(1+'数据-取费表'!C42),0)</f>
        <v>145</v>
      </c>
      <c r="E53" s="11" t="s">
        <v>2210</v>
      </c>
      <c r="F53" s="184">
        <f>'数据-取费表'!B41</f>
        <v>5.6000000000000001E-2</v>
      </c>
      <c r="G53" s="2480"/>
      <c r="H53" s="138"/>
      <c r="I53" s="2478"/>
      <c r="J53" s="1808">
        <v>2</v>
      </c>
      <c r="K53" s="3126" t="s">
        <v>2214</v>
      </c>
      <c r="L53" s="3126"/>
      <c r="M53" s="1750">
        <f t="shared" ref="M53:O54" ca="1" si="0">D55</f>
        <v>1</v>
      </c>
      <c r="N53" s="1808" t="str">
        <f t="shared" si="0"/>
        <v>销售额×税（费）率</v>
      </c>
      <c r="O53" s="1751">
        <f t="shared" si="0"/>
        <v>5.0000000000000001E-4</v>
      </c>
    </row>
    <row r="54" spans="1:35" ht="12" customHeight="1">
      <c r="A54" s="183" t="s">
        <v>2215</v>
      </c>
      <c r="B54" s="3152" t="s">
        <v>2216</v>
      </c>
      <c r="C54" s="3153"/>
      <c r="D54" s="182">
        <f ca="1">C68</f>
        <v>81</v>
      </c>
      <c r="E54" s="30" t="s">
        <v>2217</v>
      </c>
      <c r="F54" s="184">
        <f>'数据-取费表'!B41</f>
        <v>5.6000000000000001E-2</v>
      </c>
      <c r="G54" s="2480"/>
      <c r="H54" s="2481"/>
      <c r="I54" s="2478"/>
      <c r="J54" s="1808">
        <v>3</v>
      </c>
      <c r="K54" s="3126" t="s">
        <v>2218</v>
      </c>
      <c r="L54" s="3126"/>
      <c r="M54" s="1750">
        <f t="shared" ca="1" si="0"/>
        <v>517</v>
      </c>
      <c r="N54" s="1808" t="str">
        <f t="shared" si="0"/>
        <v>增值额×税（费）率</v>
      </c>
      <c r="O54" s="1752" t="str">
        <f t="shared" si="0"/>
        <v>——</v>
      </c>
    </row>
    <row r="55" spans="1:35" ht="24" customHeight="1">
      <c r="A55" s="3190" t="s">
        <v>2219</v>
      </c>
      <c r="B55" s="3172"/>
      <c r="C55" s="3172"/>
      <c r="D55" s="185">
        <f ca="1">IF(H55="个人住宅",0,ROUND(D45*I55,0))</f>
        <v>1</v>
      </c>
      <c r="E55" s="11" t="s">
        <v>2220</v>
      </c>
      <c r="F55" s="184">
        <f>IF(H55="正常",I55,"免征")</f>
        <v>5.0000000000000001E-4</v>
      </c>
      <c r="G55" s="2480"/>
      <c r="H55" s="2477" t="s">
        <v>2221</v>
      </c>
      <c r="I55" s="186">
        <f>'数据-取费表'!B49</f>
        <v>5.0000000000000001E-4</v>
      </c>
      <c r="J55" s="1808" t="str">
        <f>IF(H59="非个人房产","",4)</f>
        <v/>
      </c>
      <c r="K55" s="3126" t="str">
        <f>IF(H59="非个人房产","——","个人所得税")</f>
        <v>——</v>
      </c>
      <c r="L55" s="3126"/>
      <c r="M55" s="1753" t="str">
        <f>D59</f>
        <v>——</v>
      </c>
      <c r="N55" s="1806" t="str">
        <f>E59</f>
        <v>——</v>
      </c>
      <c r="O55" s="1754" t="str">
        <f>F59</f>
        <v>——</v>
      </c>
    </row>
    <row r="56" spans="1:35" ht="24.75">
      <c r="A56" s="3190" t="s">
        <v>2222</v>
      </c>
      <c r="B56" s="3172"/>
      <c r="C56" s="3172"/>
      <c r="D56" s="185">
        <f ca="1">IF(H56="个人住宅",D57,D58)</f>
        <v>517</v>
      </c>
      <c r="E56" s="11" t="s">
        <v>2223</v>
      </c>
      <c r="F56" s="184" t="str">
        <f>IF(H56="正常",F58,"免征")</f>
        <v>——</v>
      </c>
      <c r="G56" s="2482" t="s">
        <v>2224</v>
      </c>
      <c r="H56" s="2483" t="s">
        <v>2221</v>
      </c>
      <c r="I56" s="2484"/>
      <c r="J56" s="1808" t="str">
        <f>IF(项目基本情况!K6="上海银行",IF(J55="",4,J55+1),"")</f>
        <v/>
      </c>
      <c r="K56" s="3109" t="str">
        <f>IF(项目基本情况!K6="上海银行","其他处置费用","")</f>
        <v/>
      </c>
      <c r="L56" s="3110"/>
      <c r="M56" s="1750" t="str">
        <f>IF(项目基本情况!K6="上海银行",M69,"")</f>
        <v/>
      </c>
      <c r="N56" s="3112" t="str">
        <f>IF(项目基本情况!K6="上海银行","包含处置中涉及的律师、诉讼、拍卖、评估等费用","")</f>
        <v/>
      </c>
      <c r="O56" s="3113"/>
    </row>
    <row r="57" spans="1:35" ht="12.75">
      <c r="A57" s="183" t="s">
        <v>2197</v>
      </c>
      <c r="B57" s="3157" t="s">
        <v>2225</v>
      </c>
      <c r="C57" s="3158"/>
      <c r="D57" s="187">
        <v>0</v>
      </c>
      <c r="E57" s="23" t="s">
        <v>2199</v>
      </c>
      <c r="F57" s="155"/>
      <c r="G57" s="2480"/>
      <c r="H57" s="2484"/>
      <c r="I57" s="2484"/>
      <c r="J57" s="3126">
        <f>IF(AND(J55="",J56=""),4,IF(项目基本情况!K6="上海银行",结果表!J56+1,结果表!J55+1))</f>
        <v>4</v>
      </c>
      <c r="K57" s="3126" t="s">
        <v>2226</v>
      </c>
      <c r="L57" s="2485" t="s">
        <v>2227</v>
      </c>
      <c r="M57" s="1755"/>
      <c r="N57" s="1756">
        <f ca="1">SUMIF(M52:M56,"&lt;9e307")</f>
        <v>599</v>
      </c>
      <c r="O57" s="2486"/>
      <c r="P57" s="1749">
        <f ca="1">N57/M49</f>
        <v>0.22046374677953626</v>
      </c>
    </row>
    <row r="58" spans="1:35" ht="24.75">
      <c r="A58" s="183" t="s">
        <v>2208</v>
      </c>
      <c r="B58" s="3157" t="s">
        <v>2228</v>
      </c>
      <c r="C58" s="3170"/>
      <c r="D58" s="185">
        <f ca="1">IF(H58="转让取得",C81,C97)</f>
        <v>517</v>
      </c>
      <c r="E58" s="11" t="s">
        <v>2223</v>
      </c>
      <c r="F58" s="24" t="s">
        <v>34</v>
      </c>
      <c r="G58" s="2480"/>
      <c r="H58" s="2483" t="s">
        <v>3116</v>
      </c>
      <c r="I58" s="2484"/>
      <c r="J58" s="3126"/>
      <c r="K58" s="3126"/>
      <c r="L58" s="2485" t="s">
        <v>2229</v>
      </c>
      <c r="M58" s="1757"/>
      <c r="N58" s="2487" t="str">
        <f ca="1">NUMBERSTRING(INT(N57*10000),2)&amp;"元整"</f>
        <v>伍佰玖拾玖万元整</v>
      </c>
      <c r="O58" s="2488"/>
    </row>
    <row r="59" spans="1:35" ht="24.75" thickBot="1">
      <c r="A59" s="3130" t="s">
        <v>2230</v>
      </c>
      <c r="B59" s="3131"/>
      <c r="C59" s="3131"/>
      <c r="D59" s="188" t="str">
        <f>IF(H59="非个人房产","——",IF(H59="个人住宅",0,ROUND(D45*I59,0)))</f>
        <v>——</v>
      </c>
      <c r="E59" s="189" t="str">
        <f>IF(H59="非个人房产","——","销售额×税（费）率")</f>
        <v>——</v>
      </c>
      <c r="F59" s="190" t="str">
        <f>IF(H59="非个人房产","——",IF(H59="个人住宅","免征",I59))</f>
        <v>——</v>
      </c>
      <c r="G59" s="2489" t="s">
        <v>2224</v>
      </c>
      <c r="H59" s="2483" t="s">
        <v>3117</v>
      </c>
      <c r="I59" s="191">
        <v>0.01</v>
      </c>
      <c r="J59" s="3128">
        <f>J57+1</f>
        <v>5</v>
      </c>
      <c r="K59" s="3126" t="s">
        <v>2231</v>
      </c>
      <c r="L59" s="1808" t="s">
        <v>2227</v>
      </c>
      <c r="M59" s="1758"/>
      <c r="N59" s="1759">
        <f ca="1">M49-N57</f>
        <v>2118</v>
      </c>
      <c r="O59" s="2490"/>
    </row>
    <row r="60" spans="1:35" ht="12" customHeight="1">
      <c r="A60" s="2491"/>
      <c r="B60" s="2413"/>
      <c r="C60" s="2413"/>
      <c r="D60" s="2413"/>
      <c r="E60" s="2161"/>
      <c r="F60" s="2484"/>
      <c r="G60" s="2484"/>
      <c r="H60" s="2492"/>
      <c r="I60" s="138"/>
      <c r="J60" s="3129"/>
      <c r="K60" s="3126"/>
      <c r="L60" s="2485" t="s">
        <v>2229</v>
      </c>
      <c r="M60" s="1757"/>
      <c r="N60" s="2487" t="str">
        <f ca="1">NUMBERSTRING(INT(N59*10000),2)&amp;"元整"</f>
        <v>贰仟壹佰壹拾捌万元整</v>
      </c>
      <c r="O60" s="2488"/>
    </row>
    <row r="61" spans="1:35" ht="13.5" thickBot="1">
      <c r="A61" s="3189" t="s">
        <v>2232</v>
      </c>
      <c r="B61" s="3189"/>
      <c r="C61" s="3189"/>
      <c r="D61" s="3189"/>
      <c r="E61" s="3189"/>
      <c r="F61" s="2484"/>
      <c r="G61" s="2484"/>
      <c r="H61" s="2492"/>
      <c r="I61" s="138"/>
      <c r="J61" s="1808">
        <f>J59+1</f>
        <v>6</v>
      </c>
      <c r="K61" s="3126" t="s">
        <v>2233</v>
      </c>
      <c r="L61" s="3126"/>
      <c r="M61" s="1760"/>
      <c r="N61" s="1761">
        <f ca="1">ROUND(N59*10000/'数据-汇总表'!E3,0)</f>
        <v>33549</v>
      </c>
      <c r="O61" s="2493"/>
    </row>
    <row r="62" spans="1:35" ht="12.75">
      <c r="A62" s="3146" t="s">
        <v>2234</v>
      </c>
      <c r="B62" s="3147"/>
      <c r="C62" s="1800"/>
      <c r="D62" s="1800" t="s">
        <v>2235</v>
      </c>
      <c r="E62" s="192" t="s">
        <v>2236</v>
      </c>
      <c r="F62" s="2484"/>
      <c r="G62" s="2484"/>
      <c r="H62" s="2492"/>
      <c r="I62" s="138"/>
    </row>
    <row r="63" spans="1:35" ht="12.75">
      <c r="A63" s="203" t="s">
        <v>775</v>
      </c>
      <c r="B63" s="193" t="s">
        <v>2237</v>
      </c>
      <c r="C63" s="194">
        <f ca="1">ROUND((C64+C65)/(1+'数据-取费表'!C42),0)</f>
        <v>2588</v>
      </c>
      <c r="D63" s="195"/>
      <c r="E63" s="196"/>
      <c r="F63" s="2484"/>
      <c r="G63" s="2484"/>
      <c r="H63" s="2492"/>
      <c r="I63" s="138"/>
      <c r="J63" s="3111" t="s">
        <v>2238</v>
      </c>
      <c r="K63" s="2494" t="s">
        <v>2239</v>
      </c>
      <c r="L63" s="1748">
        <f ca="1">IF(M49&gt;10000,M49*0.5%,IF(AND(M49&gt;1000,M49&lt;=10000),M49*1%,IF(AND(M49&gt;100,M49&lt;=1000),M49*3%,IF(AND(M49&gt;10,M49&lt;=100),M49*5%,M49*8%))))</f>
        <v>27.17</v>
      </c>
      <c r="M63" s="24">
        <f ca="1">ROUND(L63,1)</f>
        <v>27.2</v>
      </c>
      <c r="Z63" s="2418"/>
      <c r="AI63" s="2419"/>
    </row>
    <row r="64" spans="1:35" ht="14.25" customHeight="1">
      <c r="A64" s="197" t="s">
        <v>770</v>
      </c>
      <c r="B64" s="198" t="s">
        <v>2240</v>
      </c>
      <c r="C64" s="199">
        <f ca="1">D45</f>
        <v>2717</v>
      </c>
      <c r="D64" s="200" t="s">
        <v>32</v>
      </c>
      <c r="E64" s="201"/>
      <c r="F64" s="2484"/>
      <c r="G64" s="2484"/>
      <c r="H64" s="2492"/>
      <c r="I64" s="138"/>
      <c r="J64" s="3111"/>
      <c r="K64" s="2494" t="s">
        <v>2241</v>
      </c>
      <c r="L64" s="1748">
        <f ca="1">IF(M49&gt;2000,M49*0.5%,IF(AND(M49&gt;1000,M49&lt;=2000),M49*0.6%,IF(AND(M49&gt;500,M49&lt;=1000),M49*0.7%,IF(AND(M49&gt;200,M49&lt;=500),M49*0.8%,IF(AND(M49&gt;100,M49&lt;=200),M49*0.9%,IF(AND(M49&gt;50,M49&lt;=100),M49*1%,IF(AND(M49&gt;20,M49&lt;=50),M49*1.5%,IF(AND(M49&gt;10,M49&lt;=20),M49*2%,IF(AND(M49&gt;1,M49&lt;=10),M49*2.5%)))))))))</f>
        <v>13.585000000000001</v>
      </c>
      <c r="M64" s="24">
        <f t="shared" ref="M64:M65" ca="1" si="1">ROUND(L64,1)</f>
        <v>13.6</v>
      </c>
      <c r="N64" s="138" t="s">
        <v>2242</v>
      </c>
      <c r="Z64" s="2418"/>
      <c r="AI64" s="2419"/>
    </row>
    <row r="65" spans="1:35" ht="14.25" customHeight="1">
      <c r="A65" s="197" t="s">
        <v>771</v>
      </c>
      <c r="B65" s="198" t="s">
        <v>2243</v>
      </c>
      <c r="C65" s="202"/>
      <c r="D65" s="200"/>
      <c r="E65" s="201"/>
      <c r="F65" s="2484"/>
      <c r="G65" s="2484"/>
      <c r="H65" s="2492"/>
      <c r="I65" s="138"/>
      <c r="J65" s="3111"/>
      <c r="K65" s="2494" t="s">
        <v>2244</v>
      </c>
      <c r="L65" s="1748">
        <f ca="1">IF(M49&gt;1000,M49*0.1%,IF(AND(M49&gt;500,M49&lt;=1000),M49*0.5%,IF(AND(M49&gt;50,M49&lt;=500),M49*1%,IF(AND(M49&gt;1,M49&lt;=50),M49*1.5%))))</f>
        <v>2.7170000000000001</v>
      </c>
      <c r="M65" s="24">
        <f t="shared" ca="1" si="1"/>
        <v>2.7</v>
      </c>
      <c r="N65" s="138" t="s">
        <v>2242</v>
      </c>
      <c r="Z65" s="2418"/>
      <c r="AI65" s="2419"/>
    </row>
    <row r="66" spans="1:35" ht="14.25" customHeight="1">
      <c r="A66" s="203" t="s">
        <v>772</v>
      </c>
      <c r="B66" s="204" t="s">
        <v>2245</v>
      </c>
      <c r="C66" s="205">
        <f>C75/1.05</f>
        <v>1145.251698095238</v>
      </c>
      <c r="D66" s="206" t="s">
        <v>32</v>
      </c>
      <c r="E66" s="1772" t="s">
        <v>1366</v>
      </c>
      <c r="F66" s="2484"/>
      <c r="G66" s="2484"/>
      <c r="H66" s="2492"/>
      <c r="I66" s="138"/>
      <c r="J66" s="3111"/>
      <c r="K66" s="2494" t="s">
        <v>2246</v>
      </c>
      <c r="L66" s="1748">
        <f ca="1">M49*0.5%</f>
        <v>13.585000000000001</v>
      </c>
      <c r="M66" s="24">
        <f ca="1">IF(L66&gt;0.5,0.5,ROUND(L66,0))</f>
        <v>0.5</v>
      </c>
      <c r="N66" s="138" t="s">
        <v>2247</v>
      </c>
      <c r="Z66" s="2418"/>
      <c r="AI66" s="2419"/>
    </row>
    <row r="67" spans="1:35" ht="14.25" customHeight="1">
      <c r="A67" s="203" t="s">
        <v>773</v>
      </c>
      <c r="B67" s="204" t="s">
        <v>2248</v>
      </c>
      <c r="C67" s="207">
        <f ca="1">C63-C66</f>
        <v>1442.748301904762</v>
      </c>
      <c r="D67" s="200" t="s">
        <v>32</v>
      </c>
      <c r="E67" s="201"/>
      <c r="F67" s="2484"/>
      <c r="G67" s="2484"/>
      <c r="H67" s="2492"/>
      <c r="I67" s="138"/>
      <c r="J67" s="3111"/>
      <c r="K67" s="2494" t="s">
        <v>2249</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2250</v>
      </c>
      <c r="C68" s="210">
        <f ca="1">IF(C67&lt;=0,0,ROUND(C67*D68,0))</f>
        <v>81</v>
      </c>
      <c r="D68" s="211">
        <f>'数据-取费表'!B41</f>
        <v>5.6000000000000001E-2</v>
      </c>
      <c r="E68" s="212"/>
      <c r="F68" s="2484"/>
      <c r="G68" s="2484"/>
      <c r="H68" s="2492"/>
      <c r="I68" s="138"/>
      <c r="J68" s="3111"/>
      <c r="K68" s="2494" t="s">
        <v>2251</v>
      </c>
      <c r="L68" s="1748">
        <f ca="1">IF(M49&gt;10000,M49*0.5%,IF(AND(M49&gt;5000,M49&lt;=10000),M49*1%,IF(AND(M49&gt;1000,M49&lt;=5000),M49*2%,IF(AND(M49&gt;200,M49&lt;=1000),M49*3%,M49*5%))))</f>
        <v>54.34</v>
      </c>
      <c r="M68" s="24">
        <f ca="1">ROUND(L68,1)</f>
        <v>54.3</v>
      </c>
      <c r="Z68" s="2418"/>
      <c r="AI68" s="2419"/>
    </row>
    <row r="69" spans="1:35" s="2441" customFormat="1" ht="16.5" customHeight="1">
      <c r="A69" s="2495"/>
      <c r="B69" s="2496"/>
      <c r="C69" s="2497"/>
      <c r="D69" s="2498"/>
      <c r="E69" s="2499"/>
      <c r="F69" s="2161"/>
      <c r="G69" s="2161"/>
      <c r="H69" s="2160"/>
      <c r="I69" s="2413"/>
      <c r="J69" s="3111"/>
      <c r="K69" s="2494" t="s">
        <v>2252</v>
      </c>
      <c r="L69" s="2500"/>
      <c r="M69" s="24">
        <f ca="1">ROUND(SUM(M63:M68),0)</f>
        <v>101</v>
      </c>
      <c r="N69" s="1749">
        <f ca="1">M69/M49</f>
        <v>3.7173352962826645E-2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55" t="s">
        <v>2253</v>
      </c>
      <c r="B70" s="3156"/>
      <c r="C70" s="3156"/>
      <c r="D70" s="3156"/>
      <c r="E70" s="3156"/>
      <c r="F70" s="3156"/>
      <c r="G70" s="3156"/>
      <c r="H70" s="315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6" t="s">
        <v>2234</v>
      </c>
      <c r="B71" s="3147"/>
      <c r="C71" s="1800"/>
      <c r="D71" s="1800" t="s">
        <v>2235</v>
      </c>
      <c r="E71" s="213" t="s">
        <v>2236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2254</v>
      </c>
      <c r="C72" s="207">
        <f ca="1">ROUND(D45/(1+'数据-取费表'!C42),0)</f>
        <v>2588</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2255</v>
      </c>
      <c r="C73" s="207">
        <f ca="1">C74+C78</f>
        <v>1196</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2256</v>
      </c>
      <c r="C74" s="200">
        <f>ROUND(IF(G77="2016年5月1日后购买",C75/(1+'数据-取费表'!C42)+C76+C77,C75+C76+C77),0)</f>
        <v>1180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2257</v>
      </c>
      <c r="C75" s="218">
        <f>12025142.83/10000</f>
        <v>1202.514283</v>
      </c>
      <c r="D75" s="200" t="s">
        <v>32</v>
      </c>
      <c r="E75" s="219" t="s">
        <v>2258</v>
      </c>
      <c r="F75" s="2506" t="s">
        <v>2259</v>
      </c>
      <c r="G75" s="219" t="s">
        <v>2260</v>
      </c>
      <c r="H75" s="220">
        <v>1</v>
      </c>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2261</v>
      </c>
      <c r="C76" s="200">
        <f>IF(F75="购房发票",ROUND(C75*H75*D76,0),0)</f>
        <v>0</v>
      </c>
      <c r="D76" s="222">
        <v>0.05</v>
      </c>
      <c r="E76" s="3152" t="s">
        <v>2262</v>
      </c>
      <c r="F76" s="3151"/>
      <c r="G76" s="3151"/>
      <c r="H76" s="315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2263</v>
      </c>
      <c r="C77" s="200">
        <f>ROUND(IF(G77="个人住宅",0,IF(G77="2016年5月1日前购买",C75*D77,C75*D77/(1+'数据-取费表'!C42))),0)</f>
        <v>35</v>
      </c>
      <c r="D77" s="223">
        <f>'数据-取费表'!B48+'数据-取费表'!B49</f>
        <v>3.0499999999999999E-2</v>
      </c>
      <c r="E77" s="15" t="s">
        <v>2264</v>
      </c>
      <c r="F77" s="224"/>
      <c r="G77" s="2508" t="s">
        <v>2265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2266</v>
      </c>
      <c r="C78" s="225">
        <f ca="1">ROUND(D45*D78/(1+'数据-取费表'!C42),0)</f>
        <v>16</v>
      </c>
      <c r="D78" s="226">
        <f>'数据-取费表'!B43</f>
        <v>6.000000000000001E-3</v>
      </c>
      <c r="E78" s="3143" t="s">
        <v>2267</v>
      </c>
      <c r="F78" s="3144"/>
      <c r="G78" s="3144"/>
      <c r="H78" s="314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2268</v>
      </c>
      <c r="C79" s="207">
        <f ca="1">C72-C73</f>
        <v>1392</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2269</v>
      </c>
      <c r="C80" s="227">
        <f ca="1">IF(C79&lt;=0,0,C79/C73)</f>
        <v>1.1638795986622072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2270</v>
      </c>
      <c r="C81" s="228">
        <f ca="1">ROUND(IF(C79&lt;=0,0,IF(C80&gt;=200%,C79*60%-C73*35%,IF(C80&gt;=100%,C79*50%-C73*15%,IF(C80&gt;=50%,C79*40%-C73*5%,IF(C80&lt;50%,C79*30%,0))))),0)</f>
        <v>517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5" t="s">
        <v>2271</v>
      </c>
      <c r="B83" s="3156"/>
      <c r="C83" s="3156"/>
      <c r="D83" s="3156"/>
      <c r="E83" s="3156"/>
      <c r="F83" s="3156"/>
      <c r="G83" s="3156"/>
      <c r="H83" s="315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6" t="s">
        <v>2234</v>
      </c>
      <c r="B84" s="3147"/>
      <c r="C84" s="1800"/>
      <c r="D84" s="1800" t="s">
        <v>2235</v>
      </c>
      <c r="E84" s="213" t="s">
        <v>2236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2254</v>
      </c>
      <c r="C85" s="207">
        <f ca="1">ROUND(D45/(1+'数据-取费表'!C42),0)</f>
        <v>2588</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2255</v>
      </c>
      <c r="C86" s="207">
        <f ca="1">IF(H88="仅含出让金",C87+C90+C91+C92+C93+C94,C87+C91+C92+C93+C94)</f>
        <v>16</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2272</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2273</v>
      </c>
      <c r="C88" s="236"/>
      <c r="D88" s="226"/>
      <c r="E88" s="237" t="s">
        <v>2274</v>
      </c>
      <c r="F88" s="1796"/>
      <c r="G88" s="238" t="s">
        <v>2275</v>
      </c>
      <c r="H88" s="2512" t="s">
        <v>3120</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2263</v>
      </c>
      <c r="C89" s="225">
        <f>ROUND(C88*D89,0)</f>
        <v>0</v>
      </c>
      <c r="D89" s="226">
        <f>'数据-取费表'!B48+'数据-取费表'!B49</f>
        <v>3.0499999999999999E-2</v>
      </c>
      <c r="E89" s="237" t="s">
        <v>2276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2277</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2278</v>
      </c>
      <c r="B91" s="198" t="s">
        <v>2279</v>
      </c>
      <c r="C91" s="225">
        <f>IF(H91="——",成本法!C33,I91)</f>
        <v>0</v>
      </c>
      <c r="D91" s="226"/>
      <c r="E91" s="3143" t="s">
        <v>2280</v>
      </c>
      <c r="F91" s="3144"/>
      <c r="G91" s="3144"/>
      <c r="H91" s="2513" t="s">
        <v>3141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143" t="s">
        <v>2283</v>
      </c>
      <c r="F92" s="3144"/>
      <c r="G92" s="3144"/>
      <c r="H92" s="314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2266</v>
      </c>
      <c r="C93" s="225">
        <f ca="1">ROUND(D45*D93/(1+'数据-取费表'!C42),0)</f>
        <v>16</v>
      </c>
      <c r="D93" s="226">
        <f>'数据-取费表'!B43</f>
        <v>6.000000000000001E-3</v>
      </c>
      <c r="E93" s="3143" t="s">
        <v>2267</v>
      </c>
      <c r="F93" s="3144"/>
      <c r="G93" s="3144"/>
      <c r="H93" s="314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191" t="s">
        <v>2287</v>
      </c>
      <c r="F94" s="3192"/>
      <c r="G94" s="3192"/>
      <c r="H94" s="319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2268</v>
      </c>
      <c r="C95" s="207">
        <f ca="1">ROUND(C85-C86,0)</f>
        <v>2572</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2269</v>
      </c>
      <c r="C96" s="227">
        <f ca="1">IF(C95&lt;=0,0,C95/C86)</f>
        <v>160.75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2270</v>
      </c>
      <c r="C97" s="228">
        <f ca="1">ROUND(IF(C95&lt;=0,0,IF(C96&gt;=200%,C95*60%-C86*35%,IF(C96&gt;=100%,C95*50%-C86*15%,IF(C96&gt;=50%,C95*40%-C86*5%,IF(C96&lt;50%,C95*30%,0))))),0)</f>
        <v>1538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2288</v>
      </c>
      <c r="B99" s="2413"/>
      <c r="C99" s="2413"/>
      <c r="D99" s="2413"/>
      <c r="E99" s="2161"/>
      <c r="F99" s="2161"/>
      <c r="G99" s="2161"/>
      <c r="H99" s="2160"/>
      <c r="I99" s="138"/>
    </row>
    <row r="100" spans="1:35" ht="18.75" customHeight="1">
      <c r="A100" s="3095" t="s">
        <v>2289</v>
      </c>
      <c r="B100" s="3096"/>
      <c r="C100" s="3096"/>
      <c r="D100" s="3127"/>
      <c r="E100" s="3096" t="s">
        <v>2290</v>
      </c>
      <c r="F100" s="3096"/>
      <c r="G100" s="3096"/>
      <c r="H100" s="3127"/>
      <c r="I100" s="138"/>
    </row>
    <row r="101" spans="1:35" ht="18.75" customHeight="1">
      <c r="A101" s="3135" t="s">
        <v>2291</v>
      </c>
      <c r="B101" s="3136"/>
      <c r="C101" s="736" t="str">
        <f>C4</f>
        <v>收益法</v>
      </c>
      <c r="D101" s="737" t="str">
        <f>D4</f>
        <v>比较法-商业</v>
      </c>
      <c r="E101" s="3107" t="s">
        <v>2292</v>
      </c>
      <c r="F101" s="3108"/>
      <c r="G101" s="2515" t="s">
        <v>2293</v>
      </c>
      <c r="H101" s="1044">
        <f ca="1">H118</f>
        <v>2717</v>
      </c>
      <c r="I101" s="138"/>
    </row>
    <row r="102" spans="1:35" ht="18.75" customHeight="1">
      <c r="A102" s="3137" t="s">
        <v>2294</v>
      </c>
      <c r="B102" s="2515" t="s">
        <v>2293</v>
      </c>
      <c r="C102" s="736">
        <f ca="1">C19</f>
        <v>2680</v>
      </c>
      <c r="D102" s="737">
        <f ca="1">D19</f>
        <v>2753</v>
      </c>
      <c r="E102" s="3107"/>
      <c r="F102" s="3108"/>
      <c r="G102" s="2515" t="s">
        <v>2295</v>
      </c>
      <c r="H102" s="371">
        <f ca="1">I118</f>
        <v>43037</v>
      </c>
      <c r="I102" s="138"/>
    </row>
    <row r="103" spans="1:35" ht="42.75" customHeight="1">
      <c r="A103" s="3137"/>
      <c r="B103" s="2515" t="s">
        <v>2295</v>
      </c>
      <c r="C103" s="738">
        <f ca="1">C20</f>
        <v>42451</v>
      </c>
      <c r="D103" s="739">
        <f ca="1">D20</f>
        <v>43600</v>
      </c>
      <c r="E103" s="3101" t="s">
        <v>2296</v>
      </c>
      <c r="F103" s="3102"/>
      <c r="G103" s="2516" t="s">
        <v>2297</v>
      </c>
      <c r="H103" s="1044">
        <f>IF(D36="正常操作",H104+H105+H106,H105+H106)</f>
        <v>0</v>
      </c>
      <c r="I103" s="138"/>
    </row>
    <row r="104" spans="1:35" ht="18.75" customHeight="1">
      <c r="A104" s="3137" t="s">
        <v>2298</v>
      </c>
      <c r="B104" s="2517" t="s">
        <v>2293</v>
      </c>
      <c r="C104" s="740">
        <f ca="1">H118</f>
        <v>2717</v>
      </c>
      <c r="D104" s="741"/>
      <c r="E104" s="2262" t="s">
        <v>2299</v>
      </c>
      <c r="F104" s="2253"/>
      <c r="G104" s="2516" t="s">
        <v>2297</v>
      </c>
      <c r="H104" s="1045">
        <f>IF(D36="同一抵押权人同一抵押物续贷",C36&amp;"（未扣减，详见特别提示）",C36)</f>
        <v>0</v>
      </c>
      <c r="I104" s="138"/>
    </row>
    <row r="105" spans="1:35" ht="18.75" customHeight="1" thickBot="1">
      <c r="A105" s="3149"/>
      <c r="B105" s="2518" t="s">
        <v>2295</v>
      </c>
      <c r="C105" s="742">
        <f ca="1">I118</f>
        <v>43037</v>
      </c>
      <c r="D105" s="743"/>
      <c r="E105" s="2262" t="s">
        <v>2300</v>
      </c>
      <c r="F105" s="2253"/>
      <c r="G105" s="2516" t="s">
        <v>2297</v>
      </c>
      <c r="H105" s="1045">
        <f>C37</f>
        <v>0</v>
      </c>
      <c r="I105" s="138"/>
    </row>
    <row r="106" spans="1:35" ht="18.75" customHeight="1">
      <c r="A106" s="2413" t="s">
        <v>2301</v>
      </c>
      <c r="B106" s="2413"/>
      <c r="C106" s="2413"/>
      <c r="D106" s="2413"/>
      <c r="E106" s="2519" t="s">
        <v>2302</v>
      </c>
      <c r="F106" s="2253"/>
      <c r="G106" s="2516" t="s">
        <v>2297</v>
      </c>
      <c r="H106" s="1045">
        <f>C38</f>
        <v>0</v>
      </c>
      <c r="I106" s="138"/>
    </row>
    <row r="107" spans="1:35" ht="18.75" customHeight="1">
      <c r="A107" s="138"/>
      <c r="B107" s="138"/>
      <c r="C107" s="138"/>
      <c r="D107" s="138"/>
      <c r="E107" s="3138" t="str">
        <f>IF(项目基本情况!E8="已注销","——","3.房地产抵押价值")</f>
        <v>3.房地产抵押价值</v>
      </c>
      <c r="F107" s="3108"/>
      <c r="G107" s="2515" t="s">
        <v>2293</v>
      </c>
      <c r="H107" s="1044">
        <f ca="1">IF(E107="——","——",H101-H103)</f>
        <v>2717</v>
      </c>
      <c r="I107" s="138"/>
    </row>
    <row r="108" spans="1:35" ht="18.75" customHeight="1">
      <c r="A108" s="138"/>
      <c r="B108" s="138"/>
      <c r="C108" s="138"/>
      <c r="D108" s="138"/>
      <c r="E108" s="3138"/>
      <c r="F108" s="3108"/>
      <c r="G108" s="2515" t="s">
        <v>2295</v>
      </c>
      <c r="H108" s="371">
        <f ca="1">ROUND(H107*10000/'数据-汇总表'!E3,0)</f>
        <v>43037</v>
      </c>
      <c r="I108" s="138"/>
    </row>
    <row r="109" spans="1:35" ht="18.75" customHeight="1">
      <c r="A109" s="138"/>
      <c r="B109" s="138"/>
      <c r="C109" s="138"/>
      <c r="D109" s="138"/>
      <c r="E109" s="3138" t="str">
        <f>IF(项目基本情况!E8="已注销及未注销","4.抵押担保权已注销时的房地产抵押价值",IF(项目基本情况!E8="已注销","3.抵押担保权已注销时的房地产抵押价值","——"))</f>
        <v>——</v>
      </c>
      <c r="F109" s="3108"/>
      <c r="G109" s="2515" t="s">
        <v>2293</v>
      </c>
      <c r="H109" s="348" t="str">
        <f>IF(E109="——","——",H101-H105-H106)</f>
        <v>——</v>
      </c>
      <c r="I109" s="138"/>
    </row>
    <row r="110" spans="1:35" ht="18.75" customHeight="1">
      <c r="A110" s="138"/>
      <c r="B110" s="138"/>
      <c r="C110" s="138"/>
      <c r="D110" s="138"/>
      <c r="E110" s="3138"/>
      <c r="F110" s="3108"/>
      <c r="G110" s="2515" t="s">
        <v>2295</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4.抵押净值</v>
      </c>
      <c r="F111" s="3140"/>
      <c r="G111" s="2515" t="s">
        <v>2293</v>
      </c>
      <c r="H111" s="1044">
        <f ca="1">IF(E111="——","——",N59)</f>
        <v>2118</v>
      </c>
      <c r="I111" s="138"/>
    </row>
    <row r="112" spans="1:35" ht="18.75" customHeight="1" thickBot="1">
      <c r="A112" s="138"/>
      <c r="B112" s="138"/>
      <c r="C112" s="138"/>
      <c r="D112" s="138"/>
      <c r="E112" s="3141"/>
      <c r="F112" s="3142"/>
      <c r="G112" s="2520" t="s">
        <v>2295</v>
      </c>
      <c r="H112" s="790">
        <f ca="1">IF(E111="——","——",N61)</f>
        <v>33549</v>
      </c>
      <c r="I112" s="138"/>
    </row>
    <row r="113" spans="1:11" ht="18.75" customHeight="1">
      <c r="A113" s="138"/>
      <c r="B113" s="138"/>
      <c r="C113" s="138"/>
      <c r="D113" s="138"/>
      <c r="E113" s="3150" t="s">
        <v>2301</v>
      </c>
      <c r="F113" s="3150"/>
      <c r="G113" s="3150"/>
      <c r="H113" s="3150"/>
      <c r="I113" s="138"/>
    </row>
    <row r="114" spans="1:11" ht="3.75" customHeight="1">
      <c r="A114" s="2413"/>
      <c r="B114" s="2413"/>
      <c r="C114" s="2413"/>
      <c r="D114" s="2413"/>
      <c r="E114" s="2491"/>
      <c r="F114" s="2491"/>
      <c r="G114" s="2491"/>
      <c r="H114" s="2491"/>
      <c r="I114" s="2413"/>
    </row>
    <row r="115" spans="1:11" ht="18.75" customHeight="1">
      <c r="A115" s="3163" t="s">
        <v>2303</v>
      </c>
      <c r="B115" s="3164"/>
      <c r="C115" s="3164"/>
      <c r="D115" s="3164"/>
      <c r="E115" s="3164"/>
      <c r="F115" s="3164"/>
      <c r="G115" s="3164"/>
      <c r="H115" s="3164"/>
      <c r="I115" s="3165"/>
    </row>
    <row r="116" spans="1:11" ht="27" customHeight="1">
      <c r="A116" s="3074" t="s">
        <v>2304</v>
      </c>
      <c r="B116" s="3117" t="s">
        <v>2305</v>
      </c>
      <c r="C116" s="3117" t="s">
        <v>2306</v>
      </c>
      <c r="D116" s="3123" t="s">
        <v>2307</v>
      </c>
      <c r="E116" s="3124"/>
      <c r="F116" s="3159" t="s">
        <v>2308</v>
      </c>
      <c r="G116" s="3159"/>
      <c r="H116" s="3074" t="s">
        <v>2309</v>
      </c>
      <c r="I116" s="3074"/>
    </row>
    <row r="117" spans="1:11" ht="18.75" customHeight="1">
      <c r="A117" s="3074"/>
      <c r="B117" s="3118"/>
      <c r="C117" s="3118"/>
      <c r="D117" s="1794" t="s">
        <v>2310</v>
      </c>
      <c r="E117" s="1794" t="s">
        <v>2311</v>
      </c>
      <c r="F117" s="1794" t="s">
        <v>2310</v>
      </c>
      <c r="G117" s="1794" t="s">
        <v>2312</v>
      </c>
      <c r="H117" s="1794" t="s">
        <v>2310</v>
      </c>
      <c r="I117" s="1794" t="s">
        <v>2312</v>
      </c>
    </row>
    <row r="118" spans="1:11" ht="24.75" customHeight="1">
      <c r="A118" s="2521" t="str">
        <f>项目基本情况!S2</f>
        <v>北京市北京经济技术开发区荣华南路7号院4号楼102商业用房出让国有建设用地使用权及在建建筑物房地产</v>
      </c>
      <c r="B118" s="1794">
        <f>M18</f>
        <v>631.32000000000005</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2717</v>
      </c>
      <c r="I118" s="1794">
        <f ca="1">ROUND(IF(D32="楼面单价",C32,H118*10000/B118),0)</f>
        <v>43037</v>
      </c>
    </row>
    <row r="119" spans="1:11" ht="18.75" customHeight="1">
      <c r="A119" s="3074" t="s">
        <v>2313</v>
      </c>
      <c r="B119" s="3074"/>
      <c r="C119" s="3074"/>
      <c r="D119" s="3119" t="e">
        <f ca="1">NUMBERSTRING(INT(D118*10000),2)&amp;"元整"</f>
        <v>#REF!</v>
      </c>
      <c r="E119" s="3120"/>
      <c r="F119" s="3119" t="e">
        <f ca="1">NUMBERSTRING(INT(F118*10000),2)&amp;"元整"</f>
        <v>#REF!</v>
      </c>
      <c r="G119" s="3120"/>
      <c r="H119" s="3119" t="str">
        <f ca="1">NUMBERSTRING(INT(H118*10000),2)&amp;"元整"</f>
        <v>贰仟柒佰壹拾柒万元整</v>
      </c>
      <c r="I119" s="3120"/>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418" t="str">
        <f>IF(D120=0,"故，本次评估不存在"&amp;A120,"故，本次评估"&amp;A120&amp;"为人民币"&amp;D120&amp;"万元整。")</f>
        <v>故，本次评估不存在估价师知悉的法定优先受偿款</v>
      </c>
    </row>
    <row r="121" spans="1:11" ht="18.75" customHeight="1">
      <c r="A121" s="3160" t="s">
        <v>2313</v>
      </c>
      <c r="B121" s="3161"/>
      <c r="C121" s="3162"/>
      <c r="D121" s="3119" t="str">
        <f>IF(D120=0,"零元整",NUMBERSTRING(INT(D120*10000),2)&amp;"元整")</f>
        <v>零元整</v>
      </c>
      <c r="E121" s="3121"/>
      <c r="F121" s="3121"/>
      <c r="G121" s="3121"/>
      <c r="H121" s="3121"/>
      <c r="I121" s="3120"/>
    </row>
    <row r="122" spans="1:11" ht="18.75" customHeight="1">
      <c r="A122" s="3125" t="str">
        <f>IF(项目基本情况!B9="房地产市场价值","",MID(E107,3,LEN(E107)-2))</f>
        <v>房地产抵押价值</v>
      </c>
      <c r="B122" s="3125"/>
      <c r="C122" s="3125"/>
      <c r="D122" s="3114">
        <f ca="1">H107</f>
        <v>2717</v>
      </c>
      <c r="E122" s="3115"/>
      <c r="F122" s="3115"/>
      <c r="G122" s="3115"/>
      <c r="H122" s="3115"/>
      <c r="I122" s="3116"/>
    </row>
    <row r="123" spans="1:11" ht="18.75" customHeight="1">
      <c r="A123" s="3074" t="s">
        <v>2313</v>
      </c>
      <c r="B123" s="3074"/>
      <c r="C123" s="3074"/>
      <c r="D123" s="3119" t="str">
        <f ca="1">NUMBERSTRING(INT(D122*10000),2)&amp;"元整"</f>
        <v>贰仟柒佰壹拾柒万元整</v>
      </c>
      <c r="E123" s="3121"/>
      <c r="F123" s="3121"/>
      <c r="G123" s="3121"/>
      <c r="H123" s="3121"/>
      <c r="I123" s="3120"/>
    </row>
    <row r="124" spans="1:11" ht="18.75" customHeight="1">
      <c r="A124" s="3125" t="str">
        <f>IF(项目基本情况!B9="房地产市场价值","",MID(E109,3,LEN(E109)-2))</f>
        <v/>
      </c>
      <c r="B124" s="3125"/>
      <c r="C124" s="3125"/>
      <c r="D124" s="3114" t="str">
        <f>H109</f>
        <v>——</v>
      </c>
      <c r="E124" s="3115"/>
      <c r="F124" s="3115"/>
      <c r="G124" s="3115"/>
      <c r="H124" s="3115"/>
      <c r="I124" s="3116"/>
    </row>
    <row r="125" spans="1:11" ht="18.75" customHeight="1">
      <c r="A125" s="3074" t="s">
        <v>2313</v>
      </c>
      <c r="B125" s="3074"/>
      <c r="C125" s="3074"/>
      <c r="D125" s="3119" t="e">
        <f>NUMBERSTRING(INT(D124*10000),2)&amp;"元整"</f>
        <v>#VALUE!</v>
      </c>
      <c r="E125" s="3121"/>
      <c r="F125" s="3121"/>
      <c r="G125" s="3121"/>
      <c r="H125" s="3121"/>
      <c r="I125" s="3120"/>
    </row>
    <row r="126" spans="1:11" ht="18.75" customHeight="1">
      <c r="A126" s="3125" t="str">
        <f>IF(项目基本情况!B9="房地产市场价值","",MID(E111,3,LEN(E111)-2))</f>
        <v>抵押净值</v>
      </c>
      <c r="B126" s="3125"/>
      <c r="C126" s="3125"/>
      <c r="D126" s="3114">
        <f ca="1">H111</f>
        <v>2118</v>
      </c>
      <c r="E126" s="3115"/>
      <c r="F126" s="3115"/>
      <c r="G126" s="3115"/>
      <c r="H126" s="3115"/>
      <c r="I126" s="3116"/>
    </row>
    <row r="127" spans="1:11" ht="18.75" customHeight="1">
      <c r="A127" s="3074" t="s">
        <v>2313</v>
      </c>
      <c r="B127" s="3074"/>
      <c r="C127" s="3074"/>
      <c r="D127" s="3119" t="str">
        <f ca="1">NUMBERSTRING(INT(D126*10000),2)&amp;"元整"</f>
        <v>贰仟壹佰壹拾捌万元整</v>
      </c>
      <c r="E127" s="3121"/>
      <c r="F127" s="3121"/>
      <c r="G127" s="3121"/>
      <c r="H127" s="3121"/>
      <c r="I127" s="3120"/>
    </row>
    <row r="128" spans="1:11" ht="21.75" customHeight="1">
      <c r="A128" s="3122" t="s">
        <v>2314</v>
      </c>
      <c r="B128" s="3122"/>
      <c r="C128" s="3122"/>
      <c r="D128" s="3122"/>
      <c r="E128" s="3122"/>
      <c r="F128" s="3122"/>
      <c r="G128" s="3122"/>
      <c r="H128" s="3122"/>
      <c r="I128" s="3122"/>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2317</v>
      </c>
      <c r="G135" s="2539"/>
      <c r="H135" s="2539"/>
      <c r="I135" s="2540" t="s">
        <v>2318</v>
      </c>
    </row>
    <row r="136" spans="1:35" ht="21.75" customHeight="1">
      <c r="A136" s="795"/>
      <c r="B136" s="254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2320</v>
      </c>
    </row>
    <row r="139" spans="1:35" ht="21.75" customHeight="1">
      <c r="A139" s="795"/>
      <c r="B139" s="2541" t="s">
        <v>2321</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2320</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5"/>
      <c r="C1" s="242"/>
      <c r="D1" s="242"/>
      <c r="E1" s="242"/>
      <c r="F1" s="242"/>
      <c r="G1" s="1378">
        <f>MATCH(B1,'数据-取费表'!A6:A16,0)+5</f>
        <v>7</v>
      </c>
    </row>
    <row r="2" spans="1:9" s="244" customFormat="1" ht="18" customHeight="1">
      <c r="A2" s="245" t="s">
        <v>2323</v>
      </c>
      <c r="B2" s="246">
        <f ca="1">IF(D2="——",C52,C52-E2)</f>
        <v>315</v>
      </c>
      <c r="C2" s="243" t="s">
        <v>2324</v>
      </c>
      <c r="D2" s="2544" t="s">
        <v>70</v>
      </c>
      <c r="E2" s="1439"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4990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12</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12</v>
      </c>
      <c r="D8" s="266"/>
      <c r="E8" s="264"/>
      <c r="F8" s="265"/>
      <c r="G8" s="2547"/>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48"/>
      <c r="H9" s="1389"/>
      <c r="I9" s="2549" t="s">
        <v>2340</v>
      </c>
    </row>
    <row r="10" spans="1:9" s="258" customFormat="1" ht="13.5" customHeight="1">
      <c r="A10" s="950" t="s">
        <v>801</v>
      </c>
      <c r="B10" s="268" t="s">
        <v>2341</v>
      </c>
      <c r="C10" s="269">
        <f ca="1">ROUND(D10*E10/10000,0)</f>
        <v>12</v>
      </c>
      <c r="D10" s="1032">
        <f ca="1">IF(B1="",'数据-汇总表'!E6,IF(INDIRECT("'数据-取费表'!c"&amp;$G$1)="住宅",INDIRECT("'数据-取费表'!s"&amp;$G$1),INDIRECT("'数据-取费表'!k"&amp;$G$1)+INDIRECT("'数据-取费表'!s"&amp;$G$1)))</f>
        <v>631.32000000000005</v>
      </c>
      <c r="E10" s="269">
        <f>'数据-取费表'!B28</f>
        <v>190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13</v>
      </c>
      <c r="D19" s="1036">
        <f ca="1">D9+D10</f>
        <v>631.32000000000005</v>
      </c>
      <c r="E19" s="255">
        <f>'数据-取费表'!B31</f>
        <v>200</v>
      </c>
      <c r="F19" s="275"/>
      <c r="G19" s="2547"/>
    </row>
    <row r="20" spans="1:7" s="258" customFormat="1" ht="13.5" customHeight="1">
      <c r="A20" s="299" t="s">
        <v>2354</v>
      </c>
      <c r="B20" s="254" t="s">
        <v>2355</v>
      </c>
      <c r="C20" s="276">
        <f ca="1">ROUND((C5+C19)*F20,0)</f>
        <v>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3">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4">
        <f ca="1">ROUND(IF('数据-取费表'!B22&lt;=1,C5*F22*'数据-取费表'!B23,C5*(POWER((1+F22),'数据-取费表'!B23)-1)),0)</f>
        <v>1</v>
      </c>
      <c r="D23" s="282"/>
      <c r="E23" s="282"/>
      <c r="F23" s="283"/>
      <c r="G23" s="284" t="s">
        <v>2365</v>
      </c>
    </row>
    <row r="24" spans="1:7" s="258" customFormat="1" ht="13.5" customHeight="1">
      <c r="A24" s="951" t="s">
        <v>2366</v>
      </c>
      <c r="B24" s="259" t="s">
        <v>2367</v>
      </c>
      <c r="C24" s="1354">
        <f ca="1">ROUND(IF('数据-取费表'!B22&lt;=1,C19*F22*('数据-取费表'!B19/2+'数据-取费表'!B21),C19*(POWER((1+F22),('数据-取费表'!B19/2+'数据-取费表'!B21))-1)),0)</f>
        <v>1</v>
      </c>
      <c r="D24" s="282"/>
      <c r="E24" s="282"/>
      <c r="F24" s="283"/>
      <c r="G24" s="284" t="s">
        <v>2368</v>
      </c>
    </row>
    <row r="25" spans="1:7" s="258" customFormat="1" ht="24">
      <c r="A25" s="951" t="s">
        <v>2369</v>
      </c>
      <c r="B25" s="259" t="s">
        <v>2370</v>
      </c>
      <c r="C25" s="1354">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4</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4</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244</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221</v>
      </c>
      <c r="D34" s="261"/>
      <c r="E34" s="264"/>
      <c r="F34" s="301">
        <f ca="1">IF('数据-取费表'!B24=0,1,IF(B1="",'数据-取费表'!N16,INDIRECT("'数据-取费表'!n"&amp;$G$1)))</f>
        <v>1</v>
      </c>
      <c r="G34" s="263" t="s">
        <v>2387</v>
      </c>
    </row>
    <row r="35" spans="1:7" ht="13.5" customHeight="1">
      <c r="A35" s="951" t="s">
        <v>796</v>
      </c>
      <c r="B35" s="259" t="s">
        <v>2388</v>
      </c>
      <c r="C35" s="264">
        <f ca="1">ROUND(C34*F35,0)</f>
        <v>7</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13</v>
      </c>
      <c r="D37" s="261">
        <f ca="1">D19</f>
        <v>631.32000000000005</v>
      </c>
      <c r="E37" s="293">
        <f>'数据-取费表'!B35</f>
        <v>200</v>
      </c>
      <c r="F37" s="303"/>
      <c r="G37" s="305" t="s">
        <v>2393</v>
      </c>
    </row>
    <row r="38" spans="1:7" ht="13.5" customHeight="1">
      <c r="A38" s="951" t="s">
        <v>799</v>
      </c>
      <c r="B38" s="259" t="s">
        <v>2394</v>
      </c>
      <c r="C38" s="264">
        <f ca="1">ROUND(C34*F38,0)</f>
        <v>3</v>
      </c>
      <c r="D38" s="264"/>
      <c r="E38" s="264"/>
      <c r="F38" s="303">
        <f>'数据-取费表'!B36</f>
        <v>1.4999999999999999E-2</v>
      </c>
      <c r="G38" s="263" t="s">
        <v>2389</v>
      </c>
    </row>
    <row r="39" spans="1:7" s="258" customFormat="1" ht="13.5" customHeight="1">
      <c r="A39" s="299" t="s">
        <v>2395</v>
      </c>
      <c r="B39" s="254" t="s">
        <v>2396</v>
      </c>
      <c r="C39" s="276">
        <f ca="1">ROUND(C33*F20,0)</f>
        <v>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12</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12</v>
      </c>
      <c r="D42" s="282"/>
      <c r="E42" s="282"/>
      <c r="F42" s="283"/>
      <c r="G42" s="3194" t="s">
        <v>2405</v>
      </c>
    </row>
    <row r="43" spans="1:7" ht="13.5" customHeight="1">
      <c r="A43" s="951" t="s">
        <v>792</v>
      </c>
      <c r="B43" s="259" t="s">
        <v>2406</v>
      </c>
      <c r="C43" s="282">
        <f ca="1">ROUND(IF('数据-取费表'!B22&lt;=1,C39*F22*'数据-取费表'!B21/2,C39*(POWER((1+F22),'数据-取费表'!B21/2)-1)),0)</f>
        <v>0</v>
      </c>
      <c r="D43" s="282"/>
      <c r="E43" s="282"/>
      <c r="F43" s="283"/>
      <c r="G43" s="3195"/>
    </row>
    <row r="44" spans="1:7" ht="13.5" customHeight="1">
      <c r="A44" s="951" t="s">
        <v>793</v>
      </c>
      <c r="B44" s="259" t="s">
        <v>2407</v>
      </c>
      <c r="C44" s="282">
        <f ca="1">ROUND(IF('数据-取费表'!B22&lt;=1,C40*F22*'数据-取费表'!B21/2,C40*(POWER((1+F22),'数据-取费表'!B21/2)-1)),4)</f>
        <v>1E-3</v>
      </c>
      <c r="D44" s="282"/>
      <c r="E44" s="282"/>
      <c r="F44" s="283"/>
      <c r="G44" s="3196"/>
    </row>
    <row r="45" spans="1:7" s="258" customFormat="1" ht="13.5" customHeight="1">
      <c r="A45" s="299" t="s">
        <v>2408</v>
      </c>
      <c r="B45" s="288" t="s">
        <v>2374</v>
      </c>
      <c r="C45" s="289">
        <f ca="1">C46</f>
        <v>37</v>
      </c>
      <c r="D45" s="279">
        <f ca="1">C47</f>
        <v>3.0000000000000001E-3</v>
      </c>
      <c r="E45" s="280" t="s">
        <v>2400</v>
      </c>
      <c r="F45" s="290"/>
      <c r="G45" s="291" t="s">
        <v>2409</v>
      </c>
    </row>
    <row r="46" spans="1:7" s="258" customFormat="1" ht="13.5" customHeight="1">
      <c r="A46" s="951" t="s">
        <v>791</v>
      </c>
      <c r="B46" s="292" t="s">
        <v>2410</v>
      </c>
      <c r="C46" s="293">
        <f ca="1">ROUND((C33+C39)*F27,0)</f>
        <v>37</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7">
        <f>ROUND(F30/(1+'数据-取费表'!C42),4)</f>
        <v>5.33E-2</v>
      </c>
      <c r="D48" s="280" t="s">
        <v>2400</v>
      </c>
      <c r="E48" s="276"/>
      <c r="F48" s="281"/>
      <c r="G48" s="278" t="s">
        <v>2413</v>
      </c>
    </row>
    <row r="49" spans="1:7" ht="16.5" customHeight="1">
      <c r="A49" s="299" t="s">
        <v>2379</v>
      </c>
      <c r="B49" s="254" t="s">
        <v>2414</v>
      </c>
      <c r="C49" s="276">
        <f ca="1">ROUND((C33+C39+C41+C45)/(1-C40-D41-D45-C48),0)</f>
        <v>323</v>
      </c>
      <c r="D49" s="276"/>
      <c r="E49" s="276"/>
      <c r="F49" s="308"/>
      <c r="G49" s="278" t="s">
        <v>2415</v>
      </c>
    </row>
    <row r="50" spans="1:7" s="302" customFormat="1" ht="24">
      <c r="A50" s="299" t="s">
        <v>2416</v>
      </c>
      <c r="B50" s="254" t="s">
        <v>2417</v>
      </c>
      <c r="C50" s="276"/>
      <c r="D50" s="276"/>
      <c r="E50" s="276"/>
      <c r="F50" s="308">
        <f>IF('数据-取费表'!B24=0,'数据-取费表'!N16,1)</f>
        <v>0.86699999999999999</v>
      </c>
      <c r="G50" s="291" t="s">
        <v>2418</v>
      </c>
    </row>
    <row r="51" spans="1:7" ht="16.5" customHeight="1">
      <c r="A51" s="299" t="s">
        <v>2419</v>
      </c>
      <c r="B51" s="254" t="s">
        <v>2420</v>
      </c>
      <c r="C51" s="276">
        <f ca="1">ROUND(C49*F50,0)</f>
        <v>280</v>
      </c>
      <c r="D51" s="276"/>
      <c r="E51" s="276"/>
      <c r="F51" s="308"/>
      <c r="G51" s="278" t="s">
        <v>2421</v>
      </c>
    </row>
    <row r="52" spans="1:7" s="252" customFormat="1" ht="16.5" thickBot="1">
      <c r="A52" s="309" t="s">
        <v>2422</v>
      </c>
      <c r="B52" s="310"/>
      <c r="C52" s="311">
        <f ca="1">C31+C51</f>
        <v>315</v>
      </c>
      <c r="D52" s="310"/>
      <c r="E52" s="310"/>
      <c r="F52" s="310"/>
      <c r="G52" s="312"/>
    </row>
    <row r="55" spans="1:7" ht="15">
      <c r="B55" s="314" t="s">
        <v>2423</v>
      </c>
      <c r="C55" s="315"/>
    </row>
    <row r="56" spans="1:7">
      <c r="B56" s="317" t="s">
        <v>1507</v>
      </c>
      <c r="C56" s="319">
        <f ca="1">1-C57</f>
        <v>0.11099999999999999</v>
      </c>
    </row>
    <row r="57" spans="1:7">
      <c r="B57" s="317" t="s">
        <v>1508</v>
      </c>
      <c r="C57" s="318">
        <f ca="1">ROUND(C51/C52,3)</f>
        <v>0.88900000000000001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8" t="str">
        <f>项目基本情况!B1</f>
        <v>北京市北京经济技术开发区荣华南路7号院4号楼102商业用房出让国有建设用地使用权及在建建筑物房地产抵押价值预评估</v>
      </c>
      <c r="C37" s="3008"/>
      <c r="D37" s="3008"/>
      <c r="E37" s="3008"/>
      <c r="F37" s="3008"/>
      <c r="G37" s="3008"/>
      <c r="H37" s="3008"/>
      <c r="I37" s="3008"/>
    </row>
    <row r="38" spans="1:9">
      <c r="A38" s="1016"/>
      <c r="B38" s="1016"/>
    </row>
    <row r="39" spans="1:9">
      <c r="A39" s="1014" t="s">
        <v>818</v>
      </c>
      <c r="B39" s="1014" t="s">
        <v>820</v>
      </c>
    </row>
    <row r="40" spans="1:9">
      <c r="A40" s="1014"/>
      <c r="B40" s="1940" t="str">
        <f>项目基本情况!B5</f>
        <v>北京华融天辰投资有限公司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康正预评字2020-1-0145-P04DYGJ1号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5"/>
      <c r="C1" s="2550" t="s">
        <v>2424</v>
      </c>
      <c r="D1" s="242"/>
      <c r="E1" s="242"/>
      <c r="F1" s="242"/>
      <c r="G1" s="1378">
        <f>MATCH(B1,'数据-取费表'!A6:A16,0)+5</f>
        <v>7</v>
      </c>
      <c r="H1" s="1281" t="str">
        <f>IF(ISERROR(FIND("住宅",B1)),"非住宅","住宅")</f>
        <v>非住宅</v>
      </c>
    </row>
    <row r="2" spans="1:8" s="244" customFormat="1" ht="18" customHeight="1">
      <c r="A2" s="245" t="s">
        <v>2323</v>
      </c>
      <c r="B2" s="246">
        <f ca="1">ROUND(IF(D2="——",C52/10000,C52/10000-E2),0)</f>
        <v>313</v>
      </c>
      <c r="C2" s="243" t="s">
        <v>2324</v>
      </c>
      <c r="D2" s="2544" t="s">
        <v>70</v>
      </c>
      <c r="E2" s="1439"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4958</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119951</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119951</v>
      </c>
      <c r="D8" s="266"/>
      <c r="E8" s="264"/>
      <c r="F8" s="265"/>
      <c r="G8" s="254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119951</v>
      </c>
      <c r="D10" s="1032">
        <f ca="1">IF(B1="",'数据-汇总表'!E6,IF(INDIRECT("'数据-取费表'!c"&amp;$G$1)="住宅",INDIRECT("'数据-取费表'!s"&amp;$G$1),INDIRECT("'数据-取费表'!k"&amp;$G$1)+INDIRECT("'数据-取费表'!s"&amp;$G$1)))</f>
        <v>631.32000000000005</v>
      </c>
      <c r="E10" s="269">
        <f>'数据-取费表'!B28</f>
        <v>190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126264</v>
      </c>
      <c r="D19" s="1036">
        <f ca="1">D9+D10</f>
        <v>631.32000000000005</v>
      </c>
      <c r="E19" s="255">
        <f>'数据-取费表'!B31</f>
        <v>200</v>
      </c>
      <c r="F19" s="275"/>
      <c r="G19" s="2547"/>
    </row>
    <row r="20" spans="1:7" s="258" customFormat="1" ht="13.5" customHeight="1">
      <c r="A20" s="299" t="s">
        <v>2435</v>
      </c>
      <c r="B20" s="254" t="s">
        <v>2436</v>
      </c>
      <c r="C20" s="276">
        <f ca="1">ROUND((C5+C19)*F20,0)</f>
        <v>4924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9">
        <f ca="1">ROUND(SUM(C23:C25),0)</f>
        <v>24180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0">
        <f ca="1">ROUND(IF('数据-取费表'!B22&lt;=1,C5*F22*'数据-取费表'!B22,C5*(POWER((1+F22),'数据-取费表'!B22)-1)),0)</f>
        <v>11666</v>
      </c>
      <c r="D23" s="282"/>
      <c r="E23" s="282"/>
      <c r="F23" s="283"/>
      <c r="G23" s="284" t="s">
        <v>2445</v>
      </c>
    </row>
    <row r="24" spans="1:7" s="258" customFormat="1" ht="13.5" customHeight="1">
      <c r="A24" s="951" t="s">
        <v>2335</v>
      </c>
      <c r="B24" s="259" t="s">
        <v>2446</v>
      </c>
      <c r="C24" s="1380">
        <f ca="1">ROUND(IF('数据-取费表'!B22&lt;=1,C19*F22*('数据-取费表'!B19/2+'数据-取费表'!B20),C19*(POWER((1+F22),('数据-取费表'!B19/2+'数据-取费表'!B20))-1)),0)</f>
        <v>12280</v>
      </c>
      <c r="D24" s="282"/>
      <c r="E24" s="282"/>
      <c r="F24" s="283"/>
      <c r="G24" s="284" t="s">
        <v>2447</v>
      </c>
    </row>
    <row r="25" spans="1:7" s="258" customFormat="1" ht="24">
      <c r="A25" s="951" t="s">
        <v>2337</v>
      </c>
      <c r="B25" s="259" t="s">
        <v>2448</v>
      </c>
      <c r="C25" s="1380">
        <f ca="1">ROUND(IF('数据-取费表'!B22&lt;=1,C20*F22*'数据-取费表'!B22/2,C20*(POWER((1+F22),'数据-取费表'!B22/2)-1)),0)</f>
        <v>234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37671</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37671</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339211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2435317</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2209620</v>
      </c>
      <c r="D34" s="261"/>
      <c r="E34" s="264"/>
      <c r="F34" s="301"/>
      <c r="G34" s="263"/>
    </row>
    <row r="35" spans="1:7" ht="13.5" customHeight="1">
      <c r="A35" s="951" t="s">
        <v>796</v>
      </c>
      <c r="B35" s="259" t="s">
        <v>2388</v>
      </c>
      <c r="C35" s="264">
        <f ca="1">ROUND(C34*F35,0)</f>
        <v>66289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126264</v>
      </c>
      <c r="D37" s="261">
        <f ca="1">D19</f>
        <v>631.32000000000005</v>
      </c>
      <c r="E37" s="293">
        <f>'数据-取费表'!B35</f>
        <v>200</v>
      </c>
      <c r="F37" s="303"/>
      <c r="G37" s="305"/>
    </row>
    <row r="38" spans="1:7" ht="13.5" customHeight="1">
      <c r="A38" s="951" t="s">
        <v>799</v>
      </c>
      <c r="B38" s="259" t="s">
        <v>2394</v>
      </c>
      <c r="C38" s="264">
        <f ca="1">ROUND(C34*F38,0)</f>
        <v>33144</v>
      </c>
      <c r="D38" s="264"/>
      <c r="E38" s="264"/>
      <c r="F38" s="303">
        <f>'数据-取费表'!B36</f>
        <v>1.4999999999999999E-2</v>
      </c>
      <c r="G38" s="263" t="s">
        <v>2389</v>
      </c>
    </row>
    <row r="39" spans="1:7" s="258" customFormat="1" ht="13.5" customHeight="1">
      <c r="A39" s="299" t="s">
        <v>2395</v>
      </c>
      <c r="B39" s="254" t="s">
        <v>2396</v>
      </c>
      <c r="C39" s="276">
        <f ca="1">ROUND(C33*F20,0)</f>
        <v>48706</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117992</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115678</v>
      </c>
      <c r="D42" s="282"/>
      <c r="E42" s="282"/>
      <c r="F42" s="283"/>
      <c r="G42" s="3194" t="s">
        <v>2452</v>
      </c>
    </row>
    <row r="43" spans="1:7" ht="13.5" customHeight="1">
      <c r="A43" s="951" t="s">
        <v>792</v>
      </c>
      <c r="B43" s="259" t="s">
        <v>2406</v>
      </c>
      <c r="C43" s="282">
        <f ca="1">ROUND(IF('数据-取费表'!B22&lt;=1,C39*F22*'数据-取费表'!B20/2,C39*(POWER((1+F22),'数据-取费表'!B20/2)-1)),0)</f>
        <v>2314</v>
      </c>
      <c r="D43" s="282"/>
      <c r="E43" s="282"/>
      <c r="F43" s="283"/>
      <c r="G43" s="3195"/>
    </row>
    <row r="44" spans="1:7" ht="13.5" customHeight="1">
      <c r="A44" s="951" t="s">
        <v>793</v>
      </c>
      <c r="B44" s="259" t="s">
        <v>2407</v>
      </c>
      <c r="C44" s="282">
        <f ca="1">ROUND(IF('数据-取费表'!B22&lt;=1,C40*F22*'数据-取费表'!B20/2,C40*(POWER((1+F22),'数据-取费表'!B20/2)-1)),4)</f>
        <v>1E-3</v>
      </c>
      <c r="D44" s="282"/>
      <c r="E44" s="282"/>
      <c r="F44" s="283"/>
      <c r="G44" s="3196"/>
    </row>
    <row r="45" spans="1:7" s="258" customFormat="1" ht="13.5" customHeight="1">
      <c r="A45" s="299" t="s">
        <v>2408</v>
      </c>
      <c r="B45" s="288" t="s">
        <v>2374</v>
      </c>
      <c r="C45" s="289">
        <f ca="1">C46</f>
        <v>372603</v>
      </c>
      <c r="D45" s="279">
        <f ca="1">C47</f>
        <v>3.0000000000000001E-3</v>
      </c>
      <c r="E45" s="280" t="s">
        <v>2400</v>
      </c>
      <c r="F45" s="290"/>
      <c r="G45" s="291" t="s">
        <v>2409</v>
      </c>
    </row>
    <row r="46" spans="1:7" s="258" customFormat="1" ht="13.5" customHeight="1">
      <c r="A46" s="951" t="s">
        <v>791</v>
      </c>
      <c r="B46" s="292" t="s">
        <v>2410</v>
      </c>
      <c r="C46" s="293">
        <f ca="1">ROUND((C33+C39)*F27,0)</f>
        <v>372603</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3223819</v>
      </c>
      <c r="D49" s="276"/>
      <c r="E49" s="276"/>
      <c r="F49" s="308"/>
      <c r="G49" s="278" t="s">
        <v>2415</v>
      </c>
    </row>
    <row r="50" spans="1:7" s="302" customFormat="1">
      <c r="A50" s="299" t="s">
        <v>2416</v>
      </c>
      <c r="B50" s="254" t="s">
        <v>2417</v>
      </c>
      <c r="C50" s="276"/>
      <c r="D50" s="276"/>
      <c r="E50" s="276"/>
      <c r="F50" s="308">
        <f>IF('数据-取费表'!B24=0,'数据-取费表'!N16,1)</f>
        <v>0.86699999999999999</v>
      </c>
      <c r="G50" s="291"/>
    </row>
    <row r="51" spans="1:7" ht="16.5" customHeight="1">
      <c r="A51" s="299" t="s">
        <v>2419</v>
      </c>
      <c r="B51" s="254" t="s">
        <v>2454</v>
      </c>
      <c r="C51" s="276">
        <f ca="1">ROUND(C49*F50,0)</f>
        <v>2795051</v>
      </c>
      <c r="D51" s="276"/>
      <c r="E51" s="276"/>
      <c r="F51" s="308"/>
      <c r="G51" s="278" t="s">
        <v>2421</v>
      </c>
    </row>
    <row r="52" spans="1:7" s="252" customFormat="1" ht="16.5" thickBot="1">
      <c r="A52" s="309" t="s">
        <v>2422</v>
      </c>
      <c r="B52" s="310"/>
      <c r="C52" s="311">
        <f ca="1">C31+C51</f>
        <v>3134262</v>
      </c>
      <c r="D52" s="310"/>
      <c r="E52" s="310"/>
      <c r="F52" s="310"/>
      <c r="G52" s="312"/>
    </row>
    <row r="55" spans="1:7" ht="15">
      <c r="B55" s="314" t="s">
        <v>2423</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1" t="s">
        <v>2461</v>
      </c>
      <c r="D5" s="2551" t="s">
        <v>2462</v>
      </c>
      <c r="E5" s="2551" t="s">
        <v>2463</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631.32000000000005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631.32000000000005</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3"/>
      <c r="H18" s="1576"/>
      <c r="I18" s="255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2491</v>
      </c>
      <c r="C20" s="24">
        <f ca="1">ROUND(D20*E20/10000,0)</f>
        <v>12</v>
      </c>
      <c r="D20" s="1033">
        <f ca="1">IF(C1="",'数据-汇总表'!E6,IF(INDIRECT("'数据-取费表'!c"&amp;$K$1)="住宅",INDIRECT("'数据-取费表'!s"&amp;$K$1),INDIRECT("'数据-取费表'!k"&amp;$K$1)+INDIRECT("'数据-取费表'!s"&amp;$K$1)))</f>
        <v>631.32000000000005</v>
      </c>
      <c r="E20" s="24">
        <f>'数据-取费表'!B28</f>
        <v>190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2505</v>
      </c>
      <c r="B28" s="2556" t="s">
        <v>2506</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7"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v>102</v>
      </c>
      <c r="D1" s="1819" t="s">
        <v>70</v>
      </c>
      <c r="E1" s="1820" t="s">
        <v>1381</v>
      </c>
      <c r="F1" s="1282">
        <f ca="1">J53</f>
        <v>29.23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2680</v>
      </c>
      <c r="C2" s="1844" t="s">
        <v>1510</v>
      </c>
      <c r="D2" s="1844"/>
      <c r="E2" s="1845"/>
      <c r="F2" s="1846"/>
      <c r="G2" s="1847"/>
      <c r="H2" s="1839"/>
      <c r="I2" s="1839"/>
      <c r="J2" s="1839"/>
      <c r="K2" s="1840"/>
      <c r="L2" s="1839"/>
      <c r="M2" s="1839"/>
    </row>
    <row r="3" spans="1:37" ht="18" customHeight="1" thickBot="1">
      <c r="A3" s="1848" t="s">
        <v>1511</v>
      </c>
      <c r="B3" s="1849">
        <f ca="1">IF(ISERROR(B2*10000/F43),0,ROUND(B2*10000/F43,0))</f>
        <v>42451</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189</v>
      </c>
      <c r="D5" s="1821" t="s">
        <v>1396</v>
      </c>
      <c r="E5" s="1292"/>
      <c r="F5" s="1293"/>
      <c r="G5" s="1850"/>
      <c r="H5" s="344">
        <v>1</v>
      </c>
      <c r="I5" s="345" t="s">
        <v>1395</v>
      </c>
      <c r="J5" s="1291">
        <f ca="1">J6+J10+J12</f>
        <v>0</v>
      </c>
      <c r="K5" s="1821" t="s">
        <v>1396</v>
      </c>
      <c r="L5" s="1292"/>
      <c r="M5" s="1293"/>
    </row>
    <row r="6" spans="1:37" ht="18" customHeight="1">
      <c r="A6" s="1290" t="s">
        <v>1031</v>
      </c>
      <c r="B6" s="3199" t="s">
        <v>1397</v>
      </c>
      <c r="C6" s="1295">
        <f ca="1">ROUND(F6*F8*F7*(1-F9)/10000,0)</f>
        <v>189</v>
      </c>
      <c r="D6" s="164" t="s">
        <v>3027</v>
      </c>
      <c r="E6" s="347" t="s">
        <v>1399</v>
      </c>
      <c r="F6" s="348">
        <f ca="1">INDIRECT("'数据-取费表'!u"&amp;$G$1)</f>
        <v>9.1</v>
      </c>
      <c r="G6" s="1850"/>
      <c r="H6" s="1290" t="s">
        <v>1031</v>
      </c>
      <c r="I6" s="3199" t="s">
        <v>1397</v>
      </c>
      <c r="J6" s="346">
        <f ca="1">ROUND(M6*M8*M7*(1-M9)/10000,0)</f>
        <v>0</v>
      </c>
      <c r="K6" s="164" t="s">
        <v>3026</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631.32000000000005</v>
      </c>
      <c r="G7" s="1850"/>
      <c r="H7" s="349"/>
      <c r="I7" s="3200"/>
      <c r="J7" s="351"/>
      <c r="K7" s="352"/>
      <c r="L7" s="347" t="s">
        <v>1400</v>
      </c>
      <c r="M7" s="348">
        <f ca="1">F7</f>
        <v>631.32000000000005</v>
      </c>
    </row>
    <row r="8" spans="1:37" ht="18" customHeight="1">
      <c r="A8" s="349"/>
      <c r="B8" s="3200"/>
      <c r="C8" s="351"/>
      <c r="D8" s="352"/>
      <c r="E8" s="347" t="s">
        <v>1401</v>
      </c>
      <c r="F8" s="348">
        <f ca="1">INDIRECT("'数据-取费表'!ai"&amp;$G$1)</f>
        <v>365</v>
      </c>
      <c r="G8" s="1850"/>
      <c r="H8" s="349"/>
      <c r="I8" s="3200"/>
      <c r="J8" s="351"/>
      <c r="K8" s="352"/>
      <c r="L8" s="347" t="s">
        <v>1401</v>
      </c>
      <c r="M8" s="348">
        <f ca="1">INDIRECT("'数据-取费表'!ai"&amp;$G$1)</f>
        <v>365</v>
      </c>
    </row>
    <row r="9" spans="1:37" ht="18" customHeight="1">
      <c r="A9" s="349"/>
      <c r="B9" s="3201"/>
      <c r="C9" s="351"/>
      <c r="D9" s="352"/>
      <c r="E9" s="347" t="s">
        <v>1402</v>
      </c>
      <c r="F9" s="357">
        <f ca="1">INDIRECT("'数据-取费表'!w"&amp;$G$1)</f>
        <v>0.1</v>
      </c>
      <c r="G9" s="1850"/>
      <c r="H9" s="349"/>
      <c r="I9" s="3201"/>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3036</v>
      </c>
      <c r="E10" s="358" t="s">
        <v>1404</v>
      </c>
      <c r="F10" s="1365" t="s">
        <v>3109</v>
      </c>
      <c r="G10" s="1850"/>
      <c r="H10" s="1290" t="s">
        <v>1035</v>
      </c>
      <c r="I10" s="1822" t="s">
        <v>1403</v>
      </c>
      <c r="J10" s="346">
        <f ca="1">ROUND(IF(M10="押一",J6/12*M11,IF(M10="押二",J6/12*2*M11,IF(M10="押三",J6/12*3*M11,J11*M11))),0)</f>
        <v>0</v>
      </c>
      <c r="K10" s="1823" t="s">
        <v>3035</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280</v>
      </c>
      <c r="D13" s="1330" t="s">
        <v>1409</v>
      </c>
      <c r="E13" s="1330" t="s">
        <v>1410</v>
      </c>
      <c r="F13" s="1331">
        <f ca="1">INDIRECT("'数据-取费表'!y"&amp;$G$1)</f>
        <v>0.86699999999999999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221</v>
      </c>
      <c r="D14" s="1799" t="s">
        <v>1412</v>
      </c>
      <c r="E14" s="1793"/>
      <c r="F14" s="364"/>
      <c r="G14" s="1850"/>
      <c r="H14" s="1200" t="s">
        <v>1031</v>
      </c>
      <c r="I14" s="347" t="s">
        <v>1413</v>
      </c>
      <c r="J14" s="24">
        <f ca="1">C29</f>
        <v>323</v>
      </c>
      <c r="K14" s="15"/>
      <c r="L14" s="979"/>
      <c r="M14" s="980"/>
    </row>
    <row r="15" spans="1:37" s="1857" customFormat="1" ht="18" customHeight="1" thickBot="1">
      <c r="A15" s="1200" t="s">
        <v>1032</v>
      </c>
      <c r="B15" s="347" t="s">
        <v>1414</v>
      </c>
      <c r="C15" s="24">
        <f ca="1">ROUND(C14*F15,0)</f>
        <v>7</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8</v>
      </c>
      <c r="K16" s="1336" t="s">
        <v>1419</v>
      </c>
      <c r="L16" s="1337"/>
      <c r="M16" s="1293"/>
    </row>
    <row r="17" spans="1:37" s="1857" customFormat="1" ht="18" customHeight="1">
      <c r="A17" s="1200" t="s">
        <v>1384</v>
      </c>
      <c r="B17" s="347" t="s">
        <v>1420</v>
      </c>
      <c r="C17" s="24">
        <f ca="1">ROUND(F17*(F43+INDIRECT("'数据-取费表'!S"&amp;$G$1))/10000,0)</f>
        <v>13</v>
      </c>
      <c r="D17" s="347" t="s">
        <v>1421</v>
      </c>
      <c r="E17" s="347" t="s">
        <v>1422</v>
      </c>
      <c r="F17" s="26">
        <f>'数据-取费表'!B35</f>
        <v>200</v>
      </c>
      <c r="G17" s="1853"/>
      <c r="H17" s="1200" t="s">
        <v>1031</v>
      </c>
      <c r="I17" s="347" t="s">
        <v>1423</v>
      </c>
      <c r="J17" s="24">
        <f ca="1">ROUND(IF(项目基本情况!B11="自然人",J6*M17/(1+'数据-取费表'!C42),J18+J19+J20),1)</f>
        <v>2.7</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3</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244</v>
      </c>
      <c r="D19" s="140" t="s">
        <v>1430</v>
      </c>
      <c r="E19" s="1817"/>
      <c r="F19" s="26"/>
      <c r="G19" s="1850"/>
      <c r="H19" s="1200" t="s">
        <v>1032</v>
      </c>
      <c r="I19" s="347" t="s">
        <v>1431</v>
      </c>
      <c r="J19" s="24">
        <f ca="1">IF(K19="按租金收入计税",ROUND(J6*M19/(1+'数据-取费表'!C42),2),ROUND(C29*M19*0.7,2))</f>
        <v>2.71</v>
      </c>
      <c r="K19" s="1827" t="s">
        <v>1432</v>
      </c>
      <c r="L19" s="347" t="s">
        <v>1416</v>
      </c>
      <c r="M19" s="367">
        <f>IF(K19="按租金收入计税",'数据-取费表'!B51,'数据-取费表'!B50)</f>
        <v>1.2E-2</v>
      </c>
    </row>
    <row r="20" spans="1:37" s="1857" customFormat="1" ht="18" customHeight="1">
      <c r="A20" s="1200" t="s">
        <v>1035</v>
      </c>
      <c r="B20" s="347" t="s">
        <v>1433</v>
      </c>
      <c r="C20" s="24">
        <f ca="1">ROUND(C19*F20,0)</f>
        <v>5</v>
      </c>
      <c r="D20" s="369" t="s">
        <v>1434</v>
      </c>
      <c r="E20" s="347" t="s">
        <v>1416</v>
      </c>
      <c r="F20" s="367">
        <f>'数据-取费表'!B37</f>
        <v>0.02</v>
      </c>
      <c r="G20" s="1853"/>
      <c r="H20" s="1200" t="s">
        <v>1383</v>
      </c>
      <c r="I20" s="164" t="s">
        <v>1435</v>
      </c>
      <c r="J20" s="25">
        <f ca="1">ROUND(M20*M21/10000,2)</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4.8</v>
      </c>
      <c r="K22" s="1797" t="s">
        <v>1444</v>
      </c>
      <c r="L22" s="347" t="s">
        <v>1416</v>
      </c>
      <c r="M22" s="374">
        <f ca="1">INDIRECT("'数据-取费表'!Ak"&amp;$G$1)</f>
        <v>1.4999999999999999E-2</v>
      </c>
    </row>
    <row r="23" spans="1:37" s="1857" customFormat="1" ht="18" customHeight="1">
      <c r="A23" s="1200" t="s">
        <v>1030</v>
      </c>
      <c r="B23" s="347" t="s">
        <v>1445</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-8</v>
      </c>
      <c r="K25" s="1344" t="s">
        <v>1458</v>
      </c>
      <c r="L25" s="1345"/>
      <c r="M25" s="1346"/>
    </row>
    <row r="26" spans="1:37">
      <c r="A26" s="1200" t="s">
        <v>1030</v>
      </c>
      <c r="B26" s="347" t="s">
        <v>1459</v>
      </c>
      <c r="C26" s="24">
        <f ca="1">ROUND((C19+C20)*F26,0)</f>
        <v>37</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0"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323</v>
      </c>
      <c r="D29" s="1341"/>
      <c r="E29" s="1339"/>
      <c r="F29" s="1342"/>
      <c r="G29" s="1853"/>
      <c r="H29" s="380" t="s">
        <v>1029</v>
      </c>
      <c r="I29" s="381" t="s">
        <v>1473</v>
      </c>
      <c r="J29" s="382">
        <f ca="1">ROUND(J26/(1+F40)^F41,0)</f>
        <v>0</v>
      </c>
      <c r="K29" s="383" t="s">
        <v>1474</v>
      </c>
      <c r="L29" s="384"/>
      <c r="M29" s="385">
        <f ca="1">INDIRECT("'数据-取费表'!k"&amp;$G$1)</f>
        <v>631.32000000000005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39</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ROUND(IF(项目基本情况!B11="自然人",C6*F31/(1+'数据-取费表'!C42),C32+C33+C34),1)</f>
        <v>31.7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10.08</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21.6</v>
      </c>
      <c r="D33" s="1827" t="s">
        <v>3110</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0</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4.8</v>
      </c>
      <c r="D36" s="1797" t="s">
        <v>1476</v>
      </c>
      <c r="E36" s="347" t="s">
        <v>1416</v>
      </c>
      <c r="F36" s="374">
        <f ca="1">INDIRECT("'数据-取费表'!Ak"&amp;$G$1)</f>
        <v>1.4999999999999999E-2</v>
      </c>
      <c r="G36" s="1850"/>
      <c r="H36" s="1858"/>
      <c r="I36" s="1859"/>
      <c r="J36" s="1860"/>
      <c r="K36" s="751"/>
      <c r="L36" s="1858"/>
      <c r="M36" s="1858"/>
    </row>
    <row r="37" spans="1:18" ht="18" customHeight="1">
      <c r="A37" s="1200" t="s">
        <v>1071</v>
      </c>
      <c r="B37" s="347" t="s">
        <v>1447</v>
      </c>
      <c r="C37" s="24">
        <f ca="1">ROUND(C13*F37,1)</f>
        <v>0.4</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1.9</v>
      </c>
      <c r="D38" s="1341" t="s">
        <v>1453</v>
      </c>
      <c r="E38" s="1339" t="s">
        <v>1449</v>
      </c>
      <c r="F38" s="1335">
        <f ca="1">INDIRECT("'数据-取费表'!Am"&amp;$G$1)</f>
        <v>0.01</v>
      </c>
      <c r="G38" s="1850"/>
      <c r="H38" s="1858"/>
      <c r="I38" s="1859"/>
      <c r="J38" s="1860"/>
      <c r="K38" s="1864"/>
      <c r="L38" s="1858"/>
      <c r="M38" s="1858"/>
    </row>
    <row r="39" spans="1:18" ht="24.6" customHeight="1" thickTop="1">
      <c r="A39" s="1328" t="s">
        <v>1027</v>
      </c>
      <c r="B39" s="1343" t="s">
        <v>1477</v>
      </c>
      <c r="C39" s="355">
        <f ca="1">C5-C30</f>
        <v>150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2680</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29.23</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ROUND(C40*10000/F43,0)</f>
        <v>42451</v>
      </c>
      <c r="D43" s="383" t="s">
        <v>1482</v>
      </c>
      <c r="E43" s="384" t="s">
        <v>1483</v>
      </c>
      <c r="F43" s="385">
        <f ca="1">INDIRECT("'数据-取费表'!k"&amp;$G$1)</f>
        <v>631.32000000000005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-3116</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3111</v>
      </c>
      <c r="K47" s="1881" t="s">
        <v>1521</v>
      </c>
      <c r="L47" s="1882">
        <f ca="1">INDIRECT("'数据-取费表'!d"&amp;$G$1)</f>
        <v>40</v>
      </c>
      <c r="M47" s="1837" t="str">
        <f>IF(ISNUMBER(FIND("住宅",C1)),"住宅","非住宅")</f>
        <v>非住宅</v>
      </c>
      <c r="O47" s="1883" t="s">
        <v>1036</v>
      </c>
      <c r="P47" s="1884" t="s">
        <v>1522</v>
      </c>
      <c r="Q47" s="1885">
        <f ca="1">C40+J29</f>
        <v>2680</v>
      </c>
      <c r="R47" s="1885" t="s">
        <v>1523</v>
      </c>
    </row>
    <row r="48" spans="1:18" s="1841" customFormat="1" ht="28.5" thickBot="1">
      <c r="A48" s="1359" t="s">
        <v>1131</v>
      </c>
      <c r="B48" s="345" t="s">
        <v>1395</v>
      </c>
      <c r="C48" s="1816">
        <f ca="1">C49+C53+C55</f>
        <v>0</v>
      </c>
      <c r="D48" s="1361"/>
      <c r="E48" s="1362"/>
      <c r="F48" s="1180"/>
      <c r="G48" s="792"/>
      <c r="H48" s="793"/>
      <c r="I48" s="1886" t="s">
        <v>1524</v>
      </c>
      <c r="J48" s="1887" t="s">
        <v>3112</v>
      </c>
      <c r="K48" s="1888" t="s">
        <v>1525</v>
      </c>
      <c r="L48" s="1889">
        <f ca="1">INDIRECT("'数据-取费表'!f"&amp;$G$1)</f>
        <v>29.23</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3028</v>
      </c>
      <c r="E49" s="1829" t="s">
        <v>1485</v>
      </c>
      <c r="F49" s="1280"/>
      <c r="G49" s="1890"/>
      <c r="H49" s="793"/>
      <c r="I49" s="1886" t="s">
        <v>1528</v>
      </c>
      <c r="J49" s="1891">
        <v>2012</v>
      </c>
      <c r="K49" s="1888" t="s">
        <v>1529</v>
      </c>
      <c r="L49" s="1892"/>
      <c r="O49" s="1893" t="s">
        <v>1038</v>
      </c>
      <c r="P49" s="1884" t="s">
        <v>1530</v>
      </c>
      <c r="Q49" s="1885">
        <f ca="1">C29</f>
        <v>323</v>
      </c>
      <c r="R49" s="1885" t="s">
        <v>1523</v>
      </c>
    </row>
    <row r="50" spans="1:18" s="1841" customFormat="1" ht="13.5" thickBot="1">
      <c r="A50" s="1194"/>
      <c r="B50" s="1197"/>
      <c r="C50" s="1367"/>
      <c r="D50" s="1171"/>
      <c r="E50" s="1276" t="s">
        <v>1400</v>
      </c>
      <c r="F50" s="1277">
        <f ca="1">F7</f>
        <v>631.32000000000005</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365</v>
      </c>
      <c r="I51" s="1897" t="s">
        <v>1534</v>
      </c>
      <c r="J51" s="1898">
        <f>IF(J49="",J50,J49+J50-YEAR('数据-取费表'!B2))</f>
        <v>52</v>
      </c>
      <c r="K51" s="1899" t="s">
        <v>1535</v>
      </c>
      <c r="L51" s="1900">
        <f ca="1">ROUND(-PV(INDIRECT("'数据-取费表'!h"&amp;$G$1),L48,(C39-C13*C76),0),0)</f>
        <v>1918</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29.23</v>
      </c>
      <c r="R52" s="1885" t="s">
        <v>1540</v>
      </c>
    </row>
    <row r="53" spans="1:18" s="1841" customFormat="1" ht="24.75" thickBot="1">
      <c r="A53" s="1404" t="s">
        <v>1133</v>
      </c>
      <c r="B53" s="1830" t="s">
        <v>1403</v>
      </c>
      <c r="C53" s="361">
        <f ca="1">ROUND(IF(F53="押一",C49/12*F11,IF(F53="押二",C49/12*2*F11,IF(F53="押三",C49/12*3*F11,C54*F11))),0)</f>
        <v>0</v>
      </c>
      <c r="D53" s="1823" t="s">
        <v>3035</v>
      </c>
      <c r="E53" s="358" t="s">
        <v>1404</v>
      </c>
      <c r="F53" s="1365"/>
      <c r="I53" s="1904" t="s">
        <v>1541</v>
      </c>
      <c r="J53" s="2947">
        <f ca="1">IF(M47="住宅",IF(D1="——",MAX(J51,L48),MAX(J51,L48-'数据-取费表'!B24)),IF(D1="——",MIN(J51,L48),MIN(J51,L48-'数据-取费表'!B24)))</f>
        <v>29.23</v>
      </c>
      <c r="K53" s="3197" t="s">
        <v>1542</v>
      </c>
      <c r="L53" s="3198"/>
      <c r="O53" s="1883" t="s">
        <v>1042</v>
      </c>
      <c r="P53" s="1884" t="s">
        <v>1543</v>
      </c>
      <c r="Q53" s="1885">
        <f ca="1">Q47+Q48</f>
        <v>2680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280</v>
      </c>
      <c r="D56" s="1912"/>
      <c r="E56" s="1913"/>
      <c r="F56" s="1905"/>
      <c r="I56" s="1914" t="s">
        <v>1548</v>
      </c>
      <c r="J56" s="1915" t="s">
        <v>3105</v>
      </c>
      <c r="K56" s="1886" t="s">
        <v>1549</v>
      </c>
      <c r="L56" s="1889" t="str">
        <f ca="1">IF(L48&lt;J51,"——",L48-J53)</f>
        <v>——</v>
      </c>
      <c r="O56" s="1883" t="s">
        <v>1036</v>
      </c>
      <c r="P56" s="1884" t="s">
        <v>1522</v>
      </c>
      <c r="Q56" s="1885">
        <f ca="1">C40+J29</f>
        <v>2680</v>
      </c>
      <c r="R56" s="1885" t="s">
        <v>1523</v>
      </c>
    </row>
    <row r="57" spans="1:18" s="1841" customFormat="1" ht="24.75" thickBot="1">
      <c r="A57" s="1916"/>
      <c r="B57" s="1168" t="s">
        <v>1472</v>
      </c>
      <c r="C57" s="282">
        <f ca="1">C29</f>
        <v>323</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6" t="s">
        <v>1418</v>
      </c>
      <c r="C58" s="361">
        <f ca="1">ROUND(C59+C64+C65+C66,0)</f>
        <v>32</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27.1</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27.13</v>
      </c>
      <c r="D61" s="1827" t="s">
        <v>1432</v>
      </c>
      <c r="E61" s="1168"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1">
        <f t="shared" si="0"/>
        <v>0</v>
      </c>
      <c r="I62" s="1927" t="s">
        <v>1564</v>
      </c>
      <c r="J62" s="1928" t="s">
        <v>1565</v>
      </c>
      <c r="K62" s="1928" t="s">
        <v>1566</v>
      </c>
      <c r="L62" s="1928" t="s">
        <v>1567</v>
      </c>
      <c r="M62" s="1929" t="s">
        <v>1568</v>
      </c>
      <c r="O62" s="1883" t="s">
        <v>1042</v>
      </c>
      <c r="P62" s="1884" t="s">
        <v>1569</v>
      </c>
      <c r="Q62" s="1885">
        <f ca="1">Q56+Q57</f>
        <v>2680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4.8</v>
      </c>
      <c r="D64" s="1182" t="s">
        <v>1496</v>
      </c>
      <c r="E64" s="1168"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0.4</v>
      </c>
      <c r="D65" s="1182" t="s">
        <v>1448</v>
      </c>
      <c r="E65" s="1168" t="s">
        <v>1449</v>
      </c>
      <c r="F65" s="376">
        <f t="shared" ca="1" si="0"/>
        <v>1.5E-3</v>
      </c>
      <c r="I65" s="1927" t="s">
        <v>1573</v>
      </c>
      <c r="J65" s="1928">
        <v>40</v>
      </c>
      <c r="K65" s="1928">
        <v>30</v>
      </c>
      <c r="L65" s="1928">
        <v>50</v>
      </c>
      <c r="M65" s="1930">
        <v>0.02</v>
      </c>
      <c r="O65" s="1883" t="s">
        <v>1036</v>
      </c>
      <c r="P65" s="1884" t="s">
        <v>1574</v>
      </c>
      <c r="Q65" s="1885">
        <f ca="1">C40+J29</f>
        <v>2680</v>
      </c>
      <c r="R65" s="1885" t="s">
        <v>1523</v>
      </c>
    </row>
    <row r="66" spans="1:18" s="1841" customFormat="1" ht="16.5" thickBot="1">
      <c r="A66" s="1200" t="s">
        <v>1498</v>
      </c>
      <c r="B66" s="1168" t="s">
        <v>1433</v>
      </c>
      <c r="C66" s="24">
        <f ca="1">ROUND(C48*F66,1)</f>
        <v>0</v>
      </c>
      <c r="D66" s="1182" t="s">
        <v>1499</v>
      </c>
      <c r="E66" s="1168" t="s">
        <v>1416</v>
      </c>
      <c r="F66" s="357">
        <f t="shared" ca="1" si="0"/>
        <v>0.01</v>
      </c>
      <c r="O66" s="1883" t="s">
        <v>1037</v>
      </c>
      <c r="P66" s="1884" t="s">
        <v>1552</v>
      </c>
      <c r="Q66" s="1885">
        <f ca="1">L60</f>
        <v>0</v>
      </c>
      <c r="R66" s="1885" t="s">
        <v>1575</v>
      </c>
    </row>
    <row r="67" spans="1:18" s="1841" customFormat="1" ht="16.5" thickBot="1">
      <c r="A67" s="1175" t="s">
        <v>1027</v>
      </c>
      <c r="B67" s="1185" t="s">
        <v>1457</v>
      </c>
      <c r="C67" s="361">
        <f ca="1">C48-C58</f>
        <v>-32</v>
      </c>
      <c r="D67" s="1181" t="s">
        <v>1458</v>
      </c>
      <c r="E67" s="1186"/>
      <c r="F67" s="1187"/>
      <c r="O67" s="1893" t="s">
        <v>1038</v>
      </c>
      <c r="P67" s="1884" t="s">
        <v>1556</v>
      </c>
      <c r="Q67" s="1931">
        <f ca="1">L51</f>
        <v>1918</v>
      </c>
      <c r="R67" s="1885" t="s">
        <v>1576</v>
      </c>
    </row>
    <row r="68" spans="1:18" s="1841" customFormat="1" ht="16.5" thickBot="1">
      <c r="A68" s="1165" t="s">
        <v>1028</v>
      </c>
      <c r="B68" s="1166" t="s">
        <v>1479</v>
      </c>
      <c r="C68" s="346">
        <f ca="1">ROUND(C67*(1-((1+F70)/(1+F68))^F69)/(F68-F70),0)</f>
        <v>-436</v>
      </c>
      <c r="D68" s="1183" t="s">
        <v>1463</v>
      </c>
      <c r="E68" s="1168" t="s">
        <v>1464</v>
      </c>
      <c r="F68" s="357">
        <f ca="1">F40</f>
        <v>0.06</v>
      </c>
      <c r="O68" s="1893" t="s">
        <v>1039</v>
      </c>
      <c r="P68" s="1932" t="s">
        <v>1577</v>
      </c>
      <c r="Q68" s="1885">
        <f ca="1">ROUND(Q69-Q70*Q71,0)</f>
        <v>126</v>
      </c>
      <c r="R68" s="1885" t="s">
        <v>1047</v>
      </c>
    </row>
    <row r="69" spans="1:18" s="1841" customFormat="1" ht="13.5" thickBot="1">
      <c r="A69" s="1169"/>
      <c r="B69" s="1170"/>
      <c r="C69" s="351"/>
      <c r="D69" s="1188" t="s">
        <v>1467</v>
      </c>
      <c r="E69" s="1168" t="s">
        <v>1468</v>
      </c>
      <c r="F69" s="379">
        <f ca="1">F41</f>
        <v>29.23</v>
      </c>
      <c r="O69" s="1893" t="s">
        <v>1044</v>
      </c>
      <c r="P69" s="1932" t="s">
        <v>1578</v>
      </c>
      <c r="Q69" s="1885">
        <f ca="1">C39</f>
        <v>150</v>
      </c>
      <c r="R69" s="1885" t="s">
        <v>1523</v>
      </c>
    </row>
    <row r="70" spans="1:18" s="1841" customFormat="1" ht="13.5" thickBot="1">
      <c r="A70" s="1172"/>
      <c r="B70" s="1173"/>
      <c r="C70" s="355"/>
      <c r="D70" s="1184"/>
      <c r="E70" s="1168" t="s">
        <v>1471</v>
      </c>
      <c r="F70" s="1274"/>
      <c r="O70" s="1893" t="s">
        <v>1045</v>
      </c>
      <c r="P70" s="1932" t="s">
        <v>1579</v>
      </c>
      <c r="Q70" s="1885">
        <f ca="1">C13</f>
        <v>280</v>
      </c>
      <c r="R70" s="1885" t="s">
        <v>1523</v>
      </c>
    </row>
    <row r="71" spans="1:18" s="1841" customFormat="1" ht="13.5" thickBot="1">
      <c r="A71" s="1189" t="s">
        <v>1029</v>
      </c>
      <c r="B71" s="1190" t="s">
        <v>1481</v>
      </c>
      <c r="C71" s="382">
        <f ca="1">ROUND(C68*10000/F71,0)</f>
        <v>-6906</v>
      </c>
      <c r="D71" s="1191" t="s">
        <v>1482</v>
      </c>
      <c r="E71" s="1192" t="s">
        <v>1483</v>
      </c>
      <c r="F71" s="385">
        <f ca="1">F43</f>
        <v>631.32000000000005</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24</v>
      </c>
      <c r="D75" s="1841"/>
      <c r="E75" s="1841"/>
      <c r="F75" s="1841"/>
      <c r="K75" s="1867"/>
      <c r="L75" s="1841"/>
      <c r="O75" s="1883" t="s">
        <v>1042</v>
      </c>
      <c r="P75" s="1884" t="s">
        <v>1543</v>
      </c>
      <c r="Q75" s="1885">
        <f ca="1">Q65+Q66</f>
        <v>2680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0.84</v>
      </c>
    </row>
    <row r="80" spans="1:18">
      <c r="B80" s="386" t="s">
        <v>1505</v>
      </c>
      <c r="C80" s="318">
        <f ca="1">ROUND(C75/C39,3)</f>
        <v>0.16</v>
      </c>
    </row>
    <row r="81" spans="2:3">
      <c r="B81" s="314" t="s">
        <v>1506</v>
      </c>
      <c r="C81" s="282"/>
    </row>
    <row r="82" spans="2:3">
      <c r="B82" s="317" t="s">
        <v>1507</v>
      </c>
      <c r="C82" s="319">
        <f ca="1">1-C83</f>
        <v>0.89600000000000002</v>
      </c>
    </row>
    <row r="83" spans="2:3">
      <c r="B83" s="317" t="s">
        <v>1508</v>
      </c>
      <c r="C83" s="318">
        <f ca="1">ROUND(C13/C40,3)</f>
        <v>0.104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199" t="s">
        <v>1397</v>
      </c>
      <c r="C6" s="1295">
        <f ca="1">ROUND(F6*F8*F7*(1-F9),0)</f>
        <v>0</v>
      </c>
      <c r="D6" s="164" t="s">
        <v>3024</v>
      </c>
      <c r="E6" s="347" t="s">
        <v>1399</v>
      </c>
      <c r="F6" s="348">
        <f ca="1">INDIRECT("'数据-取费表'!u"&amp;$G$1)</f>
        <v>0</v>
      </c>
      <c r="G6" s="1850"/>
      <c r="H6" s="1290" t="s">
        <v>1031</v>
      </c>
      <c r="I6" s="3199" t="s">
        <v>1397</v>
      </c>
      <c r="J6" s="346">
        <f ca="1">ROUND(M6*M8*M7*(1-M9),0)</f>
        <v>0</v>
      </c>
      <c r="K6" s="1833" t="s">
        <v>3025</v>
      </c>
      <c r="L6" s="347" t="s">
        <v>1399</v>
      </c>
      <c r="M6" s="348">
        <f ca="1">INDIRECT("'数据-取费表'!z"&amp;$G$1)</f>
        <v>0</v>
      </c>
    </row>
    <row r="7" spans="1:37" ht="18" customHeight="1">
      <c r="A7" s="1294"/>
      <c r="B7" s="3200"/>
      <c r="C7" s="1296"/>
      <c r="D7" s="352"/>
      <c r="E7" s="1297" t="s">
        <v>1400</v>
      </c>
      <c r="F7" s="348">
        <f ca="1">IF(INDIRECT("'数据-取费表'!ah"&amp;$G$1)="",INDIRECT("'数据-取费表'!k"&amp;$G$1),INDIRECT("'数据-取费表'!ah"&amp;$G$1))</f>
        <v>0</v>
      </c>
      <c r="G7" s="1850"/>
      <c r="H7" s="349"/>
      <c r="I7" s="3200"/>
      <c r="J7" s="351"/>
      <c r="K7" s="352"/>
      <c r="L7" s="347" t="s">
        <v>1400</v>
      </c>
      <c r="M7" s="348">
        <f ca="1">F7</f>
        <v>0</v>
      </c>
    </row>
    <row r="8" spans="1:37" ht="18" customHeight="1">
      <c r="A8" s="349"/>
      <c r="B8" s="3200"/>
      <c r="C8" s="351"/>
      <c r="D8" s="352"/>
      <c r="E8" s="347" t="s">
        <v>1401</v>
      </c>
      <c r="F8" s="348">
        <f ca="1">INDIRECT("'数据-取费表'!ai"&amp;$G$1)</f>
        <v>0</v>
      </c>
      <c r="G8" s="1850"/>
      <c r="H8" s="349"/>
      <c r="I8" s="3200"/>
      <c r="J8" s="351"/>
      <c r="K8" s="352"/>
      <c r="L8" s="347" t="s">
        <v>1401</v>
      </c>
      <c r="M8" s="348">
        <f ca="1">INDIRECT("'数据-取费表'!ai"&amp;$G$1)</f>
        <v>0</v>
      </c>
    </row>
    <row r="9" spans="1:37" ht="18" customHeight="1">
      <c r="A9" s="349"/>
      <c r="B9" s="3201"/>
      <c r="C9" s="351"/>
      <c r="D9" s="352"/>
      <c r="E9" s="347" t="s">
        <v>1402</v>
      </c>
      <c r="F9" s="357">
        <f ca="1">INDIRECT("'数据-取费表'!w"&amp;$G$1)</f>
        <v>0</v>
      </c>
      <c r="G9" s="1850"/>
      <c r="H9" s="349"/>
      <c r="I9" s="3201"/>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3035</v>
      </c>
      <c r="E10" s="358" t="s">
        <v>1404</v>
      </c>
      <c r="F10" s="1365"/>
      <c r="G10" s="1850"/>
      <c r="H10" s="1290" t="s">
        <v>1035</v>
      </c>
      <c r="I10" s="1822" t="s">
        <v>1403</v>
      </c>
      <c r="J10" s="346">
        <f ca="1">ROUND(IF(M10="押一",J6/12*M11,IF(M10="押二",J6/12*2*M11,IF(M10="押三",J6/12*3*M11,J11*M11))),0)</f>
        <v>0</v>
      </c>
      <c r="K10" s="1834" t="s">
        <v>3037</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9"/>
      <c r="M14" s="980"/>
    </row>
    <row r="15" spans="1:37" s="1857" customFormat="1" ht="18" customHeight="1" thickBot="1">
      <c r="A15" s="1200"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0</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3038</v>
      </c>
      <c r="E53" s="358" t="s">
        <v>1404</v>
      </c>
      <c r="F53" s="1365"/>
      <c r="I53" s="1904" t="s">
        <v>1541</v>
      </c>
      <c r="J53" s="2947">
        <f ca="1">IF(M47="住宅",IF(D1="——",MAX(J51,L48),MAX(J51,L48-'数据-取费表'!B24)),IF(D1="——",MIN(J51,L48),MIN(J51,L48-'数据-取费表'!B24)))</f>
        <v>0</v>
      </c>
      <c r="K53" s="3197" t="s">
        <v>1542</v>
      </c>
      <c r="L53" s="3198"/>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1">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2522</v>
      </c>
      <c r="B1" s="2559"/>
      <c r="C1" s="2559"/>
      <c r="D1" s="2559"/>
      <c r="E1" s="2560"/>
    </row>
    <row r="2" spans="1:6" ht="15.75">
      <c r="A2" s="2561" t="s">
        <v>2323</v>
      </c>
      <c r="B2" s="2562">
        <f ca="1">SUMIF(B6:B13,"&lt;&gt;#ref!",B6:B13)</f>
        <v>2680</v>
      </c>
      <c r="C2" s="2563" t="s">
        <v>2515</v>
      </c>
      <c r="D2" s="2564" t="s">
        <v>2516</v>
      </c>
      <c r="E2" s="2565">
        <f>SUM(E6:E13)</f>
        <v>631.32000000000005</v>
      </c>
    </row>
    <row r="3" spans="1:6" ht="15.75">
      <c r="A3" s="2561" t="s">
        <v>1389</v>
      </c>
      <c r="B3" s="2562">
        <f ca="1">ROUND(B2*10000/E2,0)</f>
        <v>42451</v>
      </c>
      <c r="C3" s="2563" t="s">
        <v>2523</v>
      </c>
      <c r="D3" s="2566"/>
      <c r="E3" s="2567"/>
    </row>
    <row r="4" spans="1:6" ht="15.75">
      <c r="A4" s="2568"/>
      <c r="B4" s="2566"/>
      <c r="C4" s="2566"/>
      <c r="D4" s="2566"/>
      <c r="E4" s="2567"/>
    </row>
    <row r="5" spans="1:6" ht="15">
      <c r="A5" s="2569" t="s">
        <v>2517</v>
      </c>
      <c r="B5" s="3202" t="s">
        <v>2518</v>
      </c>
      <c r="C5" s="3202"/>
      <c r="D5" s="2570"/>
      <c r="E5" s="2571" t="s">
        <v>2519</v>
      </c>
      <c r="F5" s="2572" t="s">
        <v>2520</v>
      </c>
    </row>
    <row r="6" spans="1:6">
      <c r="A6" s="2573" t="str">
        <f>'数据-取费表'!AN6</f>
        <v>收益法</v>
      </c>
      <c r="B6" s="2572">
        <f ca="1">IF(F6="是",'数据-取费表'!AO6,0)</f>
        <v>2680</v>
      </c>
      <c r="C6" s="2563" t="s">
        <v>2515</v>
      </c>
      <c r="D6" s="2566"/>
      <c r="E6" s="2574">
        <f>IF(OR(A6=0,F6="否"),0,'数据-取费表'!K6+'数据-取费表'!S6)</f>
        <v>631.32000000000005</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3" t="s">
        <v>1072</v>
      </c>
      <c r="B1" s="3204"/>
      <c r="C1" s="3205"/>
      <c r="D1" s="3206">
        <f>SUM(I10,I15,I20,I21,I23)</f>
        <v>0</v>
      </c>
      <c r="E1" s="3206"/>
      <c r="F1" s="3206"/>
      <c r="G1" s="3206"/>
      <c r="H1" s="3206"/>
      <c r="I1" s="3207"/>
    </row>
    <row r="2" spans="1:9">
      <c r="A2" s="3208" t="s">
        <v>1073</v>
      </c>
      <c r="B2" s="3209" t="s">
        <v>1074</v>
      </c>
      <c r="C2" s="3209"/>
      <c r="D2" s="1300" t="s">
        <v>1075</v>
      </c>
      <c r="E2" s="1300" t="s">
        <v>1076</v>
      </c>
      <c r="F2" s="1300" t="s">
        <v>1077</v>
      </c>
      <c r="G2" s="1300" t="s">
        <v>1078</v>
      </c>
      <c r="H2" s="1300" t="s">
        <v>1079</v>
      </c>
      <c r="I2" s="1301" t="s">
        <v>1080</v>
      </c>
    </row>
    <row r="3" spans="1:9">
      <c r="A3" s="3208"/>
      <c r="B3" s="3209" t="s">
        <v>1081</v>
      </c>
      <c r="C3" s="3209"/>
      <c r="D3" s="1302"/>
      <c r="E3" s="1300"/>
      <c r="F3" s="1303"/>
      <c r="G3" s="1303"/>
      <c r="H3" s="1304"/>
      <c r="I3" s="1305">
        <f>ROUND(D3*E3*F3*G3*H3/10000,0)</f>
        <v>0</v>
      </c>
    </row>
    <row r="4" spans="1:9">
      <c r="A4" s="3208"/>
      <c r="B4" s="3209" t="s">
        <v>1082</v>
      </c>
      <c r="C4" s="3209"/>
      <c r="D4" s="1302"/>
      <c r="E4" s="1300"/>
      <c r="F4" s="1303"/>
      <c r="G4" s="1303"/>
      <c r="H4" s="1304"/>
      <c r="I4" s="1305">
        <f t="shared" ref="I4:I9" si="0">ROUND(D4*E4*F4*G4*H4/10000,0)</f>
        <v>0</v>
      </c>
    </row>
    <row r="5" spans="1:9">
      <c r="A5" s="3208"/>
      <c r="B5" s="3209" t="s">
        <v>1083</v>
      </c>
      <c r="C5" s="3209"/>
      <c r="D5" s="1302"/>
      <c r="E5" s="1300"/>
      <c r="F5" s="1303"/>
      <c r="G5" s="1303"/>
      <c r="H5" s="1304"/>
      <c r="I5" s="1305">
        <f t="shared" si="0"/>
        <v>0</v>
      </c>
    </row>
    <row r="6" spans="1:9">
      <c r="A6" s="3208"/>
      <c r="B6" s="3209" t="s">
        <v>1084</v>
      </c>
      <c r="C6" s="3209"/>
      <c r="D6" s="1302"/>
      <c r="E6" s="1300"/>
      <c r="F6" s="1303"/>
      <c r="G6" s="1303"/>
      <c r="H6" s="1304"/>
      <c r="I6" s="1305">
        <f t="shared" si="0"/>
        <v>0</v>
      </c>
    </row>
    <row r="7" spans="1:9">
      <c r="A7" s="3208"/>
      <c r="B7" s="3209" t="s">
        <v>1085</v>
      </c>
      <c r="C7" s="3209"/>
      <c r="D7" s="1302"/>
      <c r="E7" s="1300"/>
      <c r="F7" s="1303"/>
      <c r="G7" s="1303"/>
      <c r="H7" s="1304"/>
      <c r="I7" s="1305">
        <f t="shared" si="0"/>
        <v>0</v>
      </c>
    </row>
    <row r="8" spans="1:9">
      <c r="A8" s="3208"/>
      <c r="B8" s="3209" t="s">
        <v>1086</v>
      </c>
      <c r="C8" s="3209"/>
      <c r="D8" s="1302"/>
      <c r="E8" s="1300"/>
      <c r="F8" s="1303"/>
      <c r="G8" s="1303"/>
      <c r="H8" s="1304"/>
      <c r="I8" s="1305">
        <f t="shared" si="0"/>
        <v>0</v>
      </c>
    </row>
    <row r="9" spans="1:9">
      <c r="A9" s="3208"/>
      <c r="B9" s="3209" t="s">
        <v>1087</v>
      </c>
      <c r="C9" s="3209"/>
      <c r="D9" s="1302"/>
      <c r="E9" s="1300"/>
      <c r="F9" s="1303"/>
      <c r="G9" s="1303"/>
      <c r="H9" s="1304"/>
      <c r="I9" s="1305">
        <f t="shared" si="0"/>
        <v>0</v>
      </c>
    </row>
    <row r="10" spans="1:9">
      <c r="A10" s="3208"/>
      <c r="B10" s="3210" t="s">
        <v>1088</v>
      </c>
      <c r="C10" s="3210"/>
      <c r="D10" s="1306"/>
      <c r="E10" s="1306" t="e">
        <f>ROUND(D1*10000/D10/H9,0)</f>
        <v>#DIV/0!</v>
      </c>
      <c r="F10" s="1307"/>
      <c r="G10" s="1307"/>
      <c r="H10" s="1308"/>
      <c r="I10" s="1309">
        <f>SUM(I3:I9)</f>
        <v>0</v>
      </c>
    </row>
    <row r="11" spans="1:9" ht="14.25">
      <c r="A11" s="3208" t="s">
        <v>1089</v>
      </c>
      <c r="B11" s="3209" t="s">
        <v>1090</v>
      </c>
      <c r="C11" s="3209"/>
      <c r="D11" s="1302" t="s">
        <v>1091</v>
      </c>
      <c r="E11" s="1302" t="s">
        <v>1092</v>
      </c>
      <c r="F11" s="1303" t="s">
        <v>1093</v>
      </c>
      <c r="G11" s="1303" t="s">
        <v>1079</v>
      </c>
      <c r="H11" s="1310" t="s">
        <v>1094</v>
      </c>
      <c r="I11" s="1301" t="s">
        <v>1080</v>
      </c>
    </row>
    <row r="12" spans="1:9">
      <c r="A12" s="3208"/>
      <c r="B12" s="3209" t="s">
        <v>1095</v>
      </c>
      <c r="C12" s="3209"/>
      <c r="D12" s="1302"/>
      <c r="E12" s="1302"/>
      <c r="F12" s="1303"/>
      <c r="G12" s="1304"/>
      <c r="H12" s="1311"/>
      <c r="I12" s="1301">
        <f>ROUND(D12*E12*F12*G12/10000,0)</f>
        <v>0</v>
      </c>
    </row>
    <row r="13" spans="1:9">
      <c r="A13" s="3208"/>
      <c r="B13" s="3209" t="s">
        <v>1096</v>
      </c>
      <c r="C13" s="3209"/>
      <c r="D13" s="1302"/>
      <c r="E13" s="1302"/>
      <c r="F13" s="1303"/>
      <c r="G13" s="1304"/>
      <c r="H13" s="1311"/>
      <c r="I13" s="1301">
        <f>ROUND(D13*E13*F13*G13/10000,0)</f>
        <v>0</v>
      </c>
    </row>
    <row r="14" spans="1:9">
      <c r="A14" s="3208"/>
      <c r="B14" s="3209" t="s">
        <v>1097</v>
      </c>
      <c r="C14" s="3209"/>
      <c r="D14" s="1302"/>
      <c r="E14" s="1302"/>
      <c r="F14" s="1303"/>
      <c r="G14" s="1304"/>
      <c r="H14" s="1311"/>
      <c r="I14" s="1301">
        <f>ROUND(D14*E14*F14*G14/10000,0)</f>
        <v>0</v>
      </c>
    </row>
    <row r="15" spans="1:9">
      <c r="A15" s="3208"/>
      <c r="B15" s="3210" t="s">
        <v>1088</v>
      </c>
      <c r="C15" s="3210"/>
      <c r="D15" s="1306"/>
      <c r="E15" s="1306">
        <f>SUM(E12:E14)</f>
        <v>0</v>
      </c>
      <c r="F15" s="1307"/>
      <c r="G15" s="1304"/>
      <c r="H15" s="1311"/>
      <c r="I15" s="1312">
        <f>SUM(I12:I14)</f>
        <v>0</v>
      </c>
    </row>
    <row r="16" spans="1:9" ht="24">
      <c r="A16" s="3208" t="s">
        <v>1098</v>
      </c>
      <c r="B16" s="3209" t="s">
        <v>1099</v>
      </c>
      <c r="C16" s="3209"/>
      <c r="D16" s="1302" t="s">
        <v>1075</v>
      </c>
      <c r="E16" s="1313" t="s">
        <v>1100</v>
      </c>
      <c r="F16" s="1303" t="s">
        <v>1101</v>
      </c>
      <c r="G16" s="1304" t="s">
        <v>1079</v>
      </c>
      <c r="H16" s="1310" t="s">
        <v>1094</v>
      </c>
      <c r="I16" s="1301" t="s">
        <v>1080</v>
      </c>
    </row>
    <row r="17" spans="1:9" ht="14.25">
      <c r="A17" s="3208"/>
      <c r="B17" s="3209" t="s">
        <v>1102</v>
      </c>
      <c r="C17" s="3209"/>
      <c r="D17" s="1302"/>
      <c r="E17" s="1302"/>
      <c r="F17" s="1303"/>
      <c r="G17" s="1304"/>
      <c r="H17" s="1314"/>
      <c r="I17" s="1315">
        <f>ROUND(D17*E17*F17*G17/10000,0)</f>
        <v>0</v>
      </c>
    </row>
    <row r="18" spans="1:9" ht="14.25">
      <c r="A18" s="3208"/>
      <c r="B18" s="3209" t="s">
        <v>1103</v>
      </c>
      <c r="C18" s="3209"/>
      <c r="D18" s="1302"/>
      <c r="E18" s="1302"/>
      <c r="F18" s="1303"/>
      <c r="G18" s="1304"/>
      <c r="H18" s="1314"/>
      <c r="I18" s="1315">
        <f>ROUND(D18*E18*F18*G18/10000,0)</f>
        <v>0</v>
      </c>
    </row>
    <row r="19" spans="1:9" ht="14.25">
      <c r="A19" s="3208"/>
      <c r="B19" s="3209" t="s">
        <v>1104</v>
      </c>
      <c r="C19" s="3209"/>
      <c r="D19" s="1302"/>
      <c r="E19" s="1302"/>
      <c r="F19" s="1303"/>
      <c r="G19" s="1304"/>
      <c r="H19" s="1314"/>
      <c r="I19" s="1315">
        <f>ROUND(D19*E19*F19*G19/10000,0)</f>
        <v>0</v>
      </c>
    </row>
    <row r="20" spans="1:9">
      <c r="A20" s="3208"/>
      <c r="B20" s="3210" t="s">
        <v>1088</v>
      </c>
      <c r="C20" s="3210"/>
      <c r="D20" s="1306">
        <f>SUM(D17:D19)</f>
        <v>0</v>
      </c>
      <c r="E20" s="1306"/>
      <c r="F20" s="1307"/>
      <c r="G20" s="1304"/>
      <c r="H20" s="1311"/>
      <c r="I20" s="1312">
        <f>SUM(I17:I19)</f>
        <v>0</v>
      </c>
    </row>
    <row r="21" spans="1:9">
      <c r="A21" s="3208" t="s">
        <v>1105</v>
      </c>
      <c r="B21" s="3212"/>
      <c r="C21" s="3212"/>
      <c r="D21" s="3212"/>
      <c r="E21" s="3212"/>
      <c r="F21" s="3212"/>
      <c r="G21" s="3212"/>
      <c r="H21" s="1764">
        <v>0.1</v>
      </c>
      <c r="I21" s="1309">
        <f>ROUND(I10*H21,0)</f>
        <v>0</v>
      </c>
    </row>
    <row r="22" spans="1:9" ht="14.25">
      <c r="A22" s="3213" t="s">
        <v>1106</v>
      </c>
      <c r="B22" s="3214"/>
      <c r="C22" s="3215"/>
      <c r="D22" s="1316" t="s">
        <v>1107</v>
      </c>
      <c r="E22" s="1316" t="s">
        <v>1108</v>
      </c>
      <c r="F22" s="1317" t="s">
        <v>1109</v>
      </c>
      <c r="G22" s="1317" t="s">
        <v>1110</v>
      </c>
      <c r="H22" s="1310" t="s">
        <v>1111</v>
      </c>
      <c r="I22" s="1301" t="s">
        <v>1112</v>
      </c>
    </row>
    <row r="23" spans="1:9" ht="14.25" thickBot="1">
      <c r="A23" s="3216"/>
      <c r="B23" s="3217"/>
      <c r="C23" s="3218"/>
      <c r="D23" s="1318"/>
      <c r="E23" s="1318"/>
      <c r="F23" s="1318"/>
      <c r="G23" s="1319"/>
      <c r="H23" s="1320"/>
      <c r="I23" s="1321">
        <f>ROUND(E23*D23*F23*(1-G23)/10000,0)</f>
        <v>0</v>
      </c>
    </row>
    <row r="26" spans="1:9">
      <c r="A26" s="1322" t="s">
        <v>1113</v>
      </c>
      <c r="B26" s="1322"/>
      <c r="C26" s="1322"/>
      <c r="D26" s="1322"/>
      <c r="E26" s="3219">
        <f>C27-C30-C31-C32</f>
        <v>0</v>
      </c>
      <c r="F26" s="3219"/>
      <c r="G26" s="3219"/>
      <c r="H26" s="1736" t="s">
        <v>1335</v>
      </c>
    </row>
    <row r="27" spans="1:9">
      <c r="A27" s="1323">
        <v>1</v>
      </c>
      <c r="B27" s="1324" t="s">
        <v>1114</v>
      </c>
      <c r="C27" s="1324">
        <f>C28+C29</f>
        <v>0</v>
      </c>
      <c r="D27" s="1324"/>
      <c r="E27" s="3220"/>
      <c r="F27" s="3220"/>
      <c r="G27" s="3220"/>
    </row>
    <row r="28" spans="1:9">
      <c r="A28" s="1325" t="s">
        <v>1115</v>
      </c>
      <c r="B28" s="1324" t="s">
        <v>1116</v>
      </c>
      <c r="C28" s="1324"/>
      <c r="D28" s="1324"/>
      <c r="E28" s="3220"/>
      <c r="F28" s="3220"/>
      <c r="G28" s="322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1"/>
      <c r="F32" s="3211"/>
      <c r="G32" s="3211"/>
    </row>
    <row r="33" spans="1:7" hidden="1">
      <c r="A33" s="3221" t="s">
        <v>1125</v>
      </c>
      <c r="B33" s="3222"/>
      <c r="C33" s="3222"/>
      <c r="D33" s="3223"/>
      <c r="E33" s="3219"/>
      <c r="F33" s="3219"/>
      <c r="G33" s="3219"/>
    </row>
    <row r="34" spans="1:7" hidden="1">
      <c r="A34" s="1327">
        <v>1</v>
      </c>
      <c r="B34" s="1324" t="s">
        <v>1126</v>
      </c>
      <c r="C34" s="1324"/>
      <c r="D34" s="1324"/>
      <c r="E34" s="3220"/>
      <c r="F34" s="3220"/>
      <c r="G34" s="3220"/>
    </row>
    <row r="35" spans="1:7" hidden="1">
      <c r="A35" s="1327">
        <v>2</v>
      </c>
      <c r="B35" s="1324" t="s">
        <v>1127</v>
      </c>
      <c r="C35" s="1324"/>
      <c r="D35" s="1324"/>
      <c r="E35" s="3220"/>
      <c r="F35" s="3220"/>
      <c r="G35" s="3220"/>
    </row>
    <row r="36" spans="1:7" hidden="1">
      <c r="A36" s="1327">
        <v>3</v>
      </c>
      <c r="B36" s="1324" t="s">
        <v>1128</v>
      </c>
      <c r="C36" s="1324"/>
      <c r="D36" s="1324"/>
      <c r="E36" s="3220"/>
      <c r="F36" s="3220"/>
      <c r="G36" s="3220"/>
    </row>
    <row r="37" spans="1:7" hidden="1">
      <c r="A37" s="1327">
        <v>4</v>
      </c>
      <c r="B37" s="1324" t="s">
        <v>1129</v>
      </c>
      <c r="C37" s="1324"/>
      <c r="D37" s="1324"/>
      <c r="E37" s="3220"/>
      <c r="F37" s="3220"/>
      <c r="G37" s="3220"/>
    </row>
    <row r="38" spans="1:7" hidden="1">
      <c r="A38" s="3221" t="s">
        <v>1130</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9" t="s">
        <v>2525</v>
      </c>
      <c r="C1" s="1633" t="s">
        <v>2526</v>
      </c>
      <c r="D1" s="1620"/>
      <c r="E1" s="2580"/>
      <c r="F1" s="2581" t="s">
        <v>2527</v>
      </c>
      <c r="G1" s="1630" t="s">
        <v>2528</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3"/>
      <c r="D2" s="1364" t="e">
        <f ca="1">SUMIF(INDIRECT("'"&amp;F2&amp;"'"&amp;"!A:A"),"承租人权益价值",INDIRECT("'"&amp;F2&amp;"'"&amp;"!c:c"))</f>
        <v>#REF!</v>
      </c>
      <c r="E2" s="2584" t="s">
        <v>2529</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1389</v>
      </c>
      <c r="B3" s="399" t="e">
        <f ca="1">IF(C2="——",C49,ROUND(B2*10000/D3,0))</f>
        <v>#DIV/0!</v>
      </c>
      <c r="C3" s="400" t="s">
        <v>2530</v>
      </c>
      <c r="D3" s="399">
        <f>IF(D1="",'数据-汇总表'!E3,SUMIF('数据-汇总表'!$C19:$C33,D1,'数据-汇总表'!$E19:$E33))</f>
        <v>631.32000000000005</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2531</v>
      </c>
      <c r="B4" s="402"/>
      <c r="C4" s="3242" t="s">
        <v>2532</v>
      </c>
      <c r="D4" s="3243"/>
      <c r="E4" s="3244" t="s">
        <v>2533</v>
      </c>
      <c r="F4" s="3245"/>
      <c r="G4" s="3242" t="s">
        <v>2534</v>
      </c>
      <c r="H4" s="3243"/>
      <c r="I4" s="3242" t="s">
        <v>2535</v>
      </c>
      <c r="J4" s="3243"/>
      <c r="K4" s="2593" t="s">
        <v>2536</v>
      </c>
      <c r="L4" s="1129"/>
      <c r="M4" s="1130"/>
      <c r="N4" s="1130"/>
      <c r="O4" s="1130"/>
      <c r="P4" s="3246" t="s">
        <v>2537</v>
      </c>
      <c r="Q4" s="3247"/>
      <c r="R4" s="3229" t="s">
        <v>2533</v>
      </c>
      <c r="S4" s="3230"/>
      <c r="T4" s="3229" t="s">
        <v>2534</v>
      </c>
      <c r="U4" s="3230"/>
      <c r="V4" s="3254" t="s">
        <v>2535</v>
      </c>
      <c r="W4" s="3254"/>
      <c r="X4" s="1812"/>
      <c r="Y4" s="3229" t="s">
        <v>2537</v>
      </c>
      <c r="Z4" s="3230"/>
      <c r="AA4" s="3224" t="s">
        <v>2533</v>
      </c>
      <c r="AB4" s="3224" t="s">
        <v>2534</v>
      </c>
      <c r="AC4" s="3224" t="s">
        <v>2535</v>
      </c>
    </row>
    <row r="5" spans="1:29" ht="15">
      <c r="A5" s="404"/>
      <c r="B5" s="405"/>
      <c r="C5" s="3235" t="s">
        <v>2538</v>
      </c>
      <c r="D5" s="3236"/>
      <c r="E5" s="3233" t="s">
        <v>2539</v>
      </c>
      <c r="F5" s="3234"/>
      <c r="G5" s="3235" t="s">
        <v>2540</v>
      </c>
      <c r="H5" s="3236"/>
      <c r="I5" s="3235" t="s">
        <v>2541</v>
      </c>
      <c r="J5" s="3236"/>
      <c r="K5" s="2594"/>
      <c r="L5" s="1129"/>
      <c r="M5" s="1130"/>
      <c r="N5" s="1130"/>
      <c r="O5" s="1130"/>
      <c r="P5" s="3248"/>
      <c r="Q5" s="3249"/>
      <c r="R5" s="3231"/>
      <c r="S5" s="3232"/>
      <c r="T5" s="3231"/>
      <c r="U5" s="3232"/>
      <c r="V5" s="3254"/>
      <c r="W5" s="3254"/>
      <c r="X5" s="1812"/>
      <c r="Y5" s="3231"/>
      <c r="Z5" s="3232"/>
      <c r="AA5" s="3225"/>
      <c r="AB5" s="3225"/>
      <c r="AC5" s="3225"/>
    </row>
    <row r="6" spans="1:29" ht="15.75" thickBot="1">
      <c r="A6" s="406"/>
      <c r="B6" s="407"/>
      <c r="C6" s="3237" t="s">
        <v>2542</v>
      </c>
      <c r="D6" s="3238"/>
      <c r="E6" s="3239" t="s">
        <v>2542</v>
      </c>
      <c r="F6" s="3240"/>
      <c r="G6" s="3237" t="s">
        <v>2542</v>
      </c>
      <c r="H6" s="3238"/>
      <c r="I6" s="3237" t="s">
        <v>2542</v>
      </c>
      <c r="J6" s="3238"/>
      <c r="K6" s="2594" t="s">
        <v>2543</v>
      </c>
      <c r="L6" s="1129"/>
      <c r="M6" s="1130"/>
      <c r="N6" s="1130"/>
      <c r="O6" s="1130"/>
      <c r="P6" s="3250"/>
      <c r="Q6" s="3251"/>
      <c r="R6" s="3231"/>
      <c r="S6" s="3232"/>
      <c r="T6" s="3252"/>
      <c r="U6" s="3253"/>
      <c r="V6" s="3254"/>
      <c r="W6" s="3254"/>
      <c r="X6" s="1812"/>
      <c r="Y6" s="3252"/>
      <c r="Z6" s="3253"/>
      <c r="AA6" s="3226"/>
      <c r="AB6" s="3226"/>
      <c r="AC6" s="3226"/>
    </row>
    <row r="7" spans="1:29" s="117" customFormat="1" ht="15.75" thickBot="1">
      <c r="A7" s="408" t="s">
        <v>2544</v>
      </c>
      <c r="B7" s="409"/>
      <c r="C7" s="410">
        <f>'数据-取费表'!B2</f>
        <v>43914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227" t="s">
        <v>2545</v>
      </c>
      <c r="Q7" s="3255"/>
      <c r="R7" s="770" t="s">
        <v>23</v>
      </c>
      <c r="S7" s="771">
        <f t="shared" ref="S7:S15" si="0">F7</f>
        <v>0</v>
      </c>
      <c r="T7" s="770" t="s">
        <v>23</v>
      </c>
      <c r="U7" s="771">
        <f t="shared" ref="U7:U15" si="1">H7</f>
        <v>0</v>
      </c>
      <c r="V7" s="770" t="s">
        <v>23</v>
      </c>
      <c r="W7" s="771">
        <f t="shared" ref="W7:W15" si="2">J7</f>
        <v>0</v>
      </c>
      <c r="X7" s="772"/>
      <c r="Y7" s="3227" t="s">
        <v>2545</v>
      </c>
      <c r="Z7" s="3228"/>
      <c r="AA7" s="773" t="e">
        <f>D7/F7</f>
        <v>#DIV/0!</v>
      </c>
      <c r="AB7" s="773" t="e">
        <f>D7/H7</f>
        <v>#DIV/0!</v>
      </c>
      <c r="AC7" s="773" t="e">
        <f>D7/J7</f>
        <v>#DIV/0!</v>
      </c>
    </row>
    <row r="8" spans="1:29" s="117" customFormat="1" ht="15.7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227" t="s">
        <v>2548</v>
      </c>
      <c r="Q8" s="3228"/>
      <c r="R8" s="770" t="s">
        <v>23</v>
      </c>
      <c r="S8" s="771">
        <f t="shared" si="0"/>
        <v>0</v>
      </c>
      <c r="T8" s="770" t="s">
        <v>23</v>
      </c>
      <c r="U8" s="771">
        <f t="shared" si="1"/>
        <v>0</v>
      </c>
      <c r="V8" s="770" t="s">
        <v>23</v>
      </c>
      <c r="W8" s="771">
        <f t="shared" si="2"/>
        <v>0</v>
      </c>
      <c r="X8" s="772"/>
      <c r="Y8" s="3227" t="s">
        <v>2548</v>
      </c>
      <c r="Z8" s="3228"/>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241" t="s">
        <v>2551</v>
      </c>
      <c r="Q9" s="1794" t="str">
        <f t="shared" ref="Q9:Q15" si="6">B9</f>
        <v>用途</v>
      </c>
      <c r="R9" s="770" t="s">
        <v>17</v>
      </c>
      <c r="S9" s="771">
        <f t="shared" si="0"/>
        <v>100</v>
      </c>
      <c r="T9" s="770" t="s">
        <v>17</v>
      </c>
      <c r="U9" s="771">
        <f t="shared" si="1"/>
        <v>100</v>
      </c>
      <c r="V9" s="770" t="s">
        <v>17</v>
      </c>
      <c r="W9" s="771">
        <f t="shared" si="2"/>
        <v>100</v>
      </c>
      <c r="X9" s="772"/>
      <c r="Y9" s="307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41"/>
      <c r="Q10" s="1794"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41"/>
      <c r="Q11" s="1794" t="str">
        <f t="shared" si="6"/>
        <v>容积率</v>
      </c>
      <c r="R11" s="770" t="s">
        <v>21</v>
      </c>
      <c r="S11" s="771" t="e">
        <f t="shared" si="0"/>
        <v>#N/A</v>
      </c>
      <c r="T11" s="770" t="s">
        <v>21</v>
      </c>
      <c r="U11" s="771" t="e">
        <f t="shared" si="1"/>
        <v>#N/A</v>
      </c>
      <c r="V11" s="770" t="s">
        <v>21</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241"/>
      <c r="Q12" s="1794">
        <f t="shared" si="6"/>
        <v>111</v>
      </c>
      <c r="R12" s="770" t="s">
        <v>21</v>
      </c>
      <c r="S12" s="771">
        <f t="shared" si="0"/>
        <v>100</v>
      </c>
      <c r="T12" s="770" t="s">
        <v>21</v>
      </c>
      <c r="U12" s="771">
        <f t="shared" si="1"/>
        <v>100</v>
      </c>
      <c r="V12" s="770" t="s">
        <v>21</v>
      </c>
      <c r="W12" s="771">
        <f t="shared" si="2"/>
        <v>100</v>
      </c>
      <c r="X12" s="772"/>
      <c r="Y12" s="307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241"/>
      <c r="Q13" s="1794">
        <f t="shared" si="6"/>
        <v>111</v>
      </c>
      <c r="R13" s="770" t="s">
        <v>21</v>
      </c>
      <c r="S13" s="771">
        <f t="shared" si="0"/>
        <v>100</v>
      </c>
      <c r="T13" s="770" t="s">
        <v>21</v>
      </c>
      <c r="U13" s="771">
        <f t="shared" si="1"/>
        <v>100</v>
      </c>
      <c r="V13" s="770" t="s">
        <v>21</v>
      </c>
      <c r="W13" s="771">
        <f t="shared" si="2"/>
        <v>100</v>
      </c>
      <c r="X13" s="772"/>
      <c r="Y13" s="3074"/>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241"/>
      <c r="Q14" s="1794">
        <f t="shared" si="6"/>
        <v>111</v>
      </c>
      <c r="R14" s="770" t="s">
        <v>21</v>
      </c>
      <c r="S14" s="771">
        <f t="shared" si="0"/>
        <v>100</v>
      </c>
      <c r="T14" s="770" t="s">
        <v>21</v>
      </c>
      <c r="U14" s="771">
        <f t="shared" si="1"/>
        <v>100</v>
      </c>
      <c r="V14" s="770" t="s">
        <v>21</v>
      </c>
      <c r="W14" s="771">
        <f t="shared" si="2"/>
        <v>100</v>
      </c>
      <c r="X14" s="772"/>
      <c r="Y14" s="3074"/>
      <c r="Z14" s="55">
        <f t="shared" si="7"/>
        <v>111</v>
      </c>
      <c r="AA14" s="773">
        <f t="shared" si="3"/>
        <v>1</v>
      </c>
      <c r="AB14" s="773">
        <f t="shared" si="4"/>
        <v>1</v>
      </c>
      <c r="AC14" s="773">
        <f t="shared" si="5"/>
        <v>1</v>
      </c>
    </row>
    <row r="15" spans="1:29" ht="99.75">
      <c r="A15" s="440" t="s">
        <v>2555</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8" t="s">
        <v>2556</v>
      </c>
      <c r="Q15" s="1809" t="str">
        <f t="shared" si="6"/>
        <v>居住社区成熟度</v>
      </c>
      <c r="R15" s="774" t="s">
        <v>21</v>
      </c>
      <c r="S15" s="775">
        <f t="shared" si="0"/>
        <v>100</v>
      </c>
      <c r="T15" s="774" t="s">
        <v>21</v>
      </c>
      <c r="U15" s="775">
        <f t="shared" si="1"/>
        <v>100</v>
      </c>
      <c r="V15" s="774" t="s">
        <v>21</v>
      </c>
      <c r="W15" s="775">
        <f t="shared" si="2"/>
        <v>100</v>
      </c>
      <c r="X15" s="1812"/>
      <c r="Y15" s="3261" t="s">
        <v>2556</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39"/>
      <c r="M16" s="1130"/>
      <c r="N16" s="1130"/>
      <c r="O16" s="1130"/>
      <c r="P16" s="3269"/>
      <c r="Q16" s="1809"/>
      <c r="R16" s="774"/>
      <c r="S16" s="775"/>
      <c r="T16" s="774"/>
      <c r="U16" s="775"/>
      <c r="V16" s="774"/>
      <c r="W16" s="775"/>
      <c r="X16" s="1812"/>
      <c r="Y16" s="3262"/>
      <c r="Z16" s="1813"/>
      <c r="AA16" s="1810">
        <v>1</v>
      </c>
      <c r="AB16" s="1810">
        <v>1</v>
      </c>
      <c r="AC16" s="1810">
        <v>1</v>
      </c>
    </row>
    <row r="17" spans="1:29" ht="85.5">
      <c r="A17" s="428"/>
      <c r="B17" s="451" t="s">
        <v>2095</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9"/>
      <c r="Q17" s="1809" t="str">
        <f>B17</f>
        <v>交通便捷度</v>
      </c>
      <c r="R17" s="774" t="s">
        <v>21</v>
      </c>
      <c r="S17" s="775">
        <f>F17</f>
        <v>100</v>
      </c>
      <c r="T17" s="774" t="s">
        <v>21</v>
      </c>
      <c r="U17" s="775">
        <f>H17</f>
        <v>100</v>
      </c>
      <c r="V17" s="774" t="s">
        <v>21</v>
      </c>
      <c r="W17" s="775">
        <f>J17</f>
        <v>100</v>
      </c>
      <c r="X17" s="1812"/>
      <c r="Y17" s="3262"/>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39"/>
      <c r="M18" s="1130"/>
      <c r="N18" s="1130"/>
      <c r="O18" s="1130"/>
      <c r="P18" s="3269"/>
      <c r="Q18" s="1809"/>
      <c r="R18" s="774"/>
      <c r="S18" s="775"/>
      <c r="T18" s="774"/>
      <c r="U18" s="775"/>
      <c r="V18" s="774"/>
      <c r="W18" s="775"/>
      <c r="X18" s="1812"/>
      <c r="Y18" s="3262"/>
      <c r="Z18" s="1813"/>
      <c r="AA18" s="1810">
        <v>1</v>
      </c>
      <c r="AB18" s="1810">
        <v>1</v>
      </c>
      <c r="AC18" s="1810">
        <v>1</v>
      </c>
    </row>
    <row r="19" spans="1:29" ht="42.75">
      <c r="A19" s="428"/>
      <c r="B19" s="451" t="s">
        <v>2093</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9"/>
      <c r="Q19" s="1809" t="str">
        <f>B19</f>
        <v>公共配套设施</v>
      </c>
      <c r="R19" s="774" t="s">
        <v>21</v>
      </c>
      <c r="S19" s="775">
        <f>F19</f>
        <v>100</v>
      </c>
      <c r="T19" s="774" t="s">
        <v>21</v>
      </c>
      <c r="U19" s="775">
        <f>H19</f>
        <v>100</v>
      </c>
      <c r="V19" s="774" t="s">
        <v>21</v>
      </c>
      <c r="W19" s="775">
        <f>J19</f>
        <v>100</v>
      </c>
      <c r="X19" s="1812"/>
      <c r="Y19" s="3262"/>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39"/>
      <c r="M20" s="1130"/>
      <c r="N20" s="1130"/>
      <c r="O20" s="1130"/>
      <c r="P20" s="3269"/>
      <c r="Q20" s="1809"/>
      <c r="R20" s="774"/>
      <c r="S20" s="775"/>
      <c r="T20" s="774"/>
      <c r="U20" s="775"/>
      <c r="V20" s="774"/>
      <c r="W20" s="775"/>
      <c r="X20" s="1812"/>
      <c r="Y20" s="3262"/>
      <c r="Z20" s="1813"/>
      <c r="AA20" s="1810">
        <v>1</v>
      </c>
      <c r="AB20" s="1810">
        <v>1</v>
      </c>
      <c r="AC20" s="1810">
        <v>1</v>
      </c>
    </row>
    <row r="21" spans="1:29" ht="28.5">
      <c r="A21" s="428"/>
      <c r="B21" s="1383" t="s">
        <v>2096</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9"/>
      <c r="Q21" s="1809" t="str">
        <f>B21</f>
        <v>基础设施水平</v>
      </c>
      <c r="R21" s="774" t="s">
        <v>17</v>
      </c>
      <c r="S21" s="775">
        <f>F21</f>
        <v>100</v>
      </c>
      <c r="T21" s="774" t="s">
        <v>17</v>
      </c>
      <c r="U21" s="775">
        <f>H21</f>
        <v>100</v>
      </c>
      <c r="V21" s="774" t="s">
        <v>17</v>
      </c>
      <c r="W21" s="775">
        <f>J21</f>
        <v>100</v>
      </c>
      <c r="X21" s="1812"/>
      <c r="Y21" s="326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8"/>
      <c r="G22" s="2608"/>
      <c r="H22" s="448"/>
      <c r="I22" s="447"/>
      <c r="J22" s="448"/>
      <c r="K22" s="2609"/>
      <c r="L22" s="1139"/>
      <c r="M22" s="1130"/>
      <c r="N22" s="1130"/>
      <c r="O22" s="1130"/>
      <c r="P22" s="3269"/>
      <c r="Q22" s="1809"/>
      <c r="R22" s="774"/>
      <c r="S22" s="775"/>
      <c r="T22" s="774"/>
      <c r="U22" s="775"/>
      <c r="V22" s="774"/>
      <c r="W22" s="775"/>
      <c r="X22" s="1812"/>
      <c r="Y22" s="3262"/>
      <c r="Z22" s="1813"/>
      <c r="AA22" s="1810">
        <v>1</v>
      </c>
      <c r="AB22" s="1810">
        <v>1</v>
      </c>
      <c r="AC22" s="1810">
        <v>1</v>
      </c>
    </row>
    <row r="23" spans="1:29" ht="57">
      <c r="A23" s="428"/>
      <c r="B23" s="451" t="s">
        <v>2100</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9"/>
      <c r="Q23" s="1809" t="str">
        <f>B23</f>
        <v>自然及人文环境</v>
      </c>
      <c r="R23" s="774" t="s">
        <v>21</v>
      </c>
      <c r="S23" s="775">
        <f>F23</f>
        <v>100</v>
      </c>
      <c r="T23" s="774" t="s">
        <v>21</v>
      </c>
      <c r="U23" s="775">
        <f>H23</f>
        <v>100</v>
      </c>
      <c r="V23" s="774" t="s">
        <v>21</v>
      </c>
      <c r="W23" s="775">
        <f>J23</f>
        <v>100</v>
      </c>
      <c r="X23" s="1812"/>
      <c r="Y23" s="3262"/>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39"/>
      <c r="M24" s="1130"/>
      <c r="N24" s="1130"/>
      <c r="O24" s="1130"/>
      <c r="P24" s="3269"/>
      <c r="Q24" s="1809"/>
      <c r="R24" s="774"/>
      <c r="S24" s="775"/>
      <c r="T24" s="774"/>
      <c r="U24" s="775"/>
      <c r="V24" s="774"/>
      <c r="W24" s="775"/>
      <c r="X24" s="1812"/>
      <c r="Y24" s="3262"/>
      <c r="Z24" s="1813"/>
      <c r="AA24" s="1810">
        <v>1</v>
      </c>
      <c r="AB24" s="1810">
        <v>1</v>
      </c>
      <c r="AC24" s="1810">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26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2"/>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269"/>
      <c r="Q26" s="1809" t="str">
        <f t="shared" si="11"/>
        <v>朝向</v>
      </c>
      <c r="R26" s="774" t="s">
        <v>21</v>
      </c>
      <c r="S26" s="775">
        <f t="shared" si="12"/>
        <v>100</v>
      </c>
      <c r="T26" s="774" t="s">
        <v>21</v>
      </c>
      <c r="U26" s="775">
        <f t="shared" si="13"/>
        <v>100</v>
      </c>
      <c r="V26" s="774" t="s">
        <v>21</v>
      </c>
      <c r="W26" s="775">
        <f t="shared" si="14"/>
        <v>100</v>
      </c>
      <c r="X26" s="1812"/>
      <c r="Y26" s="3262"/>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269"/>
      <c r="Q27" s="1794">
        <f t="shared" si="11"/>
        <v>111</v>
      </c>
      <c r="R27" s="770" t="s">
        <v>21</v>
      </c>
      <c r="S27" s="771">
        <f t="shared" si="12"/>
        <v>100</v>
      </c>
      <c r="T27" s="770" t="s">
        <v>21</v>
      </c>
      <c r="U27" s="771">
        <f t="shared" si="13"/>
        <v>100</v>
      </c>
      <c r="V27" s="770" t="s">
        <v>21</v>
      </c>
      <c r="W27" s="771">
        <f t="shared" si="14"/>
        <v>100</v>
      </c>
      <c r="X27" s="772"/>
      <c r="Y27" s="3262"/>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269"/>
      <c r="Q28" s="1809">
        <f t="shared" si="11"/>
        <v>111</v>
      </c>
      <c r="R28" s="774" t="s">
        <v>21</v>
      </c>
      <c r="S28" s="775">
        <f t="shared" si="12"/>
        <v>100</v>
      </c>
      <c r="T28" s="774" t="s">
        <v>21</v>
      </c>
      <c r="U28" s="775">
        <f t="shared" si="13"/>
        <v>100</v>
      </c>
      <c r="V28" s="774" t="s">
        <v>21</v>
      </c>
      <c r="W28" s="775">
        <f t="shared" si="14"/>
        <v>100</v>
      </c>
      <c r="X28" s="1812"/>
      <c r="Y28" s="3262"/>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269"/>
      <c r="Q29" s="1809">
        <f t="shared" si="11"/>
        <v>111</v>
      </c>
      <c r="R29" s="774" t="s">
        <v>21</v>
      </c>
      <c r="S29" s="775">
        <f t="shared" si="12"/>
        <v>100</v>
      </c>
      <c r="T29" s="774" t="s">
        <v>21</v>
      </c>
      <c r="U29" s="775">
        <f t="shared" si="13"/>
        <v>100</v>
      </c>
      <c r="V29" s="774" t="s">
        <v>21</v>
      </c>
      <c r="W29" s="775">
        <f t="shared" si="14"/>
        <v>100</v>
      </c>
      <c r="X29" s="1812"/>
      <c r="Y29" s="3262"/>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269"/>
      <c r="Q30" s="1809">
        <f t="shared" si="11"/>
        <v>111</v>
      </c>
      <c r="R30" s="774" t="s">
        <v>21</v>
      </c>
      <c r="S30" s="775">
        <f t="shared" si="12"/>
        <v>100</v>
      </c>
      <c r="T30" s="774" t="s">
        <v>21</v>
      </c>
      <c r="U30" s="775">
        <f t="shared" si="13"/>
        <v>100</v>
      </c>
      <c r="V30" s="774" t="s">
        <v>21</v>
      </c>
      <c r="W30" s="775">
        <f t="shared" si="14"/>
        <v>100</v>
      </c>
      <c r="X30" s="1812"/>
      <c r="Y30" s="3262"/>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269"/>
      <c r="Q31" s="1809">
        <f t="shared" si="11"/>
        <v>111</v>
      </c>
      <c r="R31" s="774" t="s">
        <v>21</v>
      </c>
      <c r="S31" s="775">
        <f t="shared" si="12"/>
        <v>100</v>
      </c>
      <c r="T31" s="774" t="s">
        <v>21</v>
      </c>
      <c r="U31" s="775">
        <f t="shared" si="13"/>
        <v>100</v>
      </c>
      <c r="V31" s="774" t="s">
        <v>21</v>
      </c>
      <c r="W31" s="775">
        <f t="shared" si="14"/>
        <v>100</v>
      </c>
      <c r="X31" s="1812"/>
      <c r="Y31" s="3262"/>
      <c r="Z31" s="1813">
        <f t="shared" si="18"/>
        <v>111</v>
      </c>
      <c r="AA31" s="1810">
        <f t="shared" si="15"/>
        <v>1</v>
      </c>
      <c r="AB31" s="1810">
        <f t="shared" si="16"/>
        <v>1</v>
      </c>
      <c r="AC31" s="1810">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263" t="s">
        <v>2561</v>
      </c>
      <c r="Q32" s="1809" t="str">
        <f t="shared" si="11"/>
        <v>建筑类型</v>
      </c>
      <c r="R32" s="774" t="s">
        <v>21</v>
      </c>
      <c r="S32" s="775">
        <f t="shared" si="12"/>
        <v>100</v>
      </c>
      <c r="T32" s="774" t="s">
        <v>21</v>
      </c>
      <c r="U32" s="775">
        <f t="shared" si="13"/>
        <v>100</v>
      </c>
      <c r="V32" s="774" t="s">
        <v>21</v>
      </c>
      <c r="W32" s="775">
        <f t="shared" si="14"/>
        <v>100</v>
      </c>
      <c r="X32" s="1812"/>
      <c r="Y32" s="3266"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264"/>
      <c r="Q33" s="776" t="str">
        <f t="shared" si="11"/>
        <v>项目建筑规模</v>
      </c>
      <c r="R33" s="777" t="s">
        <v>21</v>
      </c>
      <c r="S33" s="778" t="e">
        <f t="shared" si="12"/>
        <v>#N/A</v>
      </c>
      <c r="T33" s="777" t="s">
        <v>21</v>
      </c>
      <c r="U33" s="778" t="e">
        <f t="shared" si="13"/>
        <v>#N/A</v>
      </c>
      <c r="V33" s="777" t="s">
        <v>21</v>
      </c>
      <c r="W33" s="778" t="e">
        <f t="shared" si="14"/>
        <v>#N/A</v>
      </c>
      <c r="X33" s="779"/>
      <c r="Y33" s="3266"/>
      <c r="Z33" s="780" t="str">
        <f t="shared" si="18"/>
        <v>项目建筑规模</v>
      </c>
      <c r="AA33" s="1810" t="e">
        <f t="shared" si="15"/>
        <v>#N/A</v>
      </c>
      <c r="AB33" s="1810" t="e">
        <f t="shared" si="16"/>
        <v>#N/A</v>
      </c>
      <c r="AC33" s="1810"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264"/>
      <c r="Q34" s="1809" t="str">
        <f t="shared" si="11"/>
        <v>建筑结构</v>
      </c>
      <c r="R34" s="774" t="s">
        <v>21</v>
      </c>
      <c r="S34" s="775">
        <f t="shared" si="12"/>
        <v>100</v>
      </c>
      <c r="T34" s="774" t="s">
        <v>21</v>
      </c>
      <c r="U34" s="775">
        <f t="shared" si="13"/>
        <v>100</v>
      </c>
      <c r="V34" s="774" t="s">
        <v>21</v>
      </c>
      <c r="W34" s="775">
        <f t="shared" si="14"/>
        <v>100</v>
      </c>
      <c r="X34" s="1812"/>
      <c r="Y34" s="3266"/>
      <c r="Z34" s="1813" t="str">
        <f t="shared" si="18"/>
        <v>建筑结构</v>
      </c>
      <c r="AA34" s="1810">
        <f t="shared" si="15"/>
        <v>1</v>
      </c>
      <c r="AB34" s="1810">
        <f t="shared" si="16"/>
        <v>1</v>
      </c>
      <c r="AC34" s="1810">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264"/>
      <c r="Q35" s="1809" t="str">
        <f t="shared" si="11"/>
        <v>建筑品质</v>
      </c>
      <c r="R35" s="774" t="s">
        <v>21</v>
      </c>
      <c r="S35" s="775">
        <f t="shared" si="12"/>
        <v>100</v>
      </c>
      <c r="T35" s="774" t="s">
        <v>21</v>
      </c>
      <c r="U35" s="775">
        <f t="shared" si="13"/>
        <v>100</v>
      </c>
      <c r="V35" s="774" t="s">
        <v>21</v>
      </c>
      <c r="W35" s="775">
        <f t="shared" si="14"/>
        <v>100</v>
      </c>
      <c r="X35" s="1812"/>
      <c r="Y35" s="3266"/>
      <c r="Z35" s="1813" t="str">
        <f t="shared" si="18"/>
        <v>建筑品质</v>
      </c>
      <c r="AA35" s="1810">
        <f t="shared" si="15"/>
        <v>1</v>
      </c>
      <c r="AB35" s="1810">
        <f t="shared" si="16"/>
        <v>1</v>
      </c>
      <c r="AC35" s="1810">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264"/>
      <c r="Q36" s="1809" t="str">
        <f t="shared" si="11"/>
        <v>公共部分装修</v>
      </c>
      <c r="R36" s="774" t="s">
        <v>21</v>
      </c>
      <c r="S36" s="775">
        <f t="shared" si="12"/>
        <v>100</v>
      </c>
      <c r="T36" s="774" t="s">
        <v>21</v>
      </c>
      <c r="U36" s="775">
        <f t="shared" si="13"/>
        <v>100</v>
      </c>
      <c r="V36" s="774" t="s">
        <v>21</v>
      </c>
      <c r="W36" s="775">
        <f t="shared" si="14"/>
        <v>100</v>
      </c>
      <c r="X36" s="1812"/>
      <c r="Y36" s="3266"/>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4"/>
      <c r="Q37" s="1794" t="str">
        <f t="shared" si="11"/>
        <v>成新度</v>
      </c>
      <c r="R37" s="770" t="s">
        <v>21</v>
      </c>
      <c r="S37" s="771" t="e">
        <f t="shared" si="12"/>
        <v>#N/A</v>
      </c>
      <c r="T37" s="770" t="s">
        <v>21</v>
      </c>
      <c r="U37" s="771" t="e">
        <f t="shared" si="13"/>
        <v>#N/A</v>
      </c>
      <c r="V37" s="770" t="s">
        <v>21</v>
      </c>
      <c r="W37" s="771" t="e">
        <f t="shared" si="14"/>
        <v>#N/A</v>
      </c>
      <c r="X37" s="772"/>
      <c r="Y37" s="3266"/>
      <c r="Z37" s="55" t="str">
        <f t="shared" si="18"/>
        <v>成新度</v>
      </c>
      <c r="AA37" s="773" t="e">
        <f t="shared" si="15"/>
        <v>#N/A</v>
      </c>
      <c r="AB37" s="773" t="e">
        <f t="shared" si="16"/>
        <v>#N/A</v>
      </c>
      <c r="AC37" s="773"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264" t="s">
        <v>2561</v>
      </c>
      <c r="Q38" s="1809" t="str">
        <f t="shared" si="11"/>
        <v>物业管理</v>
      </c>
      <c r="R38" s="774" t="s">
        <v>21</v>
      </c>
      <c r="S38" s="775">
        <f t="shared" si="12"/>
        <v>100</v>
      </c>
      <c r="T38" s="774" t="s">
        <v>21</v>
      </c>
      <c r="U38" s="775">
        <f t="shared" si="13"/>
        <v>100</v>
      </c>
      <c r="V38" s="774" t="s">
        <v>21</v>
      </c>
      <c r="W38" s="775">
        <f t="shared" si="14"/>
        <v>100</v>
      </c>
      <c r="X38" s="1812"/>
      <c r="Y38" s="3266" t="s">
        <v>2561</v>
      </c>
      <c r="Z38" s="1813" t="str">
        <f t="shared" si="18"/>
        <v>物业管理</v>
      </c>
      <c r="AA38" s="1810">
        <f t="shared" si="15"/>
        <v>1</v>
      </c>
      <c r="AB38" s="1810">
        <f t="shared" si="16"/>
        <v>1</v>
      </c>
      <c r="AC38" s="1810">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264"/>
      <c r="Q39" s="1809" t="str">
        <f t="shared" si="11"/>
        <v>市政基础设施</v>
      </c>
      <c r="R39" s="774" t="s">
        <v>21</v>
      </c>
      <c r="S39" s="775">
        <f t="shared" si="12"/>
        <v>100</v>
      </c>
      <c r="T39" s="774" t="s">
        <v>21</v>
      </c>
      <c r="U39" s="775">
        <f t="shared" si="13"/>
        <v>100</v>
      </c>
      <c r="V39" s="774" t="s">
        <v>21</v>
      </c>
      <c r="W39" s="775">
        <f t="shared" si="14"/>
        <v>100</v>
      </c>
      <c r="X39" s="1812"/>
      <c r="Y39" s="3266"/>
      <c r="Z39" s="1813" t="str">
        <f t="shared" si="18"/>
        <v>市政基础设施</v>
      </c>
      <c r="AA39" s="1810">
        <f t="shared" si="15"/>
        <v>1</v>
      </c>
      <c r="AB39" s="1810">
        <f t="shared" si="16"/>
        <v>1</v>
      </c>
      <c r="AC39" s="1810">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264"/>
      <c r="Q40" s="1809" t="str">
        <f t="shared" si="11"/>
        <v>房型</v>
      </c>
      <c r="R40" s="774" t="s">
        <v>21</v>
      </c>
      <c r="S40" s="775">
        <f t="shared" si="12"/>
        <v>100</v>
      </c>
      <c r="T40" s="774" t="s">
        <v>21</v>
      </c>
      <c r="U40" s="775">
        <f t="shared" si="13"/>
        <v>100</v>
      </c>
      <c r="V40" s="774" t="s">
        <v>21</v>
      </c>
      <c r="W40" s="775">
        <f t="shared" si="14"/>
        <v>100</v>
      </c>
      <c r="X40" s="1812"/>
      <c r="Y40" s="3266"/>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264"/>
      <c r="Q41" s="776" t="str">
        <f t="shared" si="11"/>
        <v>单套/主力户型建筑面积</v>
      </c>
      <c r="R41" s="777" t="s">
        <v>21</v>
      </c>
      <c r="S41" s="778">
        <f t="shared" si="12"/>
        <v>100</v>
      </c>
      <c r="T41" s="777" t="s">
        <v>21</v>
      </c>
      <c r="U41" s="778">
        <f t="shared" si="13"/>
        <v>100</v>
      </c>
      <c r="V41" s="777" t="s">
        <v>21</v>
      </c>
      <c r="W41" s="778">
        <f t="shared" si="14"/>
        <v>100</v>
      </c>
      <c r="X41" s="779"/>
      <c r="Y41" s="3266"/>
      <c r="Z41" s="780" t="str">
        <f t="shared" si="18"/>
        <v>单套/主力户型建筑面积</v>
      </c>
      <c r="AA41" s="1810">
        <f t="shared" si="15"/>
        <v>1</v>
      </c>
      <c r="AB41" s="1810">
        <f t="shared" si="16"/>
        <v>1</v>
      </c>
      <c r="AC41" s="1810">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264"/>
      <c r="Q42" s="1809" t="str">
        <f t="shared" si="11"/>
        <v>内部装修</v>
      </c>
      <c r="R42" s="774" t="s">
        <v>21</v>
      </c>
      <c r="S42" s="775">
        <f t="shared" si="12"/>
        <v>100</v>
      </c>
      <c r="T42" s="774" t="s">
        <v>21</v>
      </c>
      <c r="U42" s="775">
        <f t="shared" si="13"/>
        <v>100</v>
      </c>
      <c r="V42" s="774" t="s">
        <v>21</v>
      </c>
      <c r="W42" s="775">
        <f t="shared" si="14"/>
        <v>100</v>
      </c>
      <c r="X42" s="1812"/>
      <c r="Y42" s="3266"/>
      <c r="Z42" s="1813" t="str">
        <f t="shared" si="18"/>
        <v>内部装修</v>
      </c>
      <c r="AA42" s="1810">
        <f t="shared" si="15"/>
        <v>1</v>
      </c>
      <c r="AB42" s="1810">
        <f t="shared" si="16"/>
        <v>1</v>
      </c>
      <c r="AC42" s="1810">
        <f t="shared" si="17"/>
        <v>1</v>
      </c>
    </row>
    <row r="43" spans="1:29" ht="15">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264"/>
      <c r="Q43" s="1809" t="str">
        <f t="shared" si="11"/>
        <v>内部装修维护情况</v>
      </c>
      <c r="R43" s="774" t="s">
        <v>21</v>
      </c>
      <c r="S43" s="775">
        <f t="shared" si="12"/>
        <v>100</v>
      </c>
      <c r="T43" s="774" t="s">
        <v>21</v>
      </c>
      <c r="U43" s="775">
        <f t="shared" si="13"/>
        <v>100</v>
      </c>
      <c r="V43" s="774" t="s">
        <v>21</v>
      </c>
      <c r="W43" s="775">
        <f t="shared" si="14"/>
        <v>100</v>
      </c>
      <c r="X43" s="1812"/>
      <c r="Y43" s="3266"/>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264"/>
      <c r="Q44" s="1794">
        <f t="shared" si="11"/>
        <v>111</v>
      </c>
      <c r="R44" s="770" t="s">
        <v>21</v>
      </c>
      <c r="S44" s="771">
        <f t="shared" si="12"/>
        <v>100</v>
      </c>
      <c r="T44" s="770" t="s">
        <v>21</v>
      </c>
      <c r="U44" s="771">
        <f t="shared" si="13"/>
        <v>100</v>
      </c>
      <c r="V44" s="770" t="s">
        <v>21</v>
      </c>
      <c r="W44" s="771">
        <f t="shared" si="14"/>
        <v>100</v>
      </c>
      <c r="X44" s="772"/>
      <c r="Y44" s="3266"/>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264"/>
      <c r="Q45" s="1809">
        <f t="shared" si="11"/>
        <v>111</v>
      </c>
      <c r="R45" s="774" t="s">
        <v>21</v>
      </c>
      <c r="S45" s="775">
        <f t="shared" si="12"/>
        <v>100</v>
      </c>
      <c r="T45" s="774" t="s">
        <v>21</v>
      </c>
      <c r="U45" s="775">
        <f t="shared" si="13"/>
        <v>100</v>
      </c>
      <c r="V45" s="774" t="s">
        <v>21</v>
      </c>
      <c r="W45" s="775">
        <f t="shared" si="14"/>
        <v>100</v>
      </c>
      <c r="X45" s="1812"/>
      <c r="Y45" s="3266"/>
      <c r="Z45" s="1813">
        <f t="shared" si="18"/>
        <v>111</v>
      </c>
      <c r="AA45" s="1810">
        <f t="shared" si="15"/>
        <v>1</v>
      </c>
      <c r="AB45" s="1810">
        <f t="shared" si="16"/>
        <v>1</v>
      </c>
      <c r="AC45" s="1810">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265"/>
      <c r="Q46" s="1809">
        <f t="shared" si="11"/>
        <v>111</v>
      </c>
      <c r="R46" s="774" t="s">
        <v>20</v>
      </c>
      <c r="S46" s="775">
        <f t="shared" si="12"/>
        <v>100</v>
      </c>
      <c r="T46" s="774" t="s">
        <v>20</v>
      </c>
      <c r="U46" s="775">
        <f t="shared" si="13"/>
        <v>100</v>
      </c>
      <c r="V46" s="774" t="s">
        <v>20</v>
      </c>
      <c r="W46" s="775">
        <f t="shared" si="14"/>
        <v>100</v>
      </c>
      <c r="X46" s="1812"/>
      <c r="Y46" s="3267"/>
      <c r="Z46" s="1813">
        <f t="shared" si="18"/>
        <v>111</v>
      </c>
      <c r="AA46" s="1810">
        <f t="shared" si="15"/>
        <v>1</v>
      </c>
      <c r="AB46" s="1810">
        <f t="shared" si="16"/>
        <v>1</v>
      </c>
      <c r="AC46" s="1810">
        <f t="shared" si="17"/>
        <v>1</v>
      </c>
    </row>
    <row r="47" spans="1:29" ht="15">
      <c r="A47" s="479" t="s">
        <v>2573</v>
      </c>
      <c r="B47" s="480"/>
      <c r="C47" s="1406" t="s">
        <v>19</v>
      </c>
      <c r="D47" s="1407"/>
      <c r="E47" s="1408"/>
      <c r="F47" s="1409"/>
      <c r="G47" s="1410"/>
      <c r="H47" s="1411"/>
      <c r="I47" s="1408"/>
      <c r="J47" s="1411"/>
      <c r="K47" s="2618"/>
      <c r="L47" s="1142"/>
      <c r="M47" s="1143"/>
      <c r="N47" s="1130"/>
      <c r="O47" s="1143"/>
      <c r="P47" s="3259" t="str">
        <f>A47</f>
        <v>成交单价（元/平方米）</v>
      </c>
      <c r="Q47" s="3259"/>
      <c r="R47" s="3260">
        <f>E47</f>
        <v>0</v>
      </c>
      <c r="S47" s="3260"/>
      <c r="T47" s="3260">
        <f>G47</f>
        <v>0</v>
      </c>
      <c r="U47" s="3260"/>
      <c r="V47" s="3260">
        <f>I47</f>
        <v>0</v>
      </c>
      <c r="W47" s="3260"/>
      <c r="X47" s="759"/>
      <c r="Y47" s="781"/>
      <c r="Z47" s="759"/>
      <c r="AA47" s="759"/>
      <c r="AB47" s="759"/>
      <c r="AC47" s="759"/>
    </row>
    <row r="48" spans="1:29" ht="15.75" thickBot="1">
      <c r="A48" s="486" t="s">
        <v>2574</v>
      </c>
      <c r="B48" s="487"/>
      <c r="C48" s="1412" t="e">
        <f>R49</f>
        <v>#DIV/0!</v>
      </c>
      <c r="D48" s="1413"/>
      <c r="E48" s="1414" t="e">
        <f>R48</f>
        <v>#DIV/0!</v>
      </c>
      <c r="F48" s="1414"/>
      <c r="G48" s="1412" t="e">
        <f>T48</f>
        <v>#DIV/0!</v>
      </c>
      <c r="H48" s="1413"/>
      <c r="I48" s="1414" t="e">
        <f>V48</f>
        <v>#DIV/0!</v>
      </c>
      <c r="J48" s="1413"/>
      <c r="K48" s="2619"/>
      <c r="L48" s="1142"/>
      <c r="M48" s="1143"/>
      <c r="N48" s="1143"/>
      <c r="O48" s="1143"/>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2575</v>
      </c>
      <c r="B49" s="493"/>
      <c r="C49" s="1415" t="e">
        <f>R49</f>
        <v>#DIV/0!</v>
      </c>
      <c r="D49" s="1416"/>
      <c r="E49" s="1416"/>
      <c r="F49" s="1416"/>
      <c r="G49" s="1416"/>
      <c r="H49" s="1416"/>
      <c r="I49" s="1416"/>
      <c r="J49" s="1416"/>
      <c r="K49" s="2620"/>
      <c r="L49" s="1142"/>
      <c r="M49" s="1143"/>
      <c r="N49" s="1143"/>
      <c r="O49" s="1143"/>
      <c r="P49" s="3256" t="str">
        <f>A49</f>
        <v>估价对象XX用房的比较价值（楼面单价，元/平方米）</v>
      </c>
      <c r="Q49" s="3257"/>
      <c r="R49" s="3258" t="e">
        <f>IF(F1="售价",ROUND(AVERAGE(R48:V48),0),ROUND(AVERAGE(R48:V48),1))</f>
        <v>#DIV/0!</v>
      </c>
      <c r="S49" s="3258"/>
      <c r="T49" s="3258"/>
      <c r="U49" s="3258"/>
      <c r="V49" s="3258"/>
      <c r="W49" s="325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3" t="s">
        <v>2579</v>
      </c>
      <c r="B57" s="759"/>
      <c r="C57" s="764"/>
      <c r="D57" s="764"/>
      <c r="E57" s="764"/>
      <c r="F57" s="765"/>
      <c r="G57" s="765"/>
      <c r="H57" s="764"/>
      <c r="I57" s="764"/>
      <c r="J57" s="764"/>
      <c r="K57" s="1159"/>
      <c r="L57" s="1160"/>
      <c r="M57" s="1158"/>
      <c r="N57" s="1158"/>
      <c r="O57" s="1158"/>
      <c r="P57" s="2623"/>
      <c r="Q57" s="504"/>
    </row>
    <row r="58" spans="1:29" s="508" customFormat="1" ht="15">
      <c r="A58" s="505" t="s">
        <v>2580</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2582</v>
      </c>
      <c r="B61" s="510"/>
      <c r="C61" s="522" t="s">
        <v>2583</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2584</v>
      </c>
      <c r="B63" s="528" t="s">
        <v>2550</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2096</v>
      </c>
      <c r="C82" s="539" t="s">
        <v>2600</v>
      </c>
      <c r="D82" s="539" t="s">
        <v>2601</v>
      </c>
      <c r="E82" s="539" t="s">
        <v>2602</v>
      </c>
      <c r="F82" s="539" t="s">
        <v>2603</v>
      </c>
      <c r="G82" s="539" t="s">
        <v>2604</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2606</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2607</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2559</v>
      </c>
      <c r="B100" s="528" t="s">
        <v>2608</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2610</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2611</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2612</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2613</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2614</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2615</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2570</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2616</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3">
        <v>6</v>
      </c>
      <c r="C139" s="1084">
        <v>96</v>
      </c>
      <c r="D139" s="2645" t="s">
        <v>2627</v>
      </c>
      <c r="E139" s="1085">
        <v>100</v>
      </c>
      <c r="F139" s="1086">
        <v>102.5</v>
      </c>
      <c r="G139" s="2645" t="s">
        <v>2627</v>
      </c>
      <c r="H139" s="1087">
        <v>105</v>
      </c>
      <c r="I139" s="2646" t="s">
        <v>2628</v>
      </c>
      <c r="J139" s="1084">
        <v>20</v>
      </c>
      <c r="K139" s="1088">
        <f>C145/(J139-2)</f>
        <v>4.0555555555555553E-3</v>
      </c>
    </row>
    <row r="140" spans="1:17" ht="15">
      <c r="B140" s="1089">
        <v>5</v>
      </c>
      <c r="C140" s="1090">
        <v>100</v>
      </c>
      <c r="D140" s="1090"/>
      <c r="E140" s="1091"/>
      <c r="F140" s="1092">
        <v>102</v>
      </c>
      <c r="G140" s="1090"/>
      <c r="H140" s="1093"/>
      <c r="I140" s="2647" t="s">
        <v>2629</v>
      </c>
      <c r="J140" s="315">
        <f>ROUNDUP((J139-1)/2,0)</f>
        <v>10</v>
      </c>
      <c r="K140" s="1094">
        <v>100</v>
      </c>
    </row>
    <row r="141" spans="1:17" ht="15">
      <c r="B141" s="1089">
        <v>4</v>
      </c>
      <c r="C141" s="1090">
        <v>102</v>
      </c>
      <c r="D141" s="1090"/>
      <c r="E141" s="1091"/>
      <c r="F141" s="1092">
        <v>101.5</v>
      </c>
      <c r="G141" s="1090"/>
      <c r="H141" s="1093"/>
      <c r="I141" s="2647" t="s">
        <v>2630</v>
      </c>
      <c r="J141" s="315">
        <v>1</v>
      </c>
      <c r="K141" s="1095">
        <f>ROUND(100+(J141-J140)*K139*100,1)</f>
        <v>96.4</v>
      </c>
    </row>
    <row r="142" spans="1:17" ht="15">
      <c r="B142" s="1089">
        <v>3</v>
      </c>
      <c r="C142" s="1090">
        <v>103</v>
      </c>
      <c r="D142" s="1090"/>
      <c r="E142" s="1091"/>
      <c r="F142" s="1092">
        <v>101</v>
      </c>
      <c r="G142" s="1090"/>
      <c r="H142" s="1093"/>
      <c r="I142" s="2647" t="s">
        <v>2631</v>
      </c>
      <c r="J142" s="315">
        <f>J139</f>
        <v>20</v>
      </c>
      <c r="K142" s="1096">
        <v>95</v>
      </c>
    </row>
    <row r="143" spans="1:17" ht="15">
      <c r="B143" s="1089">
        <v>2</v>
      </c>
      <c r="C143" s="1090">
        <v>100</v>
      </c>
      <c r="D143" s="1090"/>
      <c r="E143" s="1091"/>
      <c r="F143" s="1092">
        <v>100.5</v>
      </c>
      <c r="G143" s="1090"/>
      <c r="H143" s="1093"/>
      <c r="I143" s="2647" t="s">
        <v>2632</v>
      </c>
      <c r="J143" s="1090">
        <v>15</v>
      </c>
      <c r="K143" s="1095">
        <f>ROUND(100+(J143-J140)*K139*100,1)</f>
        <v>102</v>
      </c>
    </row>
    <row r="144" spans="1:17" ht="15">
      <c r="B144" s="1089">
        <v>1</v>
      </c>
      <c r="C144" s="1090">
        <v>98</v>
      </c>
      <c r="D144" s="2648" t="s">
        <v>2633</v>
      </c>
      <c r="E144" s="1091">
        <v>102</v>
      </c>
      <c r="F144" s="1097">
        <v>100</v>
      </c>
      <c r="G144" s="2648" t="s">
        <v>2633</v>
      </c>
      <c r="H144" s="1093">
        <v>105</v>
      </c>
      <c r="I144" s="2647" t="s">
        <v>2632</v>
      </c>
      <c r="J144" s="1090">
        <v>18</v>
      </c>
      <c r="K144" s="1095">
        <f>ROUND(100+(J144-J140)*K139*100,1)</f>
        <v>103.2</v>
      </c>
    </row>
    <row r="145" spans="2:11" ht="15.75" thickBot="1">
      <c r="B145" s="2649" t="s">
        <v>2634</v>
      </c>
      <c r="C145" s="1098">
        <f>ROUND(MAX(C139:C144)/MIN(C139:C144)-1,3)</f>
        <v>7.2999999999999995E-2</v>
      </c>
      <c r="D145" s="1099"/>
      <c r="E145" s="1099"/>
      <c r="F145" s="2650" t="s">
        <v>2635</v>
      </c>
      <c r="G145" s="2651"/>
      <c r="H145" s="2652"/>
      <c r="I145" s="2653" t="s">
        <v>2632</v>
      </c>
      <c r="J145" s="1100">
        <v>8</v>
      </c>
      <c r="K145" s="1101">
        <f>ROUND(100+(J145-J140)*K139*100,1)</f>
        <v>99.2</v>
      </c>
    </row>
    <row r="147" spans="2:11">
      <c r="B147" s="2634" t="s">
        <v>2636</v>
      </c>
    </row>
    <row r="148" spans="2:11">
      <c r="B148" s="2634"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C131"/>
  <sheetViews>
    <sheetView topLeftCell="A42" zoomScale="90" zoomScaleNormal="90" workbookViewId="0">
      <selection activeCell="G46" sqref="G4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9" t="s">
        <v>2638</v>
      </c>
      <c r="C1" s="1633" t="s">
        <v>2526</v>
      </c>
      <c r="D1" s="1620">
        <v>102</v>
      </c>
      <c r="E1" s="2654"/>
      <c r="F1" s="2581" t="s">
        <v>3138</v>
      </c>
      <c r="G1" s="1630" t="s">
        <v>2528</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1388</v>
      </c>
      <c r="B2" s="1417">
        <f>IF(C2="——",ROUND(C49*D3/10000,0),ROUND(C49*D3/10000,0)-D2)</f>
        <v>1</v>
      </c>
      <c r="C2" s="2583" t="s">
        <v>70</v>
      </c>
      <c r="D2" s="1364" t="e">
        <f ca="1">SUMIF(INDIRECT("'"&amp;F2&amp;"'"&amp;"!A:A"),"承租人权益价值",INDIRECT("'"&amp;F2&amp;"'"&amp;"!c:c"))</f>
        <v>#REF!</v>
      </c>
      <c r="E2" s="2584" t="s">
        <v>2324</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2325</v>
      </c>
      <c r="B3" s="609">
        <f>IF(C2="——",C49,ROUND(B2*10000/D3,0))</f>
        <v>9.1</v>
      </c>
      <c r="C3" s="400" t="s">
        <v>2530</v>
      </c>
      <c r="D3" s="399">
        <f>IF(D1="",'数据-汇总表'!E3,SUMIF('数据-汇总表'!$C19:$C33,D1,'数据-汇总表'!$E19:$E33))</f>
        <v>631.32000000000005</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2531</v>
      </c>
      <c r="B4" s="402"/>
      <c r="C4" s="3242" t="s">
        <v>2532</v>
      </c>
      <c r="D4" s="3243"/>
      <c r="E4" s="3244" t="s">
        <v>2533</v>
      </c>
      <c r="F4" s="3245"/>
      <c r="G4" s="3242" t="s">
        <v>2534</v>
      </c>
      <c r="H4" s="3243"/>
      <c r="I4" s="3242" t="s">
        <v>2535</v>
      </c>
      <c r="J4" s="3243"/>
      <c r="K4" s="610" t="s">
        <v>2536</v>
      </c>
      <c r="L4" s="1129"/>
      <c r="M4" s="1130"/>
      <c r="N4" s="1130"/>
      <c r="O4" s="1130"/>
      <c r="P4" s="3246" t="s">
        <v>2537</v>
      </c>
      <c r="Q4" s="3247"/>
      <c r="R4" s="3229" t="s">
        <v>2533</v>
      </c>
      <c r="S4" s="3230"/>
      <c r="T4" s="3229" t="s">
        <v>2534</v>
      </c>
      <c r="U4" s="3230"/>
      <c r="V4" s="3254" t="s">
        <v>2535</v>
      </c>
      <c r="W4" s="3254"/>
      <c r="X4" s="2997"/>
      <c r="Y4" s="3229" t="s">
        <v>2537</v>
      </c>
      <c r="Z4" s="3230"/>
      <c r="AA4" s="3224" t="s">
        <v>2533</v>
      </c>
      <c r="AB4" s="3254" t="s">
        <v>2534</v>
      </c>
      <c r="AC4" s="3224" t="s">
        <v>2535</v>
      </c>
    </row>
    <row r="5" spans="1:29" ht="15">
      <c r="A5" s="404"/>
      <c r="B5" s="405"/>
      <c r="C5" s="3235" t="s">
        <v>2538</v>
      </c>
      <c r="D5" s="3236"/>
      <c r="E5" s="3270" t="s">
        <v>3108</v>
      </c>
      <c r="F5" s="3234"/>
      <c r="G5" s="3271" t="s">
        <v>3122</v>
      </c>
      <c r="H5" s="3236"/>
      <c r="I5" s="3271" t="s">
        <v>3108</v>
      </c>
      <c r="J5" s="3236"/>
      <c r="K5" s="610"/>
      <c r="L5" s="1129"/>
      <c r="M5" s="1130"/>
      <c r="N5" s="1130"/>
      <c r="O5" s="1130"/>
      <c r="P5" s="3248"/>
      <c r="Q5" s="3249"/>
      <c r="R5" s="3231"/>
      <c r="S5" s="3232"/>
      <c r="T5" s="3231"/>
      <c r="U5" s="3232"/>
      <c r="V5" s="3254"/>
      <c r="W5" s="3254"/>
      <c r="X5" s="2997"/>
      <c r="Y5" s="3231"/>
      <c r="Z5" s="3232"/>
      <c r="AA5" s="3225"/>
      <c r="AB5" s="3254"/>
      <c r="AC5" s="3225"/>
    </row>
    <row r="6" spans="1:29" ht="15.75" thickBot="1">
      <c r="A6" s="406"/>
      <c r="B6" s="407"/>
      <c r="C6" s="3237" t="s">
        <v>2542</v>
      </c>
      <c r="D6" s="3238"/>
      <c r="E6" s="3239" t="s">
        <v>2542</v>
      </c>
      <c r="F6" s="3240"/>
      <c r="G6" s="3237" t="s">
        <v>2542</v>
      </c>
      <c r="H6" s="3238"/>
      <c r="I6" s="3237" t="s">
        <v>2542</v>
      </c>
      <c r="J6" s="3238"/>
      <c r="K6" s="610" t="s">
        <v>2543</v>
      </c>
      <c r="L6" s="1129"/>
      <c r="M6" s="1130"/>
      <c r="N6" s="1130"/>
      <c r="O6" s="1130"/>
      <c r="P6" s="3250"/>
      <c r="Q6" s="3251"/>
      <c r="R6" s="3231"/>
      <c r="S6" s="3232"/>
      <c r="T6" s="3252"/>
      <c r="U6" s="3253"/>
      <c r="V6" s="3254"/>
      <c r="W6" s="3254"/>
      <c r="X6" s="2997"/>
      <c r="Y6" s="3252"/>
      <c r="Z6" s="3253"/>
      <c r="AA6" s="3226"/>
      <c r="AB6" s="3254"/>
      <c r="AC6" s="3226"/>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1"/>
      <c r="M7" s="1132"/>
      <c r="N7" s="1132"/>
      <c r="O7" s="1132"/>
      <c r="P7" s="3227" t="s">
        <v>2545</v>
      </c>
      <c r="Q7" s="3255"/>
      <c r="R7" s="770" t="s">
        <v>17</v>
      </c>
      <c r="S7" s="771">
        <f t="shared" ref="S7:S15" si="0">F7</f>
        <v>100</v>
      </c>
      <c r="T7" s="770" t="s">
        <v>17</v>
      </c>
      <c r="U7" s="771">
        <f t="shared" ref="U7:U15" si="1">H7</f>
        <v>100</v>
      </c>
      <c r="V7" s="770" t="s">
        <v>17</v>
      </c>
      <c r="W7" s="771">
        <f t="shared" ref="W7:W15" si="2">J7</f>
        <v>100</v>
      </c>
      <c r="X7" s="772"/>
      <c r="Y7" s="3227" t="s">
        <v>2545</v>
      </c>
      <c r="Z7" s="3228"/>
      <c r="AA7" s="773">
        <f>D7/F7</f>
        <v>1</v>
      </c>
      <c r="AB7" s="773">
        <f>D7/H7</f>
        <v>1</v>
      </c>
      <c r="AC7" s="773">
        <f>D7/J7</f>
        <v>1</v>
      </c>
    </row>
    <row r="8" spans="1:29" s="117" customFormat="1" ht="15.75" thickBot="1">
      <c r="A8" s="408" t="s">
        <v>2546</v>
      </c>
      <c r="B8" s="409"/>
      <c r="C8" s="414" t="s">
        <v>2583</v>
      </c>
      <c r="D8" s="411">
        <v>100</v>
      </c>
      <c r="E8" s="414" t="s">
        <v>2583</v>
      </c>
      <c r="F8" s="413">
        <f>SUMIF(61:61,E8,62:62)-SUMIF(61:61,C8,62:62)+100</f>
        <v>100</v>
      </c>
      <c r="G8" s="414" t="s">
        <v>2583</v>
      </c>
      <c r="H8" s="411">
        <f>SUMIF(61:61,G8,62:62)-SUMIF(61:61,C8,62:62)+100</f>
        <v>100</v>
      </c>
      <c r="I8" s="414" t="s">
        <v>2583</v>
      </c>
      <c r="J8" s="411">
        <f>SUMIF(61:61,I8,62:62)-SUMIF(61:61,C8,62:62)+100</f>
        <v>100</v>
      </c>
      <c r="K8" s="611"/>
      <c r="L8" s="1131"/>
      <c r="M8" s="1132"/>
      <c r="N8" s="1132"/>
      <c r="O8" s="1132"/>
      <c r="P8" s="3227" t="s">
        <v>2548</v>
      </c>
      <c r="Q8" s="3228"/>
      <c r="R8" s="770" t="s">
        <v>17</v>
      </c>
      <c r="S8" s="771">
        <f t="shared" si="0"/>
        <v>100</v>
      </c>
      <c r="T8" s="770" t="s">
        <v>17</v>
      </c>
      <c r="U8" s="771">
        <f t="shared" si="1"/>
        <v>100</v>
      </c>
      <c r="V8" s="770" t="s">
        <v>17</v>
      </c>
      <c r="W8" s="771">
        <f t="shared" si="2"/>
        <v>100</v>
      </c>
      <c r="X8" s="772"/>
      <c r="Y8" s="3227" t="s">
        <v>2548</v>
      </c>
      <c r="Z8" s="3228"/>
      <c r="AA8" s="773">
        <f t="shared" ref="AA8:AA46" si="3">D8/F8</f>
        <v>1</v>
      </c>
      <c r="AB8" s="773">
        <f t="shared" ref="AB8:AB46" si="4">D8/H8</f>
        <v>1</v>
      </c>
      <c r="AC8" s="773">
        <f t="shared" ref="AC8:AC46" si="5">D8/J8</f>
        <v>1</v>
      </c>
    </row>
    <row r="9" spans="1:29" s="117" customFormat="1">
      <c r="A9" s="415" t="s">
        <v>2549</v>
      </c>
      <c r="B9" s="71" t="s">
        <v>2550</v>
      </c>
      <c r="C9" s="3002"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41" t="s">
        <v>2551</v>
      </c>
      <c r="Q9" s="2994" t="str">
        <f t="shared" ref="Q9:Q15" si="6">B9</f>
        <v>用途</v>
      </c>
      <c r="R9" s="770" t="s">
        <v>17</v>
      </c>
      <c r="S9" s="771">
        <f t="shared" si="0"/>
        <v>100</v>
      </c>
      <c r="T9" s="770" t="s">
        <v>17</v>
      </c>
      <c r="U9" s="771">
        <f t="shared" si="1"/>
        <v>100</v>
      </c>
      <c r="V9" s="770" t="s">
        <v>17</v>
      </c>
      <c r="W9" s="771">
        <f t="shared" si="2"/>
        <v>100</v>
      </c>
      <c r="X9" s="772"/>
      <c r="Y9" s="3074" t="s">
        <v>2552</v>
      </c>
      <c r="Z9" s="2995" t="str">
        <f t="shared" ref="Z9:Z15" si="7">Q9</f>
        <v>用途</v>
      </c>
      <c r="AA9" s="773">
        <f t="shared" si="3"/>
        <v>1</v>
      </c>
      <c r="AB9" s="773">
        <f t="shared" si="4"/>
        <v>1</v>
      </c>
      <c r="AC9" s="773">
        <f t="shared" si="5"/>
        <v>1</v>
      </c>
    </row>
    <row r="10" spans="1:29" s="427" customFormat="1" ht="27">
      <c r="A10" s="421"/>
      <c r="B10" s="2996"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4"/>
      <c r="M10" s="1135"/>
      <c r="N10" s="1135"/>
      <c r="O10" s="1135"/>
      <c r="P10" s="3241"/>
      <c r="Q10" s="2994" t="str">
        <f t="shared" si="6"/>
        <v>土地使用年限（年）</v>
      </c>
      <c r="R10" s="770" t="s">
        <v>17</v>
      </c>
      <c r="S10" s="771">
        <f t="shared" si="0"/>
        <v>100</v>
      </c>
      <c r="T10" s="770" t="s">
        <v>17</v>
      </c>
      <c r="U10" s="771">
        <f t="shared" si="1"/>
        <v>100</v>
      </c>
      <c r="V10" s="770" t="s">
        <v>17</v>
      </c>
      <c r="W10" s="771">
        <f t="shared" si="2"/>
        <v>100</v>
      </c>
      <c r="X10" s="772"/>
      <c r="Y10" s="3074"/>
      <c r="Z10" s="2995" t="str">
        <f t="shared" si="7"/>
        <v>土地使用年限（年）</v>
      </c>
      <c r="AA10" s="773">
        <f t="shared" si="3"/>
        <v>1</v>
      </c>
      <c r="AB10" s="773">
        <f t="shared" si="4"/>
        <v>1</v>
      </c>
      <c r="AC10" s="773">
        <f t="shared" si="5"/>
        <v>1</v>
      </c>
    </row>
    <row r="11" spans="1:29" ht="15">
      <c r="A11" s="428"/>
      <c r="B11" s="2996"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241"/>
      <c r="Q11" s="2994" t="str">
        <f t="shared" si="6"/>
        <v>容积率</v>
      </c>
      <c r="R11" s="770" t="s">
        <v>17</v>
      </c>
      <c r="S11" s="771">
        <f t="shared" si="0"/>
        <v>100</v>
      </c>
      <c r="T11" s="770" t="s">
        <v>17</v>
      </c>
      <c r="U11" s="771">
        <f t="shared" si="1"/>
        <v>100</v>
      </c>
      <c r="V11" s="770" t="s">
        <v>17</v>
      </c>
      <c r="W11" s="771">
        <f t="shared" si="2"/>
        <v>100</v>
      </c>
      <c r="X11" s="772"/>
      <c r="Y11" s="3074"/>
      <c r="Z11" s="2995" t="str">
        <f t="shared" si="7"/>
        <v>容积率</v>
      </c>
      <c r="AA11" s="773">
        <f t="shared" si="3"/>
        <v>1</v>
      </c>
      <c r="AB11" s="773">
        <f t="shared" si="4"/>
        <v>1</v>
      </c>
      <c r="AC11" s="773">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41"/>
      <c r="Q12" s="2994">
        <f t="shared" si="6"/>
        <v>111</v>
      </c>
      <c r="R12" s="770" t="s">
        <v>17</v>
      </c>
      <c r="S12" s="771">
        <f t="shared" si="0"/>
        <v>100</v>
      </c>
      <c r="T12" s="770" t="s">
        <v>17</v>
      </c>
      <c r="U12" s="771">
        <f t="shared" si="1"/>
        <v>100</v>
      </c>
      <c r="V12" s="770" t="s">
        <v>17</v>
      </c>
      <c r="W12" s="771">
        <f t="shared" si="2"/>
        <v>100</v>
      </c>
      <c r="X12" s="772"/>
      <c r="Y12" s="3074"/>
      <c r="Z12" s="299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41"/>
      <c r="Q13" s="2994">
        <f t="shared" si="6"/>
        <v>111</v>
      </c>
      <c r="R13" s="770" t="s">
        <v>17</v>
      </c>
      <c r="S13" s="771">
        <f t="shared" si="0"/>
        <v>100</v>
      </c>
      <c r="T13" s="770" t="s">
        <v>17</v>
      </c>
      <c r="U13" s="771">
        <f t="shared" si="1"/>
        <v>100</v>
      </c>
      <c r="V13" s="770" t="s">
        <v>17</v>
      </c>
      <c r="W13" s="771">
        <f t="shared" si="2"/>
        <v>100</v>
      </c>
      <c r="X13" s="772"/>
      <c r="Y13" s="3074"/>
      <c r="Z13" s="299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41"/>
      <c r="Q14" s="2994">
        <f t="shared" si="6"/>
        <v>111</v>
      </c>
      <c r="R14" s="770" t="s">
        <v>17</v>
      </c>
      <c r="S14" s="771">
        <f t="shared" si="0"/>
        <v>100</v>
      </c>
      <c r="T14" s="770" t="s">
        <v>17</v>
      </c>
      <c r="U14" s="771">
        <f t="shared" si="1"/>
        <v>100</v>
      </c>
      <c r="V14" s="770" t="s">
        <v>17</v>
      </c>
      <c r="W14" s="771">
        <f t="shared" si="2"/>
        <v>100</v>
      </c>
      <c r="X14" s="772"/>
      <c r="Y14" s="3074"/>
      <c r="Z14" s="2995">
        <f t="shared" si="7"/>
        <v>111</v>
      </c>
      <c r="AA14" s="773">
        <f t="shared" si="3"/>
        <v>1</v>
      </c>
      <c r="AB14" s="773">
        <f t="shared" si="4"/>
        <v>1</v>
      </c>
      <c r="AC14" s="773">
        <f t="shared" si="5"/>
        <v>1</v>
      </c>
    </row>
    <row r="15" spans="1:29" ht="71.25">
      <c r="A15" s="440" t="s">
        <v>2555</v>
      </c>
      <c r="B15" s="69" t="s">
        <v>2649</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68" t="s">
        <v>2556</v>
      </c>
      <c r="Q15" s="3000" t="str">
        <f t="shared" si="6"/>
        <v>商业繁华度</v>
      </c>
      <c r="R15" s="774" t="s">
        <v>17</v>
      </c>
      <c r="S15" s="775">
        <f t="shared" si="0"/>
        <v>100</v>
      </c>
      <c r="T15" s="774" t="s">
        <v>17</v>
      </c>
      <c r="U15" s="775">
        <f t="shared" si="1"/>
        <v>100</v>
      </c>
      <c r="V15" s="774" t="s">
        <v>17</v>
      </c>
      <c r="W15" s="775">
        <f t="shared" si="2"/>
        <v>100</v>
      </c>
      <c r="X15" s="2997"/>
      <c r="Y15" s="3261" t="s">
        <v>2556</v>
      </c>
      <c r="Z15" s="2998" t="str">
        <f t="shared" si="7"/>
        <v>商业繁华度</v>
      </c>
      <c r="AA15" s="3001">
        <f t="shared" si="3"/>
        <v>1</v>
      </c>
      <c r="AB15" s="3001">
        <f t="shared" si="4"/>
        <v>1</v>
      </c>
      <c r="AC15" s="3001">
        <f t="shared" si="5"/>
        <v>1</v>
      </c>
    </row>
    <row r="16" spans="1:29" ht="15">
      <c r="A16" s="428"/>
      <c r="B16" s="446"/>
      <c r="C16" s="447" t="s">
        <v>3124</v>
      </c>
      <c r="D16" s="448"/>
      <c r="E16" s="447" t="s">
        <v>3124</v>
      </c>
      <c r="F16" s="449"/>
      <c r="G16" s="447" t="s">
        <v>3124</v>
      </c>
      <c r="H16" s="450"/>
      <c r="I16" s="447" t="s">
        <v>3124</v>
      </c>
      <c r="J16" s="448"/>
      <c r="K16" s="615"/>
      <c r="L16" s="1139"/>
      <c r="M16" s="1130"/>
      <c r="N16" s="1130"/>
      <c r="O16" s="1130"/>
      <c r="P16" s="3269"/>
      <c r="Q16" s="3000"/>
      <c r="R16" s="774"/>
      <c r="S16" s="775"/>
      <c r="T16" s="774"/>
      <c r="U16" s="775"/>
      <c r="V16" s="774"/>
      <c r="W16" s="775"/>
      <c r="X16" s="2997"/>
      <c r="Y16" s="3262"/>
      <c r="Z16" s="2998"/>
      <c r="AA16" s="3001">
        <v>1</v>
      </c>
      <c r="AB16" s="3001">
        <v>1</v>
      </c>
      <c r="AC16" s="3001">
        <v>1</v>
      </c>
    </row>
    <row r="17" spans="1:29" ht="85.5">
      <c r="A17" s="428"/>
      <c r="B17" s="451" t="s">
        <v>2095</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69"/>
      <c r="Q17" s="3000" t="str">
        <f>B17</f>
        <v>交通便捷度</v>
      </c>
      <c r="R17" s="774" t="s">
        <v>17</v>
      </c>
      <c r="S17" s="775">
        <f>F17</f>
        <v>100</v>
      </c>
      <c r="T17" s="774" t="s">
        <v>17</v>
      </c>
      <c r="U17" s="775">
        <f>H17</f>
        <v>100</v>
      </c>
      <c r="V17" s="774" t="s">
        <v>17</v>
      </c>
      <c r="W17" s="775">
        <f>J17</f>
        <v>100</v>
      </c>
      <c r="X17" s="2997"/>
      <c r="Y17" s="3262"/>
      <c r="Z17" s="2998" t="str">
        <f>Q17</f>
        <v>交通便捷度</v>
      </c>
      <c r="AA17" s="3001">
        <f t="shared" si="3"/>
        <v>1</v>
      </c>
      <c r="AB17" s="3001">
        <f t="shared" si="4"/>
        <v>1</v>
      </c>
      <c r="AC17" s="3001">
        <f t="shared" si="5"/>
        <v>1</v>
      </c>
    </row>
    <row r="18" spans="1:29" ht="15">
      <c r="A18" s="428"/>
      <c r="B18" s="456"/>
      <c r="C18" s="2605" t="s">
        <v>3124</v>
      </c>
      <c r="D18" s="450"/>
      <c r="E18" s="2605" t="s">
        <v>3124</v>
      </c>
      <c r="F18" s="453"/>
      <c r="G18" s="2605" t="s">
        <v>3124</v>
      </c>
      <c r="H18" s="448"/>
      <c r="I18" s="2605" t="s">
        <v>3124</v>
      </c>
      <c r="J18" s="448"/>
      <c r="K18" s="615"/>
      <c r="L18" s="1139"/>
      <c r="M18" s="1130"/>
      <c r="N18" s="1130"/>
      <c r="O18" s="1130"/>
      <c r="P18" s="3269"/>
      <c r="Q18" s="3000"/>
      <c r="R18" s="774"/>
      <c r="S18" s="775"/>
      <c r="T18" s="774"/>
      <c r="U18" s="775"/>
      <c r="V18" s="774"/>
      <c r="W18" s="775"/>
      <c r="X18" s="2997"/>
      <c r="Y18" s="3262"/>
      <c r="Z18" s="2998"/>
      <c r="AA18" s="3001">
        <v>1</v>
      </c>
      <c r="AB18" s="3001">
        <v>1</v>
      </c>
      <c r="AC18" s="3001">
        <v>1</v>
      </c>
    </row>
    <row r="19" spans="1:29" ht="42.75">
      <c r="A19" s="428"/>
      <c r="B19" s="451" t="s">
        <v>2650</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39"/>
      <c r="M19" s="1130"/>
      <c r="N19" s="1130"/>
      <c r="O19" s="1130"/>
      <c r="P19" s="3269"/>
      <c r="Q19" s="3000" t="str">
        <f>B19</f>
        <v>公共配套设施</v>
      </c>
      <c r="R19" s="774" t="s">
        <v>17</v>
      </c>
      <c r="S19" s="775">
        <f>F19</f>
        <v>100</v>
      </c>
      <c r="T19" s="774" t="s">
        <v>17</v>
      </c>
      <c r="U19" s="775">
        <f>H19</f>
        <v>100</v>
      </c>
      <c r="V19" s="774" t="s">
        <v>17</v>
      </c>
      <c r="W19" s="775">
        <f>J19</f>
        <v>100</v>
      </c>
      <c r="X19" s="2997"/>
      <c r="Y19" s="3262"/>
      <c r="Z19" s="2998" t="str">
        <f>Q19</f>
        <v>公共配套设施</v>
      </c>
      <c r="AA19" s="3001">
        <f t="shared" si="3"/>
        <v>1</v>
      </c>
      <c r="AB19" s="3001">
        <f t="shared" si="4"/>
        <v>1</v>
      </c>
      <c r="AC19" s="3001">
        <f t="shared" si="5"/>
        <v>1</v>
      </c>
    </row>
    <row r="20" spans="1:29" ht="15">
      <c r="A20" s="428"/>
      <c r="B20" s="456"/>
      <c r="C20" s="447" t="s">
        <v>3124</v>
      </c>
      <c r="D20" s="448"/>
      <c r="E20" s="447" t="s">
        <v>3124</v>
      </c>
      <c r="F20" s="449"/>
      <c r="G20" s="447" t="s">
        <v>3124</v>
      </c>
      <c r="H20" s="448"/>
      <c r="I20" s="447" t="s">
        <v>3124</v>
      </c>
      <c r="J20" s="448"/>
      <c r="K20" s="615"/>
      <c r="L20" s="1139"/>
      <c r="M20" s="1130"/>
      <c r="N20" s="1130"/>
      <c r="O20" s="1130"/>
      <c r="P20" s="3269"/>
      <c r="Q20" s="3000"/>
      <c r="R20" s="774"/>
      <c r="S20" s="775"/>
      <c r="T20" s="774"/>
      <c r="U20" s="775"/>
      <c r="V20" s="774"/>
      <c r="W20" s="775"/>
      <c r="X20" s="2997"/>
      <c r="Y20" s="3262"/>
      <c r="Z20" s="2998"/>
      <c r="AA20" s="3001">
        <v>1</v>
      </c>
      <c r="AB20" s="3001">
        <v>1</v>
      </c>
      <c r="AC20" s="3001">
        <v>1</v>
      </c>
    </row>
    <row r="21" spans="1:29" ht="28.5">
      <c r="A21" s="428"/>
      <c r="B21" s="1383" t="s">
        <v>2651</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69"/>
      <c r="Q21" s="3000" t="str">
        <f>B21</f>
        <v>基础设施水平</v>
      </c>
      <c r="R21" s="774" t="s">
        <v>17</v>
      </c>
      <c r="S21" s="775">
        <f>F21</f>
        <v>100</v>
      </c>
      <c r="T21" s="774" t="s">
        <v>17</v>
      </c>
      <c r="U21" s="775">
        <f>H21</f>
        <v>100</v>
      </c>
      <c r="V21" s="774" t="s">
        <v>17</v>
      </c>
      <c r="W21" s="775">
        <f>J21</f>
        <v>100</v>
      </c>
      <c r="X21" s="2997"/>
      <c r="Y21" s="3262"/>
      <c r="Z21" s="2998" t="str">
        <f>Q21</f>
        <v>基础设施水平</v>
      </c>
      <c r="AA21" s="3001">
        <f t="shared" ref="AA21" si="8">D21/F21</f>
        <v>1</v>
      </c>
      <c r="AB21" s="3001">
        <f t="shared" ref="AB21" si="9">D21/H21</f>
        <v>1</v>
      </c>
      <c r="AC21" s="3001">
        <f t="shared" ref="AC21" si="10">D21/J21</f>
        <v>1</v>
      </c>
    </row>
    <row r="22" spans="1:29" ht="15">
      <c r="A22" s="428"/>
      <c r="B22" s="1383"/>
      <c r="C22" s="2605" t="s">
        <v>3125</v>
      </c>
      <c r="D22" s="448"/>
      <c r="E22" s="2605" t="s">
        <v>3125</v>
      </c>
      <c r="F22" s="449"/>
      <c r="G22" s="2605" t="s">
        <v>3125</v>
      </c>
      <c r="H22" s="448"/>
      <c r="I22" s="2605" t="s">
        <v>3125</v>
      </c>
      <c r="J22" s="448"/>
      <c r="K22" s="1382"/>
      <c r="L22" s="1139"/>
      <c r="M22" s="1130"/>
      <c r="N22" s="1130"/>
      <c r="O22" s="1130"/>
      <c r="P22" s="3269"/>
      <c r="Q22" s="3000"/>
      <c r="R22" s="774"/>
      <c r="S22" s="775"/>
      <c r="T22" s="774"/>
      <c r="U22" s="775"/>
      <c r="V22" s="774"/>
      <c r="W22" s="775"/>
      <c r="X22" s="2997"/>
      <c r="Y22" s="3262"/>
      <c r="Z22" s="2998"/>
      <c r="AA22" s="3001">
        <v>1</v>
      </c>
      <c r="AB22" s="3001">
        <v>1</v>
      </c>
      <c r="AC22" s="3001">
        <v>1</v>
      </c>
    </row>
    <row r="23" spans="1:29" ht="57">
      <c r="A23" s="428"/>
      <c r="B23" s="451" t="s">
        <v>2100</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269"/>
      <c r="Q23" s="3000" t="str">
        <f>B23</f>
        <v>自然及人文环境</v>
      </c>
      <c r="R23" s="774" t="s">
        <v>17</v>
      </c>
      <c r="S23" s="775">
        <f>F23</f>
        <v>100</v>
      </c>
      <c r="T23" s="774" t="s">
        <v>17</v>
      </c>
      <c r="U23" s="775">
        <f>H23</f>
        <v>100</v>
      </c>
      <c r="V23" s="774" t="s">
        <v>17</v>
      </c>
      <c r="W23" s="775">
        <f>J23</f>
        <v>100</v>
      </c>
      <c r="X23" s="2997"/>
      <c r="Y23" s="3262"/>
      <c r="Z23" s="2998" t="str">
        <f>Q23</f>
        <v>自然及人文环境</v>
      </c>
      <c r="AA23" s="3001">
        <f t="shared" si="3"/>
        <v>1</v>
      </c>
      <c r="AB23" s="3001">
        <f t="shared" si="4"/>
        <v>1</v>
      </c>
      <c r="AC23" s="3001">
        <f t="shared" si="5"/>
        <v>1</v>
      </c>
    </row>
    <row r="24" spans="1:29" ht="15">
      <c r="A24" s="428"/>
      <c r="B24" s="456"/>
      <c r="C24" s="447" t="s">
        <v>3124</v>
      </c>
      <c r="D24" s="448"/>
      <c r="E24" s="447" t="s">
        <v>3124</v>
      </c>
      <c r="F24" s="449"/>
      <c r="G24" s="447" t="s">
        <v>3124</v>
      </c>
      <c r="H24" s="448"/>
      <c r="I24" s="447" t="s">
        <v>3124</v>
      </c>
      <c r="J24" s="448"/>
      <c r="K24" s="615"/>
      <c r="L24" s="1139"/>
      <c r="M24" s="1130"/>
      <c r="N24" s="1130"/>
      <c r="O24" s="1130"/>
      <c r="P24" s="3269"/>
      <c r="Q24" s="3000"/>
      <c r="R24" s="774"/>
      <c r="S24" s="775"/>
      <c r="T24" s="774"/>
      <c r="U24" s="775"/>
      <c r="V24" s="774"/>
      <c r="W24" s="775"/>
      <c r="X24" s="2997"/>
      <c r="Y24" s="3262"/>
      <c r="Z24" s="2998"/>
      <c r="AA24" s="3001">
        <v>1</v>
      </c>
      <c r="AB24" s="3001">
        <v>1</v>
      </c>
      <c r="AC24" s="3001">
        <v>1</v>
      </c>
    </row>
    <row r="25" spans="1:29" ht="15">
      <c r="A25" s="428"/>
      <c r="B25" s="2996" t="s">
        <v>2652</v>
      </c>
      <c r="C25" s="616" t="s">
        <v>3142</v>
      </c>
      <c r="D25" s="435">
        <v>100</v>
      </c>
      <c r="E25" s="616" t="s">
        <v>3144</v>
      </c>
      <c r="F25" s="461">
        <f>SUMIF(86:86,E25,87:87)-SUMIF(86:86,C25,87:87)+100</f>
        <v>99</v>
      </c>
      <c r="G25" s="616" t="s">
        <v>3144</v>
      </c>
      <c r="H25" s="435">
        <f>SUMIF(86:86,G25,87:87)-SUMIF(86:86,C25,87:87)+100</f>
        <v>99</v>
      </c>
      <c r="I25" s="616" t="s">
        <v>3144</v>
      </c>
      <c r="J25" s="435">
        <f>SUMIF(86:86,I25,87:87)-SUMIF(86:86,C25,87:87)+100</f>
        <v>99</v>
      </c>
      <c r="K25" s="612">
        <v>1</v>
      </c>
      <c r="L25" s="1139"/>
      <c r="M25" s="1130"/>
      <c r="N25" s="1130"/>
      <c r="O25" s="1130"/>
      <c r="P25" s="3269"/>
      <c r="Q25" s="3000" t="str">
        <f t="shared" ref="Q25:Q46" si="11">B25</f>
        <v>临街状况</v>
      </c>
      <c r="R25" s="774" t="s">
        <v>17</v>
      </c>
      <c r="S25" s="775">
        <f>F25</f>
        <v>99</v>
      </c>
      <c r="T25" s="774" t="s">
        <v>17</v>
      </c>
      <c r="U25" s="775">
        <f>H25</f>
        <v>99</v>
      </c>
      <c r="V25" s="774" t="s">
        <v>17</v>
      </c>
      <c r="W25" s="775">
        <f>J25</f>
        <v>99</v>
      </c>
      <c r="X25" s="2997"/>
      <c r="Y25" s="3262"/>
      <c r="Z25" s="2998" t="str">
        <f>Q25</f>
        <v>临街状况</v>
      </c>
      <c r="AA25" s="3001">
        <f t="shared" si="3"/>
        <v>1.0101010101010102</v>
      </c>
      <c r="AB25" s="3001">
        <f t="shared" si="4"/>
        <v>1.0101010101010102</v>
      </c>
      <c r="AC25" s="3001">
        <f t="shared" si="5"/>
        <v>1.0101010101010102</v>
      </c>
    </row>
    <row r="26" spans="1:29" ht="15">
      <c r="A26" s="428"/>
      <c r="B26" s="1385" t="s">
        <v>2653</v>
      </c>
      <c r="C26" s="3007" t="s">
        <v>3157</v>
      </c>
      <c r="D26" s="435">
        <v>100</v>
      </c>
      <c r="E26" s="3007" t="s">
        <v>3157</v>
      </c>
      <c r="F26" s="461">
        <f>SUMIF(88:88,E26,89:89)-SUMIF(88:88,C26,89:89)+100</f>
        <v>100</v>
      </c>
      <c r="G26" s="3007" t="s">
        <v>3157</v>
      </c>
      <c r="H26" s="435">
        <f>SUMIF(88:88,G26,89:89)-SUMIF(88:88,C26,89:89)+100</f>
        <v>100</v>
      </c>
      <c r="I26" s="3007" t="s">
        <v>3157</v>
      </c>
      <c r="J26" s="435">
        <f>SUMIF(88:88,I26,89:89)-SUMIF(88:88,C26,89:89)+100</f>
        <v>100</v>
      </c>
      <c r="K26" s="613"/>
      <c r="L26" s="1139"/>
      <c r="M26" s="1130"/>
      <c r="N26" s="1130"/>
      <c r="O26" s="1130"/>
      <c r="P26" s="3269"/>
      <c r="Q26" s="3000" t="str">
        <f t="shared" si="11"/>
        <v>平面位置/可视性</v>
      </c>
      <c r="R26" s="774" t="s">
        <v>17</v>
      </c>
      <c r="S26" s="775">
        <f>F26</f>
        <v>100</v>
      </c>
      <c r="T26" s="774" t="s">
        <v>17</v>
      </c>
      <c r="U26" s="775">
        <f>H26</f>
        <v>100</v>
      </c>
      <c r="V26" s="774" t="s">
        <v>17</v>
      </c>
      <c r="W26" s="775">
        <f>J26</f>
        <v>100</v>
      </c>
      <c r="X26" s="2997"/>
      <c r="Y26" s="3262"/>
      <c r="Z26" s="2998" t="str">
        <f>Q26</f>
        <v>平面位置/可视性</v>
      </c>
      <c r="AA26" s="3001">
        <f t="shared" si="3"/>
        <v>1</v>
      </c>
      <c r="AB26" s="3001">
        <f t="shared" si="4"/>
        <v>1</v>
      </c>
      <c r="AC26" s="3001">
        <f t="shared" si="5"/>
        <v>1</v>
      </c>
    </row>
    <row r="27" spans="1:29" s="117" customFormat="1" ht="15">
      <c r="A27" s="431"/>
      <c r="B27" s="451" t="s">
        <v>2654</v>
      </c>
      <c r="C27" s="2662" t="s">
        <v>3149</v>
      </c>
      <c r="D27" s="462">
        <v>100</v>
      </c>
      <c r="E27" s="2662" t="s">
        <v>3149</v>
      </c>
      <c r="F27" s="464">
        <f>SUMIF(90:90,E27,91:91)-SUMIF(90:90,C27,91:91)+100</f>
        <v>100</v>
      </c>
      <c r="G27" s="2662" t="s">
        <v>3149</v>
      </c>
      <c r="H27" s="462">
        <f>SUMIF(90:90,G27,91:91)-SUMIF(90:90,C27,91:91)+100</f>
        <v>100</v>
      </c>
      <c r="I27" s="2662" t="s">
        <v>3149</v>
      </c>
      <c r="J27" s="462">
        <f>SUMIF(90:90,I27,91:91)-SUMIF(90:90,C27,91:91)+100</f>
        <v>100</v>
      </c>
      <c r="K27" s="612">
        <v>1</v>
      </c>
      <c r="L27" s="1131"/>
      <c r="M27" s="1132"/>
      <c r="N27" s="1132"/>
      <c r="O27" s="1132"/>
      <c r="P27" s="3269"/>
      <c r="Q27" s="2994" t="str">
        <f t="shared" si="11"/>
        <v>人流量</v>
      </c>
      <c r="R27" s="770" t="s">
        <v>17</v>
      </c>
      <c r="S27" s="771">
        <f>F27</f>
        <v>100</v>
      </c>
      <c r="T27" s="770" t="s">
        <v>17</v>
      </c>
      <c r="U27" s="771">
        <f>H27</f>
        <v>100</v>
      </c>
      <c r="V27" s="770" t="s">
        <v>17</v>
      </c>
      <c r="W27" s="771">
        <f>J27</f>
        <v>100</v>
      </c>
      <c r="X27" s="772"/>
      <c r="Y27" s="3262"/>
      <c r="Z27" s="2995" t="str">
        <f>Q27</f>
        <v>人流量</v>
      </c>
      <c r="AA27" s="3001">
        <f>D27/F27</f>
        <v>1</v>
      </c>
      <c r="AB27" s="3001">
        <f>D27/H27</f>
        <v>1</v>
      </c>
      <c r="AC27" s="3001">
        <f>D27/J27</f>
        <v>1</v>
      </c>
    </row>
    <row r="28" spans="1:29" ht="15">
      <c r="A28" s="428"/>
      <c r="B28" s="2996" t="s">
        <v>2655</v>
      </c>
      <c r="C28" s="616" t="s">
        <v>3154</v>
      </c>
      <c r="D28" s="435">
        <v>100</v>
      </c>
      <c r="E28" s="616" t="s">
        <v>3154</v>
      </c>
      <c r="F28" s="461">
        <f>SUMIF(92:92,E28,93:93)-SUMIF(92:92,C28,93:93)+100</f>
        <v>100</v>
      </c>
      <c r="G28" s="616" t="s">
        <v>3154</v>
      </c>
      <c r="H28" s="435">
        <f>SUMIF(92:92,G28,93:93)-SUMIF(92:92,C28,93:93)+100</f>
        <v>100</v>
      </c>
      <c r="I28" s="616" t="s">
        <v>3154</v>
      </c>
      <c r="J28" s="435">
        <f>SUMIF(92:92,I28,93:93)-SUMIF(92:92,C28,93:93)+100</f>
        <v>100</v>
      </c>
      <c r="K28" s="613"/>
      <c r="L28" s="1139"/>
      <c r="M28" s="1130"/>
      <c r="N28" s="1130"/>
      <c r="O28" s="1130"/>
      <c r="P28" s="3269"/>
      <c r="Q28" s="3000" t="str">
        <f t="shared" si="11"/>
        <v>楼层</v>
      </c>
      <c r="R28" s="774" t="s">
        <v>17</v>
      </c>
      <c r="S28" s="775">
        <f t="shared" ref="S28:S46" si="12">F28</f>
        <v>100</v>
      </c>
      <c r="T28" s="774" t="s">
        <v>17</v>
      </c>
      <c r="U28" s="775">
        <f t="shared" ref="U28:U46" si="13">H28</f>
        <v>100</v>
      </c>
      <c r="V28" s="774" t="s">
        <v>17</v>
      </c>
      <c r="W28" s="775">
        <f t="shared" ref="W28:W46" si="14">J28</f>
        <v>100</v>
      </c>
      <c r="X28" s="2997"/>
      <c r="Y28" s="3262"/>
      <c r="Z28" s="2998" t="str">
        <f t="shared" ref="Z28:Z46" si="15">Q28</f>
        <v>楼层</v>
      </c>
      <c r="AA28" s="3001">
        <f t="shared" si="3"/>
        <v>1</v>
      </c>
      <c r="AB28" s="3001">
        <f t="shared" si="4"/>
        <v>1</v>
      </c>
      <c r="AC28" s="300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9"/>
      <c r="Q29" s="3000">
        <f t="shared" si="11"/>
        <v>111</v>
      </c>
      <c r="R29" s="774" t="s">
        <v>17</v>
      </c>
      <c r="S29" s="775">
        <f t="shared" si="12"/>
        <v>100</v>
      </c>
      <c r="T29" s="774" t="s">
        <v>17</v>
      </c>
      <c r="U29" s="775">
        <f t="shared" si="13"/>
        <v>100</v>
      </c>
      <c r="V29" s="774" t="s">
        <v>17</v>
      </c>
      <c r="W29" s="775">
        <f t="shared" si="14"/>
        <v>100</v>
      </c>
      <c r="X29" s="2997"/>
      <c r="Y29" s="3262"/>
      <c r="Z29" s="2998">
        <f t="shared" si="15"/>
        <v>111</v>
      </c>
      <c r="AA29" s="3001">
        <f t="shared" si="3"/>
        <v>1</v>
      </c>
      <c r="AB29" s="3001">
        <f t="shared" si="4"/>
        <v>1</v>
      </c>
      <c r="AC29" s="300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9"/>
      <c r="Q30" s="3000">
        <f t="shared" si="11"/>
        <v>111</v>
      </c>
      <c r="R30" s="774" t="s">
        <v>17</v>
      </c>
      <c r="S30" s="775">
        <f t="shared" si="12"/>
        <v>100</v>
      </c>
      <c r="T30" s="774" t="s">
        <v>17</v>
      </c>
      <c r="U30" s="775">
        <f t="shared" si="13"/>
        <v>100</v>
      </c>
      <c r="V30" s="774" t="s">
        <v>17</v>
      </c>
      <c r="W30" s="775">
        <f t="shared" si="14"/>
        <v>100</v>
      </c>
      <c r="X30" s="2997"/>
      <c r="Y30" s="3262"/>
      <c r="Z30" s="2998">
        <f t="shared" si="15"/>
        <v>111</v>
      </c>
      <c r="AA30" s="3001">
        <f t="shared" si="3"/>
        <v>1</v>
      </c>
      <c r="AB30" s="3001">
        <f t="shared" si="4"/>
        <v>1</v>
      </c>
      <c r="AC30" s="300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9"/>
      <c r="Q31" s="3000">
        <f t="shared" si="11"/>
        <v>111</v>
      </c>
      <c r="R31" s="774" t="s">
        <v>17</v>
      </c>
      <c r="S31" s="775">
        <f t="shared" si="12"/>
        <v>100</v>
      </c>
      <c r="T31" s="774" t="s">
        <v>17</v>
      </c>
      <c r="U31" s="775">
        <f t="shared" si="13"/>
        <v>100</v>
      </c>
      <c r="V31" s="774" t="s">
        <v>17</v>
      </c>
      <c r="W31" s="775">
        <f t="shared" si="14"/>
        <v>100</v>
      </c>
      <c r="X31" s="2997"/>
      <c r="Y31" s="3262"/>
      <c r="Z31" s="2998">
        <f t="shared" si="15"/>
        <v>111</v>
      </c>
      <c r="AA31" s="3001">
        <f t="shared" si="3"/>
        <v>1</v>
      </c>
      <c r="AB31" s="3001">
        <f t="shared" si="4"/>
        <v>1</v>
      </c>
      <c r="AC31" s="3001">
        <f t="shared" si="5"/>
        <v>1</v>
      </c>
    </row>
    <row r="32" spans="1:29" ht="15">
      <c r="A32" s="440" t="s">
        <v>2559</v>
      </c>
      <c r="B32" s="71" t="s">
        <v>2656</v>
      </c>
      <c r="C32" s="2614" t="s">
        <v>3104</v>
      </c>
      <c r="D32" s="467">
        <v>100</v>
      </c>
      <c r="E32" s="2614" t="s">
        <v>3104</v>
      </c>
      <c r="F32" s="461">
        <f>SUMIF(100:100,E32,101:101)-SUMIF(100:100,C32,101:101)+100</f>
        <v>100</v>
      </c>
      <c r="G32" s="2614" t="s">
        <v>3104</v>
      </c>
      <c r="H32" s="435">
        <f>SUMIF(100:100,G32,101:101)-SUMIF(100:100,C32,101:101)+100</f>
        <v>100</v>
      </c>
      <c r="I32" s="2614" t="s">
        <v>3104</v>
      </c>
      <c r="J32" s="467">
        <f>SUMIF(100:100,I32,101:101)-SUMIF(100:100,C32,101:101)+100</f>
        <v>100</v>
      </c>
      <c r="K32" s="612">
        <v>1</v>
      </c>
      <c r="L32" s="1139"/>
      <c r="M32" s="1130"/>
      <c r="N32" s="1130"/>
      <c r="O32" s="1130"/>
      <c r="P32" s="3263" t="s">
        <v>2561</v>
      </c>
      <c r="Q32" s="3000" t="str">
        <f t="shared" si="11"/>
        <v>商业类型</v>
      </c>
      <c r="R32" s="774" t="s">
        <v>17</v>
      </c>
      <c r="S32" s="775">
        <f t="shared" si="12"/>
        <v>100</v>
      </c>
      <c r="T32" s="774" t="s">
        <v>17</v>
      </c>
      <c r="U32" s="775">
        <f t="shared" si="13"/>
        <v>100</v>
      </c>
      <c r="V32" s="774" t="s">
        <v>17</v>
      </c>
      <c r="W32" s="775">
        <f t="shared" si="14"/>
        <v>100</v>
      </c>
      <c r="X32" s="2997"/>
      <c r="Y32" s="3266" t="s">
        <v>2561</v>
      </c>
      <c r="Z32" s="2998" t="str">
        <f t="shared" si="15"/>
        <v>商业类型</v>
      </c>
      <c r="AA32" s="3001">
        <f t="shared" si="3"/>
        <v>1</v>
      </c>
      <c r="AB32" s="3001">
        <f t="shared" si="4"/>
        <v>1</v>
      </c>
      <c r="AC32" s="3001">
        <f t="shared" si="5"/>
        <v>1</v>
      </c>
    </row>
    <row r="33" spans="1:29" s="471" customFormat="1" ht="15">
      <c r="A33" s="468"/>
      <c r="B33" s="2996" t="s">
        <v>2562</v>
      </c>
      <c r="C33" s="469">
        <f>'数据-汇总表'!F19</f>
        <v>631.32000000000005</v>
      </c>
      <c r="D33" s="136">
        <v>100</v>
      </c>
      <c r="E33" s="430">
        <v>175</v>
      </c>
      <c r="F33" s="425">
        <f>LOOKUP(E33,103:103,104:104)-LOOKUP(C33,103:103,104:104)+100</f>
        <v>102</v>
      </c>
      <c r="G33" s="429">
        <v>265</v>
      </c>
      <c r="H33" s="136">
        <f>LOOKUP(G33,103:103,104:104)-LOOKUP(C33,103:103,104:104)+100</f>
        <v>102</v>
      </c>
      <c r="I33" s="429">
        <v>265</v>
      </c>
      <c r="J33" s="136">
        <f>LOOKUP(I33,103:103,104:104)-LOOKUP(C33,103:103,104:104)+100</f>
        <v>102</v>
      </c>
      <c r="K33" s="613"/>
      <c r="L33" s="1137"/>
      <c r="M33" s="1140"/>
      <c r="N33" s="1140"/>
      <c r="O33" s="1140"/>
      <c r="P33" s="3264"/>
      <c r="Q33" s="776" t="str">
        <f t="shared" si="11"/>
        <v>项目建筑规模</v>
      </c>
      <c r="R33" s="777" t="s">
        <v>17</v>
      </c>
      <c r="S33" s="778">
        <f t="shared" si="12"/>
        <v>102</v>
      </c>
      <c r="T33" s="777" t="s">
        <v>17</v>
      </c>
      <c r="U33" s="778">
        <f t="shared" si="13"/>
        <v>102</v>
      </c>
      <c r="V33" s="777" t="s">
        <v>17</v>
      </c>
      <c r="W33" s="778">
        <f t="shared" si="14"/>
        <v>102</v>
      </c>
      <c r="X33" s="779"/>
      <c r="Y33" s="3266"/>
      <c r="Z33" s="780" t="str">
        <f t="shared" si="15"/>
        <v>项目建筑规模</v>
      </c>
      <c r="AA33" s="3001">
        <f t="shared" si="3"/>
        <v>0.98039215686274506</v>
      </c>
      <c r="AB33" s="3001">
        <f t="shared" si="4"/>
        <v>0.98039215686274506</v>
      </c>
      <c r="AC33" s="3001">
        <f t="shared" si="5"/>
        <v>0.98039215686274506</v>
      </c>
    </row>
    <row r="34" spans="1:29" ht="15">
      <c r="A34" s="472"/>
      <c r="B34" s="2996" t="s">
        <v>2563</v>
      </c>
      <c r="C34" s="2616" t="s">
        <v>3111</v>
      </c>
      <c r="D34" s="435">
        <v>100</v>
      </c>
      <c r="E34" s="2616" t="s">
        <v>3111</v>
      </c>
      <c r="F34" s="461">
        <f>SUMIF(105:105,E34,106:106)-SUMIF(105:105,C34,106:106)+100</f>
        <v>100</v>
      </c>
      <c r="G34" s="2616" t="s">
        <v>3111</v>
      </c>
      <c r="H34" s="435">
        <f>SUMIF(105:105,G34,106:106)-SUMIF(105:105,C34,106:106)+100</f>
        <v>100</v>
      </c>
      <c r="I34" s="2616" t="s">
        <v>3111</v>
      </c>
      <c r="J34" s="435">
        <f>SUMIF(105:105,I34,106:106)-SUMIF(105:105,C34,106:106)+100</f>
        <v>100</v>
      </c>
      <c r="K34" s="612">
        <v>1</v>
      </c>
      <c r="L34" s="1139"/>
      <c r="M34" s="1130"/>
      <c r="N34" s="1130"/>
      <c r="O34" s="1130"/>
      <c r="P34" s="3264"/>
      <c r="Q34" s="3000" t="str">
        <f t="shared" si="11"/>
        <v>建筑结构</v>
      </c>
      <c r="R34" s="774" t="s">
        <v>17</v>
      </c>
      <c r="S34" s="775">
        <f t="shared" si="12"/>
        <v>100</v>
      </c>
      <c r="T34" s="774" t="s">
        <v>17</v>
      </c>
      <c r="U34" s="775">
        <f t="shared" si="13"/>
        <v>100</v>
      </c>
      <c r="V34" s="774" t="s">
        <v>17</v>
      </c>
      <c r="W34" s="775">
        <f t="shared" si="14"/>
        <v>100</v>
      </c>
      <c r="X34" s="2997"/>
      <c r="Y34" s="3266"/>
      <c r="Z34" s="2998" t="str">
        <f t="shared" si="15"/>
        <v>建筑结构</v>
      </c>
      <c r="AA34" s="3001">
        <f t="shared" si="3"/>
        <v>1</v>
      </c>
      <c r="AB34" s="3001">
        <f t="shared" si="4"/>
        <v>1</v>
      </c>
      <c r="AC34" s="3001">
        <f t="shared" si="5"/>
        <v>1</v>
      </c>
    </row>
    <row r="35" spans="1:29" ht="15">
      <c r="A35" s="472"/>
      <c r="B35" s="2996" t="s">
        <v>2657</v>
      </c>
      <c r="C35" s="2610" t="s">
        <v>3140</v>
      </c>
      <c r="D35" s="435">
        <v>100</v>
      </c>
      <c r="E35" s="2610" t="s">
        <v>3140</v>
      </c>
      <c r="F35" s="461">
        <f>SUMIF(107:107,E35,108:108)-SUMIF(107:107,C35,108:108)+100</f>
        <v>100</v>
      </c>
      <c r="G35" s="2610" t="s">
        <v>3140</v>
      </c>
      <c r="H35" s="435">
        <f>SUMIF(107:107,G35,108:108)-SUMIF(107:107,C35,108:108)+100</f>
        <v>100</v>
      </c>
      <c r="I35" s="2610" t="s">
        <v>3140</v>
      </c>
      <c r="J35" s="435">
        <f>SUMIF(107:107,I35,108:108)-SUMIF(107:107,C35,108:108)+100</f>
        <v>100</v>
      </c>
      <c r="K35" s="612">
        <v>1</v>
      </c>
      <c r="L35" s="1139"/>
      <c r="M35" s="1130"/>
      <c r="N35" s="1130"/>
      <c r="O35" s="1130"/>
      <c r="P35" s="3264"/>
      <c r="Q35" s="3000" t="str">
        <f t="shared" si="11"/>
        <v>公共部分装修</v>
      </c>
      <c r="R35" s="774" t="s">
        <v>17</v>
      </c>
      <c r="S35" s="775">
        <f t="shared" si="12"/>
        <v>100</v>
      </c>
      <c r="T35" s="774" t="s">
        <v>17</v>
      </c>
      <c r="U35" s="775">
        <f t="shared" si="13"/>
        <v>100</v>
      </c>
      <c r="V35" s="774" t="s">
        <v>17</v>
      </c>
      <c r="W35" s="775">
        <f t="shared" si="14"/>
        <v>100</v>
      </c>
      <c r="X35" s="2997"/>
      <c r="Y35" s="3266"/>
      <c r="Z35" s="2998" t="str">
        <f t="shared" si="15"/>
        <v>公共部分装修</v>
      </c>
      <c r="AA35" s="3001">
        <f t="shared" si="3"/>
        <v>1</v>
      </c>
      <c r="AB35" s="3001">
        <f t="shared" si="4"/>
        <v>1</v>
      </c>
      <c r="AC35" s="3001">
        <f t="shared" si="5"/>
        <v>1</v>
      </c>
    </row>
    <row r="36" spans="1:29" ht="15">
      <c r="A36" s="472"/>
      <c r="B36" s="2996"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264"/>
      <c r="Q36" s="3000" t="str">
        <f t="shared" si="11"/>
        <v>成新度</v>
      </c>
      <c r="R36" s="774" t="s">
        <v>17</v>
      </c>
      <c r="S36" s="775">
        <f t="shared" si="12"/>
        <v>100</v>
      </c>
      <c r="T36" s="774" t="s">
        <v>17</v>
      </c>
      <c r="U36" s="775">
        <f t="shared" si="13"/>
        <v>100</v>
      </c>
      <c r="V36" s="774" t="s">
        <v>17</v>
      </c>
      <c r="W36" s="775">
        <f t="shared" si="14"/>
        <v>100</v>
      </c>
      <c r="X36" s="2997"/>
      <c r="Y36" s="3266"/>
      <c r="Z36" s="2998" t="str">
        <f t="shared" si="15"/>
        <v>成新度</v>
      </c>
      <c r="AA36" s="3001">
        <f t="shared" si="3"/>
        <v>1</v>
      </c>
      <c r="AB36" s="3001">
        <f t="shared" si="4"/>
        <v>1</v>
      </c>
      <c r="AC36" s="3001">
        <f t="shared" si="5"/>
        <v>1</v>
      </c>
    </row>
    <row r="37" spans="1:29" s="117" customFormat="1" ht="15">
      <c r="A37" s="473"/>
      <c r="B37" s="2996" t="s">
        <v>2659</v>
      </c>
      <c r="C37" s="2610" t="s">
        <v>3163</v>
      </c>
      <c r="D37" s="136">
        <v>100</v>
      </c>
      <c r="E37" s="2610" t="s">
        <v>3163</v>
      </c>
      <c r="F37" s="461">
        <f>SUMIF(112:112,E37,113:113)-SUMIF(112:112,C37,113:113)+100</f>
        <v>100</v>
      </c>
      <c r="G37" s="2610" t="s">
        <v>3163</v>
      </c>
      <c r="H37" s="435">
        <f>SUMIF(112:112,G37,113:113)-SUMIF(112:112,C37,113:113)+100</f>
        <v>100</v>
      </c>
      <c r="I37" s="2610" t="s">
        <v>3163</v>
      </c>
      <c r="J37" s="435">
        <f>SUMIF(112:112,I37,113:113)-SUMIF(112:112,C37,113:113)+100</f>
        <v>100</v>
      </c>
      <c r="K37" s="612">
        <v>1</v>
      </c>
      <c r="L37" s="1131"/>
      <c r="M37" s="1132"/>
      <c r="N37" s="1132"/>
      <c r="O37" s="1132"/>
      <c r="P37" s="3264"/>
      <c r="Q37" s="2994" t="str">
        <f t="shared" si="11"/>
        <v>市政基础设施</v>
      </c>
      <c r="R37" s="770" t="s">
        <v>17</v>
      </c>
      <c r="S37" s="771">
        <f t="shared" si="12"/>
        <v>100</v>
      </c>
      <c r="T37" s="770" t="s">
        <v>17</v>
      </c>
      <c r="U37" s="771">
        <f t="shared" si="13"/>
        <v>100</v>
      </c>
      <c r="V37" s="770" t="s">
        <v>17</v>
      </c>
      <c r="W37" s="771">
        <f t="shared" si="14"/>
        <v>100</v>
      </c>
      <c r="X37" s="772"/>
      <c r="Y37" s="3266"/>
      <c r="Z37" s="2995" t="str">
        <f t="shared" si="15"/>
        <v>市政基础设施</v>
      </c>
      <c r="AA37" s="773">
        <f t="shared" si="3"/>
        <v>1</v>
      </c>
      <c r="AB37" s="773">
        <f t="shared" si="4"/>
        <v>1</v>
      </c>
      <c r="AC37" s="773">
        <f t="shared" si="5"/>
        <v>1</v>
      </c>
    </row>
    <row r="38" spans="1:29" ht="15">
      <c r="A38" s="472"/>
      <c r="B38" s="2996"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v>1</v>
      </c>
      <c r="L38" s="1139"/>
      <c r="M38" s="1130"/>
      <c r="N38" s="1130"/>
      <c r="O38" s="1130"/>
      <c r="P38" s="3264" t="s">
        <v>2561</v>
      </c>
      <c r="Q38" s="3000" t="str">
        <f t="shared" si="11"/>
        <v>业态</v>
      </c>
      <c r="R38" s="774" t="s">
        <v>17</v>
      </c>
      <c r="S38" s="775">
        <f t="shared" si="12"/>
        <v>100</v>
      </c>
      <c r="T38" s="774" t="s">
        <v>17</v>
      </c>
      <c r="U38" s="775">
        <f t="shared" si="13"/>
        <v>100</v>
      </c>
      <c r="V38" s="774" t="s">
        <v>17</v>
      </c>
      <c r="W38" s="775">
        <f t="shared" si="14"/>
        <v>100</v>
      </c>
      <c r="X38" s="2997"/>
      <c r="Y38" s="3266" t="s">
        <v>2561</v>
      </c>
      <c r="Z38" s="2998" t="str">
        <f t="shared" si="15"/>
        <v>业态</v>
      </c>
      <c r="AA38" s="3001">
        <f t="shared" si="3"/>
        <v>1</v>
      </c>
      <c r="AB38" s="3001">
        <f t="shared" si="4"/>
        <v>1</v>
      </c>
      <c r="AC38" s="3001">
        <f t="shared" si="5"/>
        <v>1</v>
      </c>
    </row>
    <row r="39" spans="1:29" ht="15">
      <c r="A39" s="472"/>
      <c r="B39" s="2996" t="s">
        <v>2661</v>
      </c>
      <c r="C39" s="2610" t="s">
        <v>3151</v>
      </c>
      <c r="D39" s="435">
        <v>100</v>
      </c>
      <c r="E39" s="2610" t="s">
        <v>3151</v>
      </c>
      <c r="F39" s="461">
        <f>SUMIF(116:116,E39,117:117)-SUMIF(116:116,C39,117:117)+100</f>
        <v>100</v>
      </c>
      <c r="G39" s="2610" t="s">
        <v>3151</v>
      </c>
      <c r="H39" s="435">
        <f>SUMIF(116:116,G39,117:117)-SUMIF(116:116,C39,117:117)+100</f>
        <v>100</v>
      </c>
      <c r="I39" s="2610" t="s">
        <v>3151</v>
      </c>
      <c r="J39" s="435">
        <f>SUMIF(116:116,I39,117:117)-SUMIF(116:116,C39,117:117)+100</f>
        <v>100</v>
      </c>
      <c r="K39" s="612">
        <v>1</v>
      </c>
      <c r="L39" s="1139"/>
      <c r="M39" s="1130"/>
      <c r="N39" s="1130"/>
      <c r="O39" s="1130"/>
      <c r="P39" s="3264"/>
      <c r="Q39" s="3000" t="str">
        <f t="shared" si="11"/>
        <v>层高</v>
      </c>
      <c r="R39" s="774" t="s">
        <v>17</v>
      </c>
      <c r="S39" s="775">
        <f t="shared" si="12"/>
        <v>100</v>
      </c>
      <c r="T39" s="774" t="s">
        <v>17</v>
      </c>
      <c r="U39" s="775">
        <f t="shared" si="13"/>
        <v>100</v>
      </c>
      <c r="V39" s="774" t="s">
        <v>17</v>
      </c>
      <c r="W39" s="775">
        <f t="shared" si="14"/>
        <v>100</v>
      </c>
      <c r="X39" s="2997"/>
      <c r="Y39" s="3266"/>
      <c r="Z39" s="2998" t="str">
        <f t="shared" si="15"/>
        <v>层高</v>
      </c>
      <c r="AA39" s="3001">
        <f t="shared" si="3"/>
        <v>1</v>
      </c>
      <c r="AB39" s="3001">
        <f t="shared" si="4"/>
        <v>1</v>
      </c>
      <c r="AC39" s="3001">
        <f t="shared" si="5"/>
        <v>1</v>
      </c>
    </row>
    <row r="40" spans="1:29" ht="15">
      <c r="A40" s="472"/>
      <c r="B40" s="2996"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4"/>
      <c r="Q40" s="3000" t="str">
        <f t="shared" si="11"/>
        <v>单套建筑面积</v>
      </c>
      <c r="R40" s="774" t="s">
        <v>17</v>
      </c>
      <c r="S40" s="775">
        <f t="shared" si="12"/>
        <v>100</v>
      </c>
      <c r="T40" s="774" t="s">
        <v>17</v>
      </c>
      <c r="U40" s="775">
        <f t="shared" si="13"/>
        <v>100</v>
      </c>
      <c r="V40" s="774" t="s">
        <v>17</v>
      </c>
      <c r="W40" s="775">
        <f t="shared" si="14"/>
        <v>100</v>
      </c>
      <c r="X40" s="2997"/>
      <c r="Y40" s="3266"/>
      <c r="Z40" s="2998" t="str">
        <f t="shared" si="15"/>
        <v>单套建筑面积</v>
      </c>
      <c r="AA40" s="3001">
        <f t="shared" si="3"/>
        <v>1</v>
      </c>
      <c r="AB40" s="3001">
        <f t="shared" si="4"/>
        <v>1</v>
      </c>
      <c r="AC40" s="3001">
        <f t="shared" si="5"/>
        <v>1</v>
      </c>
    </row>
    <row r="41" spans="1:29" s="471" customFormat="1" ht="15">
      <c r="A41" s="468"/>
      <c r="B41" s="299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264"/>
      <c r="Q41" s="776" t="str">
        <f t="shared" si="11"/>
        <v>进深比</v>
      </c>
      <c r="R41" s="777" t="s">
        <v>17</v>
      </c>
      <c r="S41" s="778">
        <f t="shared" si="12"/>
        <v>100</v>
      </c>
      <c r="T41" s="777" t="s">
        <v>17</v>
      </c>
      <c r="U41" s="778">
        <f t="shared" si="13"/>
        <v>100</v>
      </c>
      <c r="V41" s="777" t="s">
        <v>17</v>
      </c>
      <c r="W41" s="778">
        <f t="shared" si="14"/>
        <v>100</v>
      </c>
      <c r="X41" s="779"/>
      <c r="Y41" s="3266"/>
      <c r="Z41" s="780" t="str">
        <f t="shared" si="15"/>
        <v>进深比</v>
      </c>
      <c r="AA41" s="3001">
        <f t="shared" si="3"/>
        <v>1</v>
      </c>
      <c r="AB41" s="3001">
        <f t="shared" si="4"/>
        <v>1</v>
      </c>
      <c r="AC41" s="3001">
        <f t="shared" si="5"/>
        <v>1</v>
      </c>
    </row>
    <row r="42" spans="1:29" ht="15">
      <c r="A42" s="472"/>
      <c r="B42" s="2996" t="s">
        <v>2664</v>
      </c>
      <c r="C42" s="2610" t="s">
        <v>3130</v>
      </c>
      <c r="D42" s="435">
        <v>100</v>
      </c>
      <c r="E42" s="2610" t="s">
        <v>3130</v>
      </c>
      <c r="F42" s="461">
        <f>SUMIF(122:122,E42,123:123)-SUMIF(122:122,C42,123:123)+100</f>
        <v>100</v>
      </c>
      <c r="G42" s="2610" t="s">
        <v>3130</v>
      </c>
      <c r="H42" s="435">
        <f>SUMIF(122:122,G42,123:123)-SUMIF(122:122,C42,123:123)+100</f>
        <v>100</v>
      </c>
      <c r="I42" s="2610" t="s">
        <v>3130</v>
      </c>
      <c r="J42" s="435">
        <f>SUMIF(122:122,I42,123:123)-SUMIF(122:122,C42,123:123)+100</f>
        <v>100</v>
      </c>
      <c r="K42" s="612">
        <v>1</v>
      </c>
      <c r="L42" s="1139"/>
      <c r="M42" s="1130"/>
      <c r="N42" s="1130"/>
      <c r="O42" s="1130"/>
      <c r="P42" s="3264"/>
      <c r="Q42" s="3000" t="str">
        <f t="shared" si="11"/>
        <v>内部装修</v>
      </c>
      <c r="R42" s="774" t="s">
        <v>17</v>
      </c>
      <c r="S42" s="775">
        <f t="shared" si="12"/>
        <v>100</v>
      </c>
      <c r="T42" s="774" t="s">
        <v>17</v>
      </c>
      <c r="U42" s="775">
        <f t="shared" si="13"/>
        <v>100</v>
      </c>
      <c r="V42" s="774" t="s">
        <v>17</v>
      </c>
      <c r="W42" s="775">
        <f t="shared" si="14"/>
        <v>100</v>
      </c>
      <c r="X42" s="2997"/>
      <c r="Y42" s="3266"/>
      <c r="Z42" s="2998" t="str">
        <f t="shared" si="15"/>
        <v>内部装修</v>
      </c>
      <c r="AA42" s="3001">
        <f t="shared" si="3"/>
        <v>1</v>
      </c>
      <c r="AB42" s="3001">
        <f t="shared" si="4"/>
        <v>1</v>
      </c>
      <c r="AC42" s="3001">
        <f t="shared" si="5"/>
        <v>1</v>
      </c>
    </row>
    <row r="43" spans="1:29" ht="15">
      <c r="A43" s="472"/>
      <c r="B43" s="2996" t="s">
        <v>2572</v>
      </c>
      <c r="C43" s="2610" t="s">
        <v>3124</v>
      </c>
      <c r="D43" s="435">
        <v>100</v>
      </c>
      <c r="E43" s="2610" t="s">
        <v>3124</v>
      </c>
      <c r="F43" s="461">
        <f>SUMIF(124:124,E43,125:125)-SUMIF(124:124,C43,125:125)+100</f>
        <v>100</v>
      </c>
      <c r="G43" s="2610" t="s">
        <v>3124</v>
      </c>
      <c r="H43" s="435">
        <f>SUMIF(124:124,G43,125:125)-SUMIF(124:124,C43,125:125)+100</f>
        <v>100</v>
      </c>
      <c r="I43" s="2610" t="s">
        <v>3124</v>
      </c>
      <c r="J43" s="435">
        <f>SUMIF(124:124,I43,125:125)-SUMIF(124:124,C43,125:125)+100</f>
        <v>100</v>
      </c>
      <c r="K43" s="612">
        <v>1</v>
      </c>
      <c r="L43" s="1139"/>
      <c r="M43" s="1130"/>
      <c r="N43" s="1130"/>
      <c r="O43" s="1130"/>
      <c r="P43" s="3264"/>
      <c r="Q43" s="3000" t="str">
        <f t="shared" si="11"/>
        <v>内部装修维护情况</v>
      </c>
      <c r="R43" s="774" t="s">
        <v>17</v>
      </c>
      <c r="S43" s="775">
        <f t="shared" si="12"/>
        <v>100</v>
      </c>
      <c r="T43" s="774" t="s">
        <v>17</v>
      </c>
      <c r="U43" s="775">
        <f t="shared" si="13"/>
        <v>100</v>
      </c>
      <c r="V43" s="774" t="s">
        <v>17</v>
      </c>
      <c r="W43" s="775">
        <f t="shared" si="14"/>
        <v>100</v>
      </c>
      <c r="X43" s="2997"/>
      <c r="Y43" s="3266"/>
      <c r="Z43" s="2998" t="str">
        <f t="shared" si="15"/>
        <v>内部装修维护情况</v>
      </c>
      <c r="AA43" s="3001">
        <f t="shared" si="3"/>
        <v>1</v>
      </c>
      <c r="AB43" s="3001">
        <f t="shared" si="4"/>
        <v>1</v>
      </c>
      <c r="AC43" s="300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4"/>
      <c r="Q44" s="2994">
        <f t="shared" si="11"/>
        <v>111</v>
      </c>
      <c r="R44" s="770" t="s">
        <v>17</v>
      </c>
      <c r="S44" s="771">
        <f t="shared" si="12"/>
        <v>100</v>
      </c>
      <c r="T44" s="770" t="s">
        <v>17</v>
      </c>
      <c r="U44" s="771">
        <f t="shared" si="13"/>
        <v>100</v>
      </c>
      <c r="V44" s="770" t="s">
        <v>17</v>
      </c>
      <c r="W44" s="771">
        <f t="shared" si="14"/>
        <v>100</v>
      </c>
      <c r="X44" s="772"/>
      <c r="Y44" s="3266"/>
      <c r="Z44" s="299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4"/>
      <c r="Q45" s="3000">
        <f t="shared" si="11"/>
        <v>111</v>
      </c>
      <c r="R45" s="774" t="s">
        <v>17</v>
      </c>
      <c r="S45" s="775">
        <f t="shared" si="12"/>
        <v>100</v>
      </c>
      <c r="T45" s="774" t="s">
        <v>17</v>
      </c>
      <c r="U45" s="775">
        <f t="shared" si="13"/>
        <v>100</v>
      </c>
      <c r="V45" s="774" t="s">
        <v>17</v>
      </c>
      <c r="W45" s="775">
        <f t="shared" si="14"/>
        <v>100</v>
      </c>
      <c r="X45" s="2997"/>
      <c r="Y45" s="3266"/>
      <c r="Z45" s="2998">
        <f t="shared" si="15"/>
        <v>111</v>
      </c>
      <c r="AA45" s="3001">
        <f t="shared" si="3"/>
        <v>1</v>
      </c>
      <c r="AB45" s="3001">
        <f t="shared" si="4"/>
        <v>1</v>
      </c>
      <c r="AC45" s="300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5"/>
      <c r="Q46" s="3000">
        <f t="shared" si="11"/>
        <v>111</v>
      </c>
      <c r="R46" s="774" t="s">
        <v>17</v>
      </c>
      <c r="S46" s="775">
        <f t="shared" si="12"/>
        <v>100</v>
      </c>
      <c r="T46" s="774" t="s">
        <v>17</v>
      </c>
      <c r="U46" s="775">
        <f t="shared" si="13"/>
        <v>100</v>
      </c>
      <c r="V46" s="774" t="s">
        <v>17</v>
      </c>
      <c r="W46" s="775">
        <f t="shared" si="14"/>
        <v>100</v>
      </c>
      <c r="X46" s="2997"/>
      <c r="Y46" s="3267"/>
      <c r="Z46" s="2998">
        <f t="shared" si="15"/>
        <v>111</v>
      </c>
      <c r="AA46" s="3001">
        <f t="shared" si="3"/>
        <v>1</v>
      </c>
      <c r="AB46" s="3001">
        <f t="shared" si="4"/>
        <v>1</v>
      </c>
      <c r="AC46" s="3001">
        <f t="shared" si="5"/>
        <v>1</v>
      </c>
    </row>
    <row r="47" spans="1:29" ht="15">
      <c r="A47" s="479" t="s">
        <v>2573</v>
      </c>
      <c r="B47" s="480"/>
      <c r="C47" s="1406" t="s">
        <v>1</v>
      </c>
      <c r="D47" s="1407"/>
      <c r="E47" s="1408">
        <v>10</v>
      </c>
      <c r="F47" s="1409"/>
      <c r="G47" s="1410">
        <v>8.5</v>
      </c>
      <c r="H47" s="1411"/>
      <c r="I47" s="1408">
        <v>9</v>
      </c>
      <c r="J47" s="1411"/>
      <c r="K47" s="783"/>
      <c r="L47" s="1142"/>
      <c r="M47" s="1143"/>
      <c r="N47" s="1130"/>
      <c r="O47" s="1143"/>
      <c r="P47" s="3259" t="str">
        <f>A47</f>
        <v>成交单价（元/平方米）</v>
      </c>
      <c r="Q47" s="3259"/>
      <c r="R47" s="3254">
        <f>E47</f>
        <v>10</v>
      </c>
      <c r="S47" s="3254"/>
      <c r="T47" s="3254">
        <f>G47</f>
        <v>8.5</v>
      </c>
      <c r="U47" s="3254"/>
      <c r="V47" s="3254">
        <f>I47</f>
        <v>9</v>
      </c>
      <c r="W47" s="3254"/>
      <c r="X47" s="759"/>
      <c r="Y47" s="781"/>
      <c r="Z47" s="759"/>
      <c r="AA47" s="759"/>
      <c r="AB47" s="759"/>
      <c r="AC47" s="759"/>
    </row>
    <row r="48" spans="1:29" ht="15.75" thickBot="1">
      <c r="A48" s="486" t="s">
        <v>2574</v>
      </c>
      <c r="B48" s="487"/>
      <c r="C48" s="1412">
        <f>R49</f>
        <v>9.1</v>
      </c>
      <c r="D48" s="1413"/>
      <c r="E48" s="1414">
        <f>R48</f>
        <v>9.9</v>
      </c>
      <c r="F48" s="1414"/>
      <c r="G48" s="1412">
        <f>T48</f>
        <v>8.4</v>
      </c>
      <c r="H48" s="1413"/>
      <c r="I48" s="1414">
        <f>V48</f>
        <v>8.9</v>
      </c>
      <c r="J48" s="1413"/>
      <c r="K48" s="784"/>
      <c r="L48" s="1142"/>
      <c r="M48" s="1143">
        <v>8.5</v>
      </c>
      <c r="N48" s="1130"/>
      <c r="O48" s="1143"/>
      <c r="P48" s="3259" t="str">
        <f>A48</f>
        <v>比较价值（元/平方米）</v>
      </c>
      <c r="Q48" s="3259"/>
      <c r="R48" s="3260">
        <f>IF(F1="售价",ROUND(PRODUCT(R47,AA7:AA46),0),ROUND(PRODUCT(R47,AA7:AA46),1))</f>
        <v>9.9</v>
      </c>
      <c r="S48" s="3260"/>
      <c r="T48" s="3260">
        <f>IF(F1="售价",ROUND(PRODUCT(T47,AB7:AB46),0),ROUND(PRODUCT(T47,AB7:AB46),1))</f>
        <v>8.4</v>
      </c>
      <c r="U48" s="3260"/>
      <c r="V48" s="3260">
        <f>IF(F1="售价",ROUND(PRODUCT(V47,AC7:AC46),0),ROUND(PRODUCT(V47,AC7:AC46),1))</f>
        <v>8.9</v>
      </c>
      <c r="W48" s="3260"/>
      <c r="X48" s="759"/>
      <c r="Y48" s="759"/>
      <c r="Z48" s="759"/>
      <c r="AA48" s="759"/>
      <c r="AB48" s="759"/>
      <c r="AC48" s="759"/>
    </row>
    <row r="49" spans="1:29" ht="15.75" thickBot="1">
      <c r="A49" s="492" t="s">
        <v>2575</v>
      </c>
      <c r="B49" s="493"/>
      <c r="C49" s="1416">
        <f>R49</f>
        <v>9.1</v>
      </c>
      <c r="D49" s="1416"/>
      <c r="E49" s="1416"/>
      <c r="F49" s="1416"/>
      <c r="G49" s="1416"/>
      <c r="H49" s="1416"/>
      <c r="I49" s="1416"/>
      <c r="J49" s="1416"/>
      <c r="K49" s="785"/>
      <c r="L49" s="1142"/>
      <c r="M49" s="1143">
        <v>10</v>
      </c>
      <c r="N49" s="1130"/>
      <c r="O49" s="1143"/>
      <c r="P49" s="3256" t="str">
        <f>A49</f>
        <v>估价对象XX用房的比较价值（楼面单价，元/平方米）</v>
      </c>
      <c r="Q49" s="3257"/>
      <c r="R49" s="3258">
        <f>IF(F1="售价",ROUND(AVERAGE(R48:V48),0),ROUND(AVERAGE(R48:V48),1))</f>
        <v>9.1</v>
      </c>
      <c r="S49" s="3258"/>
      <c r="T49" s="3258"/>
      <c r="U49" s="3258"/>
      <c r="V49" s="3258"/>
      <c r="W49" s="3258"/>
      <c r="X49" s="759"/>
      <c r="Y49" s="759"/>
      <c r="Z49" s="759"/>
      <c r="AA49" s="759"/>
      <c r="AB49" s="759"/>
      <c r="AC49" s="759"/>
    </row>
    <row r="50" spans="1:29">
      <c r="A50" s="1143"/>
      <c r="B50" s="1143"/>
      <c r="C50" s="1143">
        <v>0.97</v>
      </c>
      <c r="D50" s="1143"/>
      <c r="E50" s="1143"/>
      <c r="F50" s="1143"/>
      <c r="G50" s="1146"/>
      <c r="H50" s="1143"/>
      <c r="I50" s="1143"/>
      <c r="J50" s="1143"/>
      <c r="K50" s="1104"/>
      <c r="L50" s="1105"/>
      <c r="M50" s="1143">
        <v>10</v>
      </c>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2576</v>
      </c>
      <c r="D52" s="498"/>
      <c r="E52" s="499">
        <f>IF(E47&lt;E48,E48/E47-1,E47/E48-1)</f>
        <v>1.0101010101010166E-2</v>
      </c>
      <c r="F52" s="500" t="str">
        <f>IF(OR(E52&gt;=0.3,E52&lt;=-0.3),"超过30%","")</f>
        <v/>
      </c>
      <c r="G52" s="499">
        <f>IF(G47&lt;G48,G48/G47-1,G47/G48-1)</f>
        <v>1.1904761904761862E-2</v>
      </c>
      <c r="H52" s="500" t="str">
        <f>IF(OR(G52&gt;=0.3,G52&lt;=-0.3),"超过30%","")</f>
        <v/>
      </c>
      <c r="I52" s="499">
        <f>IF(I47&lt;I48,I48/I47-1,I47/I48-1)</f>
        <v>1.1235955056179803E-2</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2577</v>
      </c>
      <c r="D53" s="501"/>
      <c r="E53" s="499">
        <f>IF(E48&lt;G48,G48/E48-1,E48/G48-1)</f>
        <v>0.1785714285714286</v>
      </c>
      <c r="F53" s="500" t="str">
        <f>IF(OR(E53&gt;=0.2,E53&lt;=-0.2),"超过20%","")</f>
        <v/>
      </c>
      <c r="G53" s="499">
        <f>IF(G48&lt;I48,I48/G48-1,G48/I48-1)</f>
        <v>5.9523809523809534E-2</v>
      </c>
      <c r="H53" s="500" t="str">
        <f>IF(OR(G53&gt;=0.2,G53&lt;=-0.2),"超过20%","")</f>
        <v/>
      </c>
      <c r="I53" s="499">
        <f>IF(I48&lt;E48,E48/I48-1,I48/E48-1)</f>
        <v>0.11235955056179781</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2578</v>
      </c>
      <c r="D54" s="501"/>
      <c r="E54" s="499">
        <f>IF(E47&lt;G47,G47/E47-1,E47/G47-1)</f>
        <v>0.17647058823529416</v>
      </c>
      <c r="F54" s="500" t="str">
        <f>IF(OR(E54&gt;=0.3,E54&lt;=-0.3),"超过30%","")</f>
        <v/>
      </c>
      <c r="G54" s="499">
        <f>IF(G47&lt;I47,I47/G47-1,G47/I47-1)</f>
        <v>5.8823529411764719E-2</v>
      </c>
      <c r="H54" s="500" t="str">
        <f>IF(OR(G54&gt;=0.3,G54&lt;=-0.3),"超过30%","")</f>
        <v/>
      </c>
      <c r="I54" s="499">
        <f>IF(I47&lt;E47,E47/I47-1,I47/E47-1)</f>
        <v>0.11111111111111116</v>
      </c>
      <c r="J54" s="500" t="str">
        <f>IF(OR(I54&gt;=0.3,I54&lt;=-0.3),"超过30%","")</f>
        <v/>
      </c>
      <c r="K54" s="1147"/>
      <c r="L54" s="1148"/>
      <c r="M54" s="1144"/>
      <c r="N54" s="1144"/>
      <c r="O54" s="1144"/>
      <c r="P54" s="2663"/>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3"/>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2579</v>
      </c>
      <c r="B57" s="759"/>
      <c r="C57" s="764"/>
      <c r="D57" s="764"/>
      <c r="E57" s="764"/>
      <c r="F57" s="765"/>
      <c r="G57" s="765"/>
      <c r="H57" s="764"/>
      <c r="I57" s="764"/>
      <c r="J57" s="764"/>
      <c r="K57" s="766"/>
      <c r="L57" s="1160"/>
      <c r="M57" s="1158"/>
      <c r="N57" s="1158"/>
      <c r="O57" s="1158"/>
      <c r="P57" s="2664"/>
      <c r="Q57" s="2665"/>
      <c r="R57" s="759"/>
      <c r="S57" s="759"/>
      <c r="T57" s="759"/>
      <c r="U57" s="759"/>
      <c r="V57" s="759"/>
      <c r="W57" s="759"/>
      <c r="X57" s="759"/>
      <c r="Y57" s="759"/>
      <c r="Z57" s="759"/>
      <c r="AA57" s="759"/>
      <c r="AB57" s="759"/>
      <c r="AC57" s="759"/>
    </row>
    <row r="58" spans="1:29" s="508" customFormat="1" ht="15">
      <c r="A58" s="505" t="s">
        <v>2544</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2583</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2584</v>
      </c>
      <c r="B63" s="528" t="s">
        <v>2550</v>
      </c>
      <c r="C63" s="529" t="str">
        <f>C9</f>
        <v>商业</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7"/>
      <c r="Q65" s="504"/>
    </row>
    <row r="66" spans="1:17" ht="15.75" thickBot="1">
      <c r="A66" s="534"/>
      <c r="B66" s="543"/>
      <c r="C66" s="544" t="s">
        <v>24</v>
      </c>
      <c r="D66" s="544" t="s">
        <v>24</v>
      </c>
      <c r="E66" s="544" t="s">
        <v>24</v>
      </c>
      <c r="F66" s="544">
        <v>100</v>
      </c>
      <c r="G66" s="544">
        <f>F66-$K10</f>
        <v>100</v>
      </c>
      <c r="H66" s="544">
        <f>G66-$K10</f>
        <v>100</v>
      </c>
      <c r="I66" s="544">
        <f>H66-$K10</f>
        <v>100</v>
      </c>
      <c r="J66" s="544"/>
      <c r="K66" s="544"/>
      <c r="L66" s="544"/>
      <c r="M66" s="545"/>
      <c r="N66" s="1152"/>
      <c r="O66" s="1152"/>
      <c r="P66" s="2627"/>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0</v>
      </c>
      <c r="D68" s="549">
        <v>1</v>
      </c>
      <c r="E68" s="549">
        <v>2</v>
      </c>
      <c r="F68" s="549">
        <v>3</v>
      </c>
      <c r="G68" s="549"/>
      <c r="H68" s="549"/>
      <c r="I68" s="549"/>
      <c r="J68" s="549"/>
      <c r="K68" s="550"/>
      <c r="L68" s="551"/>
      <c r="M68" s="552"/>
      <c r="N68" s="1151"/>
      <c r="O68" s="1151"/>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81"/>
      <c r="N82" s="1152"/>
      <c r="O82" s="1152"/>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2676</v>
      </c>
      <c r="C86" s="3004" t="s">
        <v>3155</v>
      </c>
      <c r="D86" s="3004" t="s">
        <v>3156</v>
      </c>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75" thickTop="1">
      <c r="A88" s="579"/>
      <c r="B88" s="538" t="str">
        <f>B26</f>
        <v>平面位置/可视性</v>
      </c>
      <c r="C88" s="3004" t="s">
        <v>3157</v>
      </c>
      <c r="D88" s="3004" t="s">
        <v>3158</v>
      </c>
      <c r="E88" s="3004" t="s">
        <v>3159</v>
      </c>
      <c r="F88" s="2632"/>
      <c r="G88" s="554"/>
      <c r="H88" s="554"/>
      <c r="I88" s="554"/>
      <c r="J88" s="554"/>
      <c r="K88" s="554"/>
      <c r="L88" s="554"/>
      <c r="M88" s="581"/>
      <c r="N88" s="1150"/>
      <c r="O88" s="1150"/>
      <c r="P88" s="2627"/>
      <c r="Q88" s="504"/>
    </row>
    <row r="89" spans="1:17" s="117" customFormat="1" ht="15.75" thickBot="1">
      <c r="A89" s="579"/>
      <c r="B89" s="543"/>
      <c r="C89" s="560">
        <v>100</v>
      </c>
      <c r="D89" s="536">
        <v>98</v>
      </c>
      <c r="E89" s="536">
        <v>96</v>
      </c>
      <c r="F89" s="536"/>
      <c r="G89" s="536"/>
      <c r="H89" s="536"/>
      <c r="I89" s="536"/>
      <c r="J89" s="536"/>
      <c r="K89" s="536"/>
      <c r="L89" s="536"/>
      <c r="M89" s="536"/>
      <c r="N89" s="1152"/>
      <c r="O89" s="1152"/>
      <c r="P89" s="2627"/>
      <c r="Q89" s="504"/>
    </row>
    <row r="90" spans="1:17" s="471" customFormat="1" ht="15.75" thickTop="1">
      <c r="A90" s="553"/>
      <c r="B90" s="538" t="str">
        <f>B27</f>
        <v>人流量</v>
      </c>
      <c r="C90" s="3004" t="s">
        <v>3160</v>
      </c>
      <c r="D90" s="3004" t="s">
        <v>3158</v>
      </c>
      <c r="E90" s="554"/>
      <c r="F90" s="554"/>
      <c r="G90" s="554"/>
      <c r="H90" s="555"/>
      <c r="I90" s="555"/>
      <c r="J90" s="555"/>
      <c r="K90" s="555"/>
      <c r="L90" s="556"/>
      <c r="M90" s="557"/>
      <c r="N90" s="1153"/>
      <c r="O90" s="1153"/>
      <c r="P90" s="2628"/>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28"/>
      <c r="Q91" s="559"/>
    </row>
    <row r="92" spans="1:17" ht="15.75" thickTop="1">
      <c r="A92" s="534"/>
      <c r="B92" s="538" t="str">
        <f>B28</f>
        <v>楼层</v>
      </c>
      <c r="C92" s="554" t="s">
        <v>3161</v>
      </c>
      <c r="D92" s="554"/>
      <c r="E92" s="554"/>
      <c r="F92" s="554"/>
      <c r="G92" s="554"/>
      <c r="H92" s="554"/>
      <c r="I92" s="554"/>
      <c r="J92" s="554"/>
      <c r="K92" s="554"/>
      <c r="L92" s="580"/>
      <c r="M92" s="581"/>
      <c r="N92" s="1151"/>
      <c r="O92" s="1151"/>
      <c r="P92" s="2627"/>
      <c r="Q92" s="504"/>
    </row>
    <row r="93" spans="1:17" ht="15.75" thickBot="1">
      <c r="A93" s="534"/>
      <c r="B93" s="543"/>
      <c r="C93" s="536"/>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111</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2559</v>
      </c>
      <c r="B100" s="528" t="s">
        <v>2677</v>
      </c>
      <c r="C100" s="3003" t="s">
        <v>3126</v>
      </c>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500</v>
      </c>
      <c r="F103" s="595"/>
      <c r="G103" s="595"/>
      <c r="H103" s="595"/>
      <c r="I103" s="595"/>
      <c r="J103" s="596"/>
      <c r="K103" s="596"/>
      <c r="L103" s="597"/>
      <c r="M103" s="598"/>
      <c r="N103" s="1153"/>
      <c r="O103" s="1153"/>
      <c r="P103" s="2628"/>
      <c r="Q103" s="559"/>
    </row>
    <row r="104" spans="1:17" s="471" customFormat="1" ht="15.75" thickBot="1">
      <c r="A104" s="553"/>
      <c r="B104" s="543"/>
      <c r="C104" s="560">
        <v>100</v>
      </c>
      <c r="D104" s="536">
        <v>98</v>
      </c>
      <c r="E104" s="536">
        <v>96</v>
      </c>
      <c r="F104" s="536"/>
      <c r="G104" s="536"/>
      <c r="H104" s="536"/>
      <c r="I104" s="536"/>
      <c r="J104" s="536"/>
      <c r="K104" s="536"/>
      <c r="L104" s="536"/>
      <c r="M104" s="537"/>
      <c r="N104" s="1152"/>
      <c r="O104" s="1152"/>
      <c r="P104" s="2628"/>
      <c r="Q104" s="559"/>
    </row>
    <row r="105" spans="1:17" ht="15" thickTop="1">
      <c r="A105" s="599"/>
      <c r="B105" s="538" t="s">
        <v>2610</v>
      </c>
      <c r="C105" s="3004" t="s">
        <v>3127</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7"/>
      <c r="Q106" s="504"/>
    </row>
    <row r="107" spans="1:17" ht="15" thickTop="1">
      <c r="A107" s="599"/>
      <c r="B107" s="538" t="s">
        <v>2612</v>
      </c>
      <c r="C107" s="3004" t="s">
        <v>3128</v>
      </c>
      <c r="D107" s="3004" t="s">
        <v>3129</v>
      </c>
      <c r="E107" s="3004" t="s">
        <v>3131</v>
      </c>
      <c r="F107" s="3005" t="s">
        <v>3132</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7"/>
      <c r="Q111" s="504"/>
    </row>
    <row r="112" spans="1:17" s="471" customFormat="1" ht="15" thickTop="1">
      <c r="A112" s="593"/>
      <c r="B112" s="538" t="s">
        <v>2614</v>
      </c>
      <c r="C112" s="3004" t="s">
        <v>3133</v>
      </c>
      <c r="D112" s="3004" t="s">
        <v>3134</v>
      </c>
      <c r="E112" s="3004" t="s">
        <v>3135</v>
      </c>
      <c r="F112" s="3004" t="s">
        <v>3136</v>
      </c>
      <c r="G112" s="3004" t="s">
        <v>3137</v>
      </c>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2678</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7"/>
      <c r="Q115" s="504"/>
    </row>
    <row r="116" spans="1:17" ht="15" thickTop="1">
      <c r="A116" s="599"/>
      <c r="B116" s="538" t="s">
        <v>2679</v>
      </c>
      <c r="C116" s="3004" t="s">
        <v>3162</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2680</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8"/>
      <c r="Q121" s="559"/>
    </row>
    <row r="122" spans="1:17" ht="15" thickTop="1">
      <c r="A122" s="599"/>
      <c r="B122" s="538" t="s">
        <v>2616</v>
      </c>
      <c r="C122" s="3004" t="s">
        <v>3128</v>
      </c>
      <c r="D122" s="3004" t="s">
        <v>3129</v>
      </c>
      <c r="E122" s="3004" t="s">
        <v>3131</v>
      </c>
      <c r="F122" s="3005" t="s">
        <v>3132</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40" priority="16"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AC131"/>
  <sheetViews>
    <sheetView zoomScale="90" zoomScaleNormal="90" workbookViewId="0">
      <selection activeCell="D3" sqref="D3"/>
    </sheetView>
  </sheetViews>
  <sheetFormatPr defaultColWidth="9" defaultRowHeight="14.25"/>
  <cols>
    <col min="1" max="1" width="10.5" style="3388" customWidth="1"/>
    <col min="2" max="2" width="15.75" style="3388" customWidth="1"/>
    <col min="3" max="3" width="15.125" style="3388" customWidth="1"/>
    <col min="4" max="4" width="12.25" style="3388" customWidth="1"/>
    <col min="5" max="5" width="14.375" style="3388" customWidth="1"/>
    <col min="6" max="6" width="12.25" style="3388" customWidth="1"/>
    <col min="7" max="7" width="14.5" style="3388" customWidth="1"/>
    <col min="8" max="8" width="12.25" style="3388" customWidth="1"/>
    <col min="9" max="9" width="14.5" style="3388" customWidth="1"/>
    <col min="10" max="10" width="12.25" style="3388" customWidth="1"/>
    <col min="11" max="11" width="12.25" style="3708" customWidth="1"/>
    <col min="12" max="12" width="12.25" style="3709" customWidth="1"/>
    <col min="13" max="15" width="12.25" style="3388" customWidth="1"/>
    <col min="16" max="16" width="4.75" style="3710" customWidth="1"/>
    <col min="17" max="17" width="19.5" style="3388" customWidth="1"/>
    <col min="18" max="22" width="6.125" style="3388" customWidth="1"/>
    <col min="23" max="23" width="5.75" style="3388" customWidth="1"/>
    <col min="24" max="24" width="4.25" style="3388" customWidth="1"/>
    <col min="25" max="25" width="3.5" style="3388" customWidth="1"/>
    <col min="26" max="26" width="19.75" style="3388" customWidth="1"/>
    <col min="27" max="28" width="9.375" style="3388" customWidth="1"/>
    <col min="29" max="16384" width="9" style="3388"/>
  </cols>
  <sheetData>
    <row r="1" spans="1:29" s="3357" customFormat="1" ht="28.5" customHeight="1" thickBot="1">
      <c r="A1" s="3344" t="s">
        <v>2524</v>
      </c>
      <c r="B1" s="3345" t="s">
        <v>2638</v>
      </c>
      <c r="C1" s="3346" t="s">
        <v>3168</v>
      </c>
      <c r="D1" s="3347"/>
      <c r="E1" s="3348"/>
      <c r="F1" s="3349" t="s">
        <v>3113</v>
      </c>
      <c r="G1" s="3350" t="s">
        <v>3169</v>
      </c>
      <c r="H1" s="3351"/>
      <c r="I1" s="3351"/>
      <c r="J1" s="3351"/>
      <c r="K1" s="3352"/>
      <c r="L1" s="3353"/>
      <c r="M1" s="3346"/>
      <c r="N1" s="3346"/>
      <c r="O1" s="3346"/>
      <c r="P1" s="3354"/>
      <c r="Q1" s="3355"/>
      <c r="R1" s="3355"/>
      <c r="S1" s="3355"/>
      <c r="T1" s="3355"/>
      <c r="U1" s="3355"/>
      <c r="V1" s="3355"/>
      <c r="W1" s="3355"/>
      <c r="X1" s="3355"/>
      <c r="Y1" s="3355"/>
      <c r="Z1" s="3355"/>
      <c r="AA1" s="3355"/>
      <c r="AB1" s="3355"/>
      <c r="AC1" s="3356"/>
    </row>
    <row r="2" spans="1:29" s="3365" customFormat="1" ht="28.5" customHeight="1" thickTop="1">
      <c r="A2" s="1616" t="s">
        <v>2808</v>
      </c>
      <c r="B2" s="3358">
        <f>IF(C2="——",ROUND(C49*D3/10000,0),ROUND(C49*D3/10000,0)-D2)</f>
        <v>3339</v>
      </c>
      <c r="C2" s="2583" t="s">
        <v>70</v>
      </c>
      <c r="D2" s="3359" t="e">
        <f ca="1">SUMIF(INDIRECT("'"&amp;F2&amp;"'"&amp;"!A:A"),"承租人权益价值",INDIRECT("'"&amp;F2&amp;"'"&amp;"!c:c"))</f>
        <v>#REF!</v>
      </c>
      <c r="E2" s="2584" t="s">
        <v>2809</v>
      </c>
      <c r="F2" s="2585"/>
      <c r="G2" s="3360"/>
      <c r="H2" s="3360"/>
      <c r="I2" s="3360"/>
      <c r="J2" s="3360"/>
      <c r="K2" s="3360"/>
      <c r="L2" s="3361"/>
      <c r="M2" s="3362"/>
      <c r="N2" s="3362"/>
      <c r="O2" s="3362"/>
      <c r="P2" s="3363"/>
      <c r="Q2" s="3362"/>
      <c r="R2" s="3362"/>
      <c r="S2" s="3362"/>
      <c r="T2" s="3362"/>
      <c r="U2" s="3362"/>
      <c r="V2" s="3362"/>
      <c r="W2" s="3362"/>
      <c r="X2" s="3362"/>
      <c r="Y2" s="3362"/>
      <c r="Z2" s="3362"/>
      <c r="AA2" s="3362"/>
      <c r="AB2" s="3362"/>
      <c r="AC2" s="3364"/>
    </row>
    <row r="3" spans="1:29" s="3365" customFormat="1" ht="28.5" customHeight="1" thickBot="1">
      <c r="A3" s="247" t="s">
        <v>2814</v>
      </c>
      <c r="B3" s="3366">
        <f>IF(C2="——",C49,ROUND(B2*10000/D3,0))</f>
        <v>43600</v>
      </c>
      <c r="C3" s="3367" t="s">
        <v>3170</v>
      </c>
      <c r="D3" s="3368">
        <f>'[1]数据-汇总表'!F19</f>
        <v>765.92</v>
      </c>
      <c r="E3" s="3369"/>
      <c r="F3" s="3370"/>
      <c r="G3" s="3360"/>
      <c r="H3" s="3360"/>
      <c r="I3" s="3360"/>
      <c r="J3" s="3360"/>
      <c r="K3" s="3371"/>
      <c r="L3" s="3361"/>
      <c r="M3" s="3362"/>
      <c r="N3" s="3362"/>
      <c r="O3" s="3362"/>
      <c r="P3" s="3363"/>
      <c r="Q3" s="3362"/>
      <c r="R3" s="3362"/>
      <c r="S3" s="3362"/>
      <c r="T3" s="3362"/>
      <c r="U3" s="3362"/>
      <c r="V3" s="3362"/>
      <c r="W3" s="3362"/>
      <c r="X3" s="3362"/>
      <c r="Y3" s="3362"/>
      <c r="Z3" s="3362"/>
      <c r="AA3" s="3362"/>
      <c r="AB3" s="3362"/>
      <c r="AC3" s="3369"/>
    </row>
    <row r="4" spans="1:29" ht="15">
      <c r="A4" s="3372" t="s">
        <v>2531</v>
      </c>
      <c r="B4" s="3373"/>
      <c r="C4" s="3374" t="s">
        <v>2532</v>
      </c>
      <c r="D4" s="3375"/>
      <c r="E4" s="3376" t="s">
        <v>2533</v>
      </c>
      <c r="F4" s="3377"/>
      <c r="G4" s="3374" t="s">
        <v>2534</v>
      </c>
      <c r="H4" s="3375"/>
      <c r="I4" s="3374" t="s">
        <v>2535</v>
      </c>
      <c r="J4" s="3375"/>
      <c r="K4" s="3378" t="s">
        <v>2536</v>
      </c>
      <c r="L4" s="3379"/>
      <c r="M4" s="3380"/>
      <c r="N4" s="3380"/>
      <c r="O4" s="3380"/>
      <c r="P4" s="3381" t="s">
        <v>2537</v>
      </c>
      <c r="Q4" s="3382"/>
      <c r="R4" s="3383" t="s">
        <v>2533</v>
      </c>
      <c r="S4" s="3384"/>
      <c r="T4" s="3383" t="s">
        <v>2534</v>
      </c>
      <c r="U4" s="3384"/>
      <c r="V4" s="3385" t="s">
        <v>2535</v>
      </c>
      <c r="W4" s="3385"/>
      <c r="X4" s="3386"/>
      <c r="Y4" s="3383" t="s">
        <v>2537</v>
      </c>
      <c r="Z4" s="3384"/>
      <c r="AA4" s="3387" t="s">
        <v>2533</v>
      </c>
      <c r="AB4" s="3385" t="s">
        <v>2534</v>
      </c>
      <c r="AC4" s="3387" t="s">
        <v>2535</v>
      </c>
    </row>
    <row r="5" spans="1:29" ht="15">
      <c r="A5" s="3389"/>
      <c r="B5" s="3390"/>
      <c r="C5" s="3391" t="s">
        <v>2538</v>
      </c>
      <c r="D5" s="3392"/>
      <c r="E5" s="3393" t="s">
        <v>3171</v>
      </c>
      <c r="F5" s="3394"/>
      <c r="G5" s="3395" t="s">
        <v>3172</v>
      </c>
      <c r="H5" s="3392"/>
      <c r="I5" s="3395" t="s">
        <v>3108</v>
      </c>
      <c r="J5" s="3392"/>
      <c r="K5" s="3378"/>
      <c r="L5" s="3379"/>
      <c r="M5" s="3380"/>
      <c r="N5" s="3380"/>
      <c r="O5" s="3380"/>
      <c r="P5" s="3396"/>
      <c r="Q5" s="3397"/>
      <c r="R5" s="3398"/>
      <c r="S5" s="3399"/>
      <c r="T5" s="3398"/>
      <c r="U5" s="3399"/>
      <c r="V5" s="3385"/>
      <c r="W5" s="3385"/>
      <c r="X5" s="3386"/>
      <c r="Y5" s="3398"/>
      <c r="Z5" s="3399"/>
      <c r="AA5" s="3400"/>
      <c r="AB5" s="3385"/>
      <c r="AC5" s="3400"/>
    </row>
    <row r="6" spans="1:29" ht="15.75" thickBot="1">
      <c r="A6" s="3401"/>
      <c r="B6" s="3402"/>
      <c r="C6" s="3403" t="s">
        <v>2542</v>
      </c>
      <c r="D6" s="3404"/>
      <c r="E6" s="3405" t="s">
        <v>2542</v>
      </c>
      <c r="F6" s="3406"/>
      <c r="G6" s="3403" t="s">
        <v>2542</v>
      </c>
      <c r="H6" s="3404"/>
      <c r="I6" s="3403" t="s">
        <v>2542</v>
      </c>
      <c r="J6" s="3404"/>
      <c r="K6" s="3378" t="s">
        <v>2543</v>
      </c>
      <c r="L6" s="3379"/>
      <c r="M6" s="3380"/>
      <c r="N6" s="3380"/>
      <c r="O6" s="3380"/>
      <c r="P6" s="3407"/>
      <c r="Q6" s="3408"/>
      <c r="R6" s="3398"/>
      <c r="S6" s="3399"/>
      <c r="T6" s="3409"/>
      <c r="U6" s="3410"/>
      <c r="V6" s="3385"/>
      <c r="W6" s="3385"/>
      <c r="X6" s="3386"/>
      <c r="Y6" s="3409"/>
      <c r="Z6" s="3410"/>
      <c r="AA6" s="3411"/>
      <c r="AB6" s="3385"/>
      <c r="AC6" s="3411"/>
    </row>
    <row r="7" spans="1:29" s="3428" customFormat="1" ht="15.75" thickBot="1">
      <c r="A7" s="3412" t="s">
        <v>2544</v>
      </c>
      <c r="B7" s="3413"/>
      <c r="C7" s="3414">
        <f>'[2]数据-取费表'!B2</f>
        <v>43914</v>
      </c>
      <c r="D7" s="3415">
        <v>100</v>
      </c>
      <c r="E7" s="3416">
        <v>43891</v>
      </c>
      <c r="F7" s="3417">
        <f>SUMIF(58:58,YEAR(E7)&amp;"-"&amp;MONTH(E7),59:59)</f>
        <v>100</v>
      </c>
      <c r="G7" s="3416">
        <v>43891</v>
      </c>
      <c r="H7" s="3415">
        <f>SUMIF(58:58,YEAR(G7)&amp;"-"&amp;MONTH(G7),59:59)</f>
        <v>100</v>
      </c>
      <c r="I7" s="3416">
        <f>G7</f>
        <v>43891</v>
      </c>
      <c r="J7" s="3415">
        <f>SUMIF(58:58,YEAR(I7)&amp;"-"&amp;MONTH(I7),59:59)</f>
        <v>100</v>
      </c>
      <c r="K7" s="3418"/>
      <c r="L7" s="3419"/>
      <c r="M7" s="3420"/>
      <c r="N7" s="3420"/>
      <c r="O7" s="3420"/>
      <c r="P7" s="3421" t="s">
        <v>2545</v>
      </c>
      <c r="Q7" s="3422"/>
      <c r="R7" s="3423" t="s">
        <v>3173</v>
      </c>
      <c r="S7" s="3424">
        <f t="shared" ref="S7:S15" si="0">F7</f>
        <v>100</v>
      </c>
      <c r="T7" s="3423" t="s">
        <v>3173</v>
      </c>
      <c r="U7" s="3424">
        <f t="shared" ref="U7:U15" si="1">H7</f>
        <v>100</v>
      </c>
      <c r="V7" s="3423" t="s">
        <v>3173</v>
      </c>
      <c r="W7" s="3424">
        <f t="shared" ref="W7:W15" si="2">J7</f>
        <v>100</v>
      </c>
      <c r="X7" s="3425"/>
      <c r="Y7" s="3421" t="s">
        <v>2545</v>
      </c>
      <c r="Z7" s="3426"/>
      <c r="AA7" s="3427">
        <f>D7/F7</f>
        <v>1</v>
      </c>
      <c r="AB7" s="3427">
        <f>D7/H7</f>
        <v>1</v>
      </c>
      <c r="AC7" s="3427">
        <f>D7/J7</f>
        <v>1</v>
      </c>
    </row>
    <row r="8" spans="1:29" s="3428" customFormat="1" ht="15.75" thickBot="1">
      <c r="A8" s="3412" t="s">
        <v>2546</v>
      </c>
      <c r="B8" s="3413"/>
      <c r="C8" s="3429" t="s">
        <v>3174</v>
      </c>
      <c r="D8" s="3415">
        <v>100</v>
      </c>
      <c r="E8" s="3429" t="s">
        <v>3174</v>
      </c>
      <c r="F8" s="3417">
        <f>SUMIF(61:61,E8,62:62)-SUMIF(61:61,C8,62:62)+100</f>
        <v>100</v>
      </c>
      <c r="G8" s="3429" t="s">
        <v>3174</v>
      </c>
      <c r="H8" s="3415">
        <f>SUMIF(61:61,G8,62:62)-SUMIF(61:61,C8,62:62)+100</f>
        <v>100</v>
      </c>
      <c r="I8" s="3429" t="s">
        <v>3174</v>
      </c>
      <c r="J8" s="3415">
        <f>SUMIF(61:61,I8,62:62)-SUMIF(61:61,C8,62:62)+100</f>
        <v>100</v>
      </c>
      <c r="K8" s="3418"/>
      <c r="L8" s="3419"/>
      <c r="M8" s="3420"/>
      <c r="N8" s="3420"/>
      <c r="O8" s="3420"/>
      <c r="P8" s="3421" t="s">
        <v>2548</v>
      </c>
      <c r="Q8" s="3426"/>
      <c r="R8" s="3423" t="s">
        <v>3173</v>
      </c>
      <c r="S8" s="3424">
        <f t="shared" si="0"/>
        <v>100</v>
      </c>
      <c r="T8" s="3423" t="s">
        <v>3173</v>
      </c>
      <c r="U8" s="3424">
        <f t="shared" si="1"/>
        <v>100</v>
      </c>
      <c r="V8" s="3423" t="s">
        <v>3173</v>
      </c>
      <c r="W8" s="3424">
        <f t="shared" si="2"/>
        <v>100</v>
      </c>
      <c r="X8" s="3425"/>
      <c r="Y8" s="3421" t="s">
        <v>2548</v>
      </c>
      <c r="Z8" s="3426"/>
      <c r="AA8" s="3427">
        <f t="shared" ref="AA8:AA46" si="3">D8/F8</f>
        <v>1</v>
      </c>
      <c r="AB8" s="3427">
        <f t="shared" ref="AB8:AB46" si="4">D8/H8</f>
        <v>1</v>
      </c>
      <c r="AC8" s="3427">
        <f t="shared" ref="AC8:AC46" si="5">D8/J8</f>
        <v>1</v>
      </c>
    </row>
    <row r="9" spans="1:29" s="3428" customFormat="1">
      <c r="A9" s="3430" t="s">
        <v>2549</v>
      </c>
      <c r="B9" s="3431" t="s">
        <v>2550</v>
      </c>
      <c r="C9" s="3432" t="s">
        <v>3175</v>
      </c>
      <c r="D9" s="3433">
        <v>100</v>
      </c>
      <c r="E9" s="3434" t="s">
        <v>1372</v>
      </c>
      <c r="F9" s="3435">
        <f>SUMIF(63:63,E9,64:64)-SUMIF(63:63,C9,64:64)+100</f>
        <v>100</v>
      </c>
      <c r="G9" s="3434" t="s">
        <v>1372</v>
      </c>
      <c r="H9" s="3433">
        <f>SUMIF(63:63,G9,64:64)-SUMIF(63:63,C9,64:64)+100</f>
        <v>100</v>
      </c>
      <c r="I9" s="3434" t="s">
        <v>1372</v>
      </c>
      <c r="J9" s="3433">
        <f>SUMIF(63:63,I9,64:64)-SUMIF(63:63,C9,64:64)+100</f>
        <v>100</v>
      </c>
      <c r="K9" s="3418"/>
      <c r="L9" s="3419"/>
      <c r="M9" s="3420"/>
      <c r="N9" s="3420"/>
      <c r="O9" s="3420"/>
      <c r="P9" s="3436" t="s">
        <v>2551</v>
      </c>
      <c r="Q9" s="3437" t="str">
        <f t="shared" ref="Q9:Q15" si="6">B9</f>
        <v>用途</v>
      </c>
      <c r="R9" s="3423" t="s">
        <v>3173</v>
      </c>
      <c r="S9" s="3424">
        <f t="shared" si="0"/>
        <v>100</v>
      </c>
      <c r="T9" s="3423" t="s">
        <v>3173</v>
      </c>
      <c r="U9" s="3424">
        <f t="shared" si="1"/>
        <v>100</v>
      </c>
      <c r="V9" s="3423" t="s">
        <v>3173</v>
      </c>
      <c r="W9" s="3424">
        <f t="shared" si="2"/>
        <v>100</v>
      </c>
      <c r="X9" s="3425"/>
      <c r="Y9" s="3438" t="s">
        <v>2552</v>
      </c>
      <c r="Z9" s="3439" t="str">
        <f t="shared" ref="Z9:Z15" si="7">Q9</f>
        <v>用途</v>
      </c>
      <c r="AA9" s="3427">
        <f t="shared" si="3"/>
        <v>1</v>
      </c>
      <c r="AB9" s="3427">
        <f t="shared" si="4"/>
        <v>1</v>
      </c>
      <c r="AC9" s="3427">
        <f t="shared" si="5"/>
        <v>1</v>
      </c>
    </row>
    <row r="10" spans="1:29" s="3449" customFormat="1" ht="27">
      <c r="A10" s="3440"/>
      <c r="B10" s="3441" t="s">
        <v>2553</v>
      </c>
      <c r="C10" s="3442"/>
      <c r="D10" s="3443">
        <v>100</v>
      </c>
      <c r="E10" s="3444"/>
      <c r="F10" s="3445">
        <f>SUMIF(65:65,E10,66:66)-SUMIF(65:65,C10,66:66)+100</f>
        <v>100</v>
      </c>
      <c r="G10" s="3442"/>
      <c r="H10" s="3443">
        <f>SUMIF(65:65,G10,66:66)-SUMIF(65:65,C10,66:66)+100</f>
        <v>100</v>
      </c>
      <c r="I10" s="3442"/>
      <c r="J10" s="3443">
        <f>SUMIF(65:65,I10,66:66)-SUMIF(65:65,C10,66:66)+100</f>
        <v>100</v>
      </c>
      <c r="K10" s="3446"/>
      <c r="L10" s="3447"/>
      <c r="M10" s="3448"/>
      <c r="N10" s="3448"/>
      <c r="O10" s="3448"/>
      <c r="P10" s="3436"/>
      <c r="Q10" s="3437" t="str">
        <f t="shared" si="6"/>
        <v>土地使用年限（年）</v>
      </c>
      <c r="R10" s="3423" t="s">
        <v>3173</v>
      </c>
      <c r="S10" s="3424">
        <f t="shared" si="0"/>
        <v>100</v>
      </c>
      <c r="T10" s="3423" t="s">
        <v>3173</v>
      </c>
      <c r="U10" s="3424">
        <f t="shared" si="1"/>
        <v>100</v>
      </c>
      <c r="V10" s="3423" t="s">
        <v>3173</v>
      </c>
      <c r="W10" s="3424">
        <f t="shared" si="2"/>
        <v>100</v>
      </c>
      <c r="X10" s="3425"/>
      <c r="Y10" s="3438"/>
      <c r="Z10" s="3439" t="str">
        <f t="shared" si="7"/>
        <v>土地使用年限（年）</v>
      </c>
      <c r="AA10" s="3427">
        <f t="shared" si="3"/>
        <v>1</v>
      </c>
      <c r="AB10" s="3427">
        <f t="shared" si="4"/>
        <v>1</v>
      </c>
      <c r="AC10" s="3427">
        <f t="shared" si="5"/>
        <v>1</v>
      </c>
    </row>
    <row r="11" spans="1:29" ht="15">
      <c r="A11" s="3450"/>
      <c r="B11" s="3441" t="s">
        <v>2554</v>
      </c>
      <c r="C11" s="3451"/>
      <c r="D11" s="3443">
        <v>100</v>
      </c>
      <c r="E11" s="3452"/>
      <c r="F11" s="3445">
        <f>LOOKUP(E11,68:68,69:69)-LOOKUP(C11,68:68,69:69)+100</f>
        <v>100</v>
      </c>
      <c r="G11" s="3451"/>
      <c r="H11" s="3443">
        <f>LOOKUP(G11,68:68,69:69)-LOOKUP(C11,68:68,69:69)+100</f>
        <v>100</v>
      </c>
      <c r="I11" s="3451"/>
      <c r="J11" s="3443">
        <f>LOOKUP(I11,68:68,69:69)-LOOKUP(C11,68:68,69:69)+100</f>
        <v>100</v>
      </c>
      <c r="K11" s="3446"/>
      <c r="L11" s="3453"/>
      <c r="M11" s="3380"/>
      <c r="N11" s="3380"/>
      <c r="O11" s="3380"/>
      <c r="P11" s="3436"/>
      <c r="Q11" s="3437" t="str">
        <f t="shared" si="6"/>
        <v>容积率</v>
      </c>
      <c r="R11" s="3423" t="s">
        <v>3173</v>
      </c>
      <c r="S11" s="3424">
        <f t="shared" si="0"/>
        <v>100</v>
      </c>
      <c r="T11" s="3423" t="s">
        <v>3173</v>
      </c>
      <c r="U11" s="3424">
        <f t="shared" si="1"/>
        <v>100</v>
      </c>
      <c r="V11" s="3423" t="s">
        <v>3173</v>
      </c>
      <c r="W11" s="3424">
        <f t="shared" si="2"/>
        <v>100</v>
      </c>
      <c r="X11" s="3425"/>
      <c r="Y11" s="3438"/>
      <c r="Z11" s="3439" t="str">
        <f t="shared" si="7"/>
        <v>容积率</v>
      </c>
      <c r="AA11" s="3427">
        <f t="shared" si="3"/>
        <v>1</v>
      </c>
      <c r="AB11" s="3427">
        <f t="shared" si="4"/>
        <v>1</v>
      </c>
      <c r="AC11" s="3427">
        <f t="shared" si="5"/>
        <v>1</v>
      </c>
    </row>
    <row r="12" spans="1:29" s="3428" customFormat="1" ht="15">
      <c r="A12" s="3454"/>
      <c r="B12" s="3455">
        <v>111</v>
      </c>
      <c r="C12" s="3456"/>
      <c r="D12" s="3457">
        <v>100</v>
      </c>
      <c r="E12" s="3458"/>
      <c r="F12" s="3445">
        <f>SUMIF(70:70,E12,71:71)-SUMIF(70:70,C12,71:71)+100</f>
        <v>100</v>
      </c>
      <c r="G12" s="3458"/>
      <c r="H12" s="3443">
        <f>SUMIF(70:70,G12,71:71)-SUMIF(70:70,C12,71:71)+100</f>
        <v>100</v>
      </c>
      <c r="I12" s="3458"/>
      <c r="J12" s="3443">
        <f>SUMIF(70:70,I12,71:71)-SUMIF(70:70,C12,71:71)+100</f>
        <v>100</v>
      </c>
      <c r="K12" s="3459"/>
      <c r="L12" s="3419"/>
      <c r="M12" s="3420"/>
      <c r="N12" s="3420"/>
      <c r="O12" s="3420"/>
      <c r="P12" s="3436"/>
      <c r="Q12" s="3437">
        <f t="shared" si="6"/>
        <v>111</v>
      </c>
      <c r="R12" s="3423" t="s">
        <v>3173</v>
      </c>
      <c r="S12" s="3424">
        <f t="shared" si="0"/>
        <v>100</v>
      </c>
      <c r="T12" s="3423" t="s">
        <v>3173</v>
      </c>
      <c r="U12" s="3424">
        <f t="shared" si="1"/>
        <v>100</v>
      </c>
      <c r="V12" s="3423" t="s">
        <v>3173</v>
      </c>
      <c r="W12" s="3424">
        <f t="shared" si="2"/>
        <v>100</v>
      </c>
      <c r="X12" s="3425"/>
      <c r="Y12" s="3438"/>
      <c r="Z12" s="3439">
        <f t="shared" si="7"/>
        <v>111</v>
      </c>
      <c r="AA12" s="3427">
        <f>D12/F12</f>
        <v>1</v>
      </c>
      <c r="AB12" s="3427">
        <f>D12/H12</f>
        <v>1</v>
      </c>
      <c r="AC12" s="3427">
        <f>D12/J12</f>
        <v>1</v>
      </c>
    </row>
    <row r="13" spans="1:29" ht="15">
      <c r="A13" s="3450"/>
      <c r="B13" s="3455">
        <v>111</v>
      </c>
      <c r="C13" s="3458"/>
      <c r="D13" s="3460">
        <v>100</v>
      </c>
      <c r="E13" s="3458"/>
      <c r="F13" s="3445">
        <f>SUMIF(72:72,E13,73:73)-SUMIF(72:72,C13,73:73)+100</f>
        <v>100</v>
      </c>
      <c r="G13" s="3458"/>
      <c r="H13" s="3460">
        <f>SUMIF(72:72,G13,73:73)-SUMIF(72:72,C13,73:73)+100</f>
        <v>100</v>
      </c>
      <c r="I13" s="3458"/>
      <c r="J13" s="3460">
        <f>SUMIF(72:72,I13,73:73)-SUMIF(72:72,C13,73:73)+100</f>
        <v>100</v>
      </c>
      <c r="K13" s="3459"/>
      <c r="L13" s="3461"/>
      <c r="M13" s="3380"/>
      <c r="N13" s="3380"/>
      <c r="O13" s="3380"/>
      <c r="P13" s="3436"/>
      <c r="Q13" s="3437">
        <f t="shared" si="6"/>
        <v>111</v>
      </c>
      <c r="R13" s="3423" t="s">
        <v>3173</v>
      </c>
      <c r="S13" s="3424">
        <f t="shared" si="0"/>
        <v>100</v>
      </c>
      <c r="T13" s="3423" t="s">
        <v>3173</v>
      </c>
      <c r="U13" s="3424">
        <f t="shared" si="1"/>
        <v>100</v>
      </c>
      <c r="V13" s="3423" t="s">
        <v>3173</v>
      </c>
      <c r="W13" s="3424">
        <f t="shared" si="2"/>
        <v>100</v>
      </c>
      <c r="X13" s="3425"/>
      <c r="Y13" s="3438"/>
      <c r="Z13" s="3439">
        <f t="shared" si="7"/>
        <v>111</v>
      </c>
      <c r="AA13" s="3427">
        <f t="shared" si="3"/>
        <v>1</v>
      </c>
      <c r="AB13" s="3427">
        <f t="shared" si="4"/>
        <v>1</v>
      </c>
      <c r="AC13" s="3427">
        <f t="shared" si="5"/>
        <v>1</v>
      </c>
    </row>
    <row r="14" spans="1:29" ht="15.75" thickBot="1">
      <c r="A14" s="3462"/>
      <c r="B14" s="3463">
        <v>111</v>
      </c>
      <c r="C14" s="3464"/>
      <c r="D14" s="3465">
        <v>100</v>
      </c>
      <c r="E14" s="3458"/>
      <c r="F14" s="3466">
        <f>SUMIF(74:74,E14,75:75)-SUMIF(74:74,C14,75:75)+100</f>
        <v>100</v>
      </c>
      <c r="G14" s="3458"/>
      <c r="H14" s="3465">
        <f>SUMIF(74:74,G14,75:75)-SUMIF(74:74,C14,75:75)+100</f>
        <v>100</v>
      </c>
      <c r="I14" s="3458"/>
      <c r="J14" s="3465">
        <f>SUMIF(74:74,I14,75:75)-SUMIF(74:74,C14,75:75)+100</f>
        <v>100</v>
      </c>
      <c r="K14" s="3459"/>
      <c r="L14" s="3461"/>
      <c r="M14" s="3380"/>
      <c r="N14" s="3380"/>
      <c r="O14" s="3380"/>
      <c r="P14" s="3436"/>
      <c r="Q14" s="3437">
        <f t="shared" si="6"/>
        <v>111</v>
      </c>
      <c r="R14" s="3423" t="s">
        <v>3173</v>
      </c>
      <c r="S14" s="3424">
        <f t="shared" si="0"/>
        <v>100</v>
      </c>
      <c r="T14" s="3423" t="s">
        <v>3173</v>
      </c>
      <c r="U14" s="3424">
        <f t="shared" si="1"/>
        <v>100</v>
      </c>
      <c r="V14" s="3423" t="s">
        <v>3173</v>
      </c>
      <c r="W14" s="3424">
        <f t="shared" si="2"/>
        <v>100</v>
      </c>
      <c r="X14" s="3425"/>
      <c r="Y14" s="3438"/>
      <c r="Z14" s="3439">
        <f t="shared" si="7"/>
        <v>111</v>
      </c>
      <c r="AA14" s="3427">
        <f t="shared" si="3"/>
        <v>1</v>
      </c>
      <c r="AB14" s="3427">
        <f t="shared" si="4"/>
        <v>1</v>
      </c>
      <c r="AC14" s="3427">
        <f t="shared" si="5"/>
        <v>1</v>
      </c>
    </row>
    <row r="15" spans="1:29" ht="71.25">
      <c r="A15" s="3467" t="s">
        <v>2555</v>
      </c>
      <c r="B15" s="3468" t="s">
        <v>2780</v>
      </c>
      <c r="C15" s="3469" t="str">
        <f>[2]估价对象房地状况!C4</f>
        <v>估价对象位于XX商圈，周边商业氛围成熟，人流量大，商业繁华度好</v>
      </c>
      <c r="D15" s="3470">
        <v>100</v>
      </c>
      <c r="E15" s="3471"/>
      <c r="F15" s="3472">
        <f>SUMIF(76:76,E16,77:77)-SUMIF(76:76,C16,77:77)+100</f>
        <v>100</v>
      </c>
      <c r="G15" s="3473"/>
      <c r="H15" s="3470">
        <f>SUMIF(76:76,G16,77:77)-SUMIF(76:76,C16,77:77)+100</f>
        <v>100</v>
      </c>
      <c r="I15" s="3471"/>
      <c r="J15" s="3470">
        <f>SUMIF(76:76,I16,77:77)-SUMIF(76:76,C16,77:77)+100</f>
        <v>100</v>
      </c>
      <c r="K15" s="3474">
        <v>2</v>
      </c>
      <c r="L15" s="3461"/>
      <c r="M15" s="3380"/>
      <c r="N15" s="3380"/>
      <c r="O15" s="3380"/>
      <c r="P15" s="3475" t="s">
        <v>2556</v>
      </c>
      <c r="Q15" s="3476" t="str">
        <f t="shared" si="6"/>
        <v>商业繁华度</v>
      </c>
      <c r="R15" s="3477" t="s">
        <v>3176</v>
      </c>
      <c r="S15" s="3478">
        <f t="shared" si="0"/>
        <v>100</v>
      </c>
      <c r="T15" s="3477" t="s">
        <v>3176</v>
      </c>
      <c r="U15" s="3478">
        <f t="shared" si="1"/>
        <v>100</v>
      </c>
      <c r="V15" s="3477" t="s">
        <v>3176</v>
      </c>
      <c r="W15" s="3478">
        <f t="shared" si="2"/>
        <v>100</v>
      </c>
      <c r="X15" s="3386"/>
      <c r="Y15" s="3479" t="s">
        <v>3177</v>
      </c>
      <c r="Z15" s="3480" t="str">
        <f t="shared" si="7"/>
        <v>商业繁华度</v>
      </c>
      <c r="AA15" s="3481">
        <f t="shared" si="3"/>
        <v>1</v>
      </c>
      <c r="AB15" s="3481">
        <f t="shared" si="4"/>
        <v>1</v>
      </c>
      <c r="AC15" s="3481">
        <f t="shared" si="5"/>
        <v>1</v>
      </c>
    </row>
    <row r="16" spans="1:29" ht="15">
      <c r="A16" s="3450"/>
      <c r="B16" s="3482"/>
      <c r="C16" s="3483" t="s">
        <v>3124</v>
      </c>
      <c r="D16" s="3484"/>
      <c r="E16" s="3483" t="s">
        <v>3124</v>
      </c>
      <c r="F16" s="3485"/>
      <c r="G16" s="3483" t="s">
        <v>3124</v>
      </c>
      <c r="H16" s="3486"/>
      <c r="I16" s="3483" t="s">
        <v>3124</v>
      </c>
      <c r="J16" s="3484"/>
      <c r="K16" s="3487"/>
      <c r="L16" s="3461"/>
      <c r="M16" s="3380"/>
      <c r="N16" s="3380"/>
      <c r="O16" s="3380"/>
      <c r="P16" s="3488"/>
      <c r="Q16" s="3476"/>
      <c r="R16" s="3477"/>
      <c r="S16" s="3478"/>
      <c r="T16" s="3477"/>
      <c r="U16" s="3478"/>
      <c r="V16" s="3477"/>
      <c r="W16" s="3478"/>
      <c r="X16" s="3386"/>
      <c r="Y16" s="3489"/>
      <c r="Z16" s="3480"/>
      <c r="AA16" s="3481">
        <v>1</v>
      </c>
      <c r="AB16" s="3481">
        <v>1</v>
      </c>
      <c r="AC16" s="3481">
        <v>1</v>
      </c>
    </row>
    <row r="17" spans="1:29" ht="85.5">
      <c r="A17" s="3450"/>
      <c r="B17" s="3490" t="s">
        <v>2095</v>
      </c>
      <c r="C17" s="3491" t="str">
        <f>[2]估价对象房地状况!C6</f>
        <v>估价对象周边道路状况、公共交通通达情况、停车便捷程度，综合评价交通便捷度较好</v>
      </c>
      <c r="D17" s="3486">
        <v>100</v>
      </c>
      <c r="E17" s="3492"/>
      <c r="F17" s="3493">
        <f>SUMIF(78:78,E18,79:79)-SUMIF(78:78,C18,79:79)+100</f>
        <v>100</v>
      </c>
      <c r="G17" s="3494"/>
      <c r="H17" s="3495">
        <f>SUMIF(78:78,G18,79:79)-SUMIF(78:78,C18,79:79)+100</f>
        <v>100</v>
      </c>
      <c r="I17" s="3492"/>
      <c r="J17" s="3495">
        <f>SUMIF(78:78,I18,79:79)-SUMIF(78:78,C18,79:79)+100</f>
        <v>100</v>
      </c>
      <c r="K17" s="3474">
        <v>2</v>
      </c>
      <c r="L17" s="3461"/>
      <c r="M17" s="3380"/>
      <c r="N17" s="3380"/>
      <c r="O17" s="3380"/>
      <c r="P17" s="3488"/>
      <c r="Q17" s="3476" t="str">
        <f>B17</f>
        <v>交通便捷度</v>
      </c>
      <c r="R17" s="3477" t="s">
        <v>3176</v>
      </c>
      <c r="S17" s="3478">
        <f>F17</f>
        <v>100</v>
      </c>
      <c r="T17" s="3477" t="s">
        <v>3176</v>
      </c>
      <c r="U17" s="3478">
        <f>H17</f>
        <v>100</v>
      </c>
      <c r="V17" s="3477" t="s">
        <v>3176</v>
      </c>
      <c r="W17" s="3478">
        <f>J17</f>
        <v>100</v>
      </c>
      <c r="X17" s="3386"/>
      <c r="Y17" s="3489"/>
      <c r="Z17" s="3480" t="str">
        <f>Q17</f>
        <v>交通便捷度</v>
      </c>
      <c r="AA17" s="3481">
        <f t="shared" si="3"/>
        <v>1</v>
      </c>
      <c r="AB17" s="3481">
        <f t="shared" si="4"/>
        <v>1</v>
      </c>
      <c r="AC17" s="3481">
        <f t="shared" si="5"/>
        <v>1</v>
      </c>
    </row>
    <row r="18" spans="1:29" ht="15">
      <c r="A18" s="3450"/>
      <c r="B18" s="3496"/>
      <c r="C18" s="3497" t="s">
        <v>3124</v>
      </c>
      <c r="D18" s="3486"/>
      <c r="E18" s="3497" t="s">
        <v>3124</v>
      </c>
      <c r="F18" s="3493"/>
      <c r="G18" s="3497" t="s">
        <v>3124</v>
      </c>
      <c r="H18" s="3484"/>
      <c r="I18" s="3497" t="s">
        <v>3124</v>
      </c>
      <c r="J18" s="3484"/>
      <c r="K18" s="3487"/>
      <c r="L18" s="3461"/>
      <c r="M18" s="3380"/>
      <c r="N18" s="3380"/>
      <c r="O18" s="3380"/>
      <c r="P18" s="3488"/>
      <c r="Q18" s="3476"/>
      <c r="R18" s="3477"/>
      <c r="S18" s="3478"/>
      <c r="T18" s="3477"/>
      <c r="U18" s="3478"/>
      <c r="V18" s="3477"/>
      <c r="W18" s="3478"/>
      <c r="X18" s="3386"/>
      <c r="Y18" s="3489"/>
      <c r="Z18" s="3480"/>
      <c r="AA18" s="3481">
        <v>1</v>
      </c>
      <c r="AB18" s="3481">
        <v>1</v>
      </c>
      <c r="AC18" s="3481">
        <v>1</v>
      </c>
    </row>
    <row r="19" spans="1:29" ht="42.75">
      <c r="A19" s="3450"/>
      <c r="B19" s="3490" t="s">
        <v>3178</v>
      </c>
      <c r="C19" s="3491" t="str">
        <f>[2]估价对象房地状况!C7</f>
        <v>估价对象所在区域公共配套设施齐备情况</v>
      </c>
      <c r="D19" s="3495">
        <v>100</v>
      </c>
      <c r="E19" s="3498"/>
      <c r="F19" s="3499">
        <f>SUMIF(80:80,E20,81:81)-SUMIF(80:80,C20,81:81)+100</f>
        <v>100</v>
      </c>
      <c r="G19" s="3500"/>
      <c r="H19" s="3486">
        <f>SUMIF(80:80,G20,81:81)-SUMIF(80:80,C20,81:81)+100</f>
        <v>100</v>
      </c>
      <c r="I19" s="3498"/>
      <c r="J19" s="3486">
        <f>SUMIF(80:80,I20,81:81)-SUMIF(80:80,C20,81:81)+100</f>
        <v>100</v>
      </c>
      <c r="K19" s="3474">
        <v>1</v>
      </c>
      <c r="L19" s="3461"/>
      <c r="M19" s="3380"/>
      <c r="N19" s="3380"/>
      <c r="O19" s="3380"/>
      <c r="P19" s="3488"/>
      <c r="Q19" s="3476" t="str">
        <f>B19</f>
        <v>公共配套设施</v>
      </c>
      <c r="R19" s="3477" t="s">
        <v>3176</v>
      </c>
      <c r="S19" s="3478">
        <f>F19</f>
        <v>100</v>
      </c>
      <c r="T19" s="3477" t="s">
        <v>3176</v>
      </c>
      <c r="U19" s="3478">
        <f>H19</f>
        <v>100</v>
      </c>
      <c r="V19" s="3477" t="s">
        <v>3176</v>
      </c>
      <c r="W19" s="3478">
        <f>J19</f>
        <v>100</v>
      </c>
      <c r="X19" s="3386"/>
      <c r="Y19" s="3489"/>
      <c r="Z19" s="3480" t="str">
        <f>Q19</f>
        <v>公共配套设施</v>
      </c>
      <c r="AA19" s="3481">
        <f t="shared" si="3"/>
        <v>1</v>
      </c>
      <c r="AB19" s="3481">
        <f t="shared" si="4"/>
        <v>1</v>
      </c>
      <c r="AC19" s="3481">
        <f t="shared" si="5"/>
        <v>1</v>
      </c>
    </row>
    <row r="20" spans="1:29" ht="15">
      <c r="A20" s="3450"/>
      <c r="B20" s="3496"/>
      <c r="C20" s="3483" t="s">
        <v>3124</v>
      </c>
      <c r="D20" s="3484"/>
      <c r="E20" s="3483" t="s">
        <v>3124</v>
      </c>
      <c r="F20" s="3485"/>
      <c r="G20" s="3483" t="s">
        <v>3124</v>
      </c>
      <c r="H20" s="3484"/>
      <c r="I20" s="3483" t="s">
        <v>3124</v>
      </c>
      <c r="J20" s="3484"/>
      <c r="K20" s="3487"/>
      <c r="L20" s="3461"/>
      <c r="M20" s="3380"/>
      <c r="N20" s="3380"/>
      <c r="O20" s="3380"/>
      <c r="P20" s="3488"/>
      <c r="Q20" s="3476"/>
      <c r="R20" s="3477"/>
      <c r="S20" s="3478"/>
      <c r="T20" s="3477"/>
      <c r="U20" s="3478"/>
      <c r="V20" s="3477"/>
      <c r="W20" s="3478"/>
      <c r="X20" s="3386"/>
      <c r="Y20" s="3489"/>
      <c r="Z20" s="3480"/>
      <c r="AA20" s="3481">
        <v>1</v>
      </c>
      <c r="AB20" s="3481">
        <v>1</v>
      </c>
      <c r="AC20" s="3481">
        <v>1</v>
      </c>
    </row>
    <row r="21" spans="1:29" ht="28.5">
      <c r="A21" s="3450"/>
      <c r="B21" s="3501" t="s">
        <v>3179</v>
      </c>
      <c r="C21" s="3491" t="str">
        <f>[2]估价对象房地状况!C8</f>
        <v>估价对象所在区域基础设施水平</v>
      </c>
      <c r="D21" s="3495">
        <v>100</v>
      </c>
      <c r="E21" s="3498"/>
      <c r="F21" s="3499">
        <f>SUMIF(82:82,E22,83:83)-SUMIF(82:82,C22,83:83)+100</f>
        <v>100</v>
      </c>
      <c r="G21" s="3500"/>
      <c r="H21" s="3486">
        <f>SUMIF(82:82,G22,83:83)-SUMIF(82:82,C22,83:83)+100</f>
        <v>100</v>
      </c>
      <c r="I21" s="3498"/>
      <c r="J21" s="3486">
        <f>SUMIF(82:82,I22,83:83)-SUMIF(82:82,C22,83:83)+100</f>
        <v>100</v>
      </c>
      <c r="K21" s="3474">
        <v>1</v>
      </c>
      <c r="L21" s="3461"/>
      <c r="M21" s="3380"/>
      <c r="N21" s="3380"/>
      <c r="O21" s="3380"/>
      <c r="P21" s="3488"/>
      <c r="Q21" s="3476" t="str">
        <f>B21</f>
        <v>基础设施水平</v>
      </c>
      <c r="R21" s="3477" t="s">
        <v>3176</v>
      </c>
      <c r="S21" s="3478">
        <f>F21</f>
        <v>100</v>
      </c>
      <c r="T21" s="3477" t="s">
        <v>3176</v>
      </c>
      <c r="U21" s="3478">
        <f>H21</f>
        <v>100</v>
      </c>
      <c r="V21" s="3477" t="s">
        <v>3176</v>
      </c>
      <c r="W21" s="3478">
        <f>J21</f>
        <v>100</v>
      </c>
      <c r="X21" s="3386"/>
      <c r="Y21" s="3489"/>
      <c r="Z21" s="3480" t="str">
        <f>Q21</f>
        <v>基础设施水平</v>
      </c>
      <c r="AA21" s="3481">
        <f t="shared" ref="AA21" si="8">D21/F21</f>
        <v>1</v>
      </c>
      <c r="AB21" s="3481">
        <f t="shared" ref="AB21" si="9">D21/H21</f>
        <v>1</v>
      </c>
      <c r="AC21" s="3481">
        <f t="shared" ref="AC21" si="10">D21/J21</f>
        <v>1</v>
      </c>
    </row>
    <row r="22" spans="1:29" ht="15">
      <c r="A22" s="3450"/>
      <c r="B22" s="3501"/>
      <c r="C22" s="3497" t="s">
        <v>3125</v>
      </c>
      <c r="D22" s="3484"/>
      <c r="E22" s="3497" t="s">
        <v>3125</v>
      </c>
      <c r="F22" s="3485"/>
      <c r="G22" s="3497" t="s">
        <v>3125</v>
      </c>
      <c r="H22" s="3484"/>
      <c r="I22" s="3497" t="s">
        <v>3125</v>
      </c>
      <c r="J22" s="3484"/>
      <c r="K22" s="3502"/>
      <c r="L22" s="3461"/>
      <c r="M22" s="3380"/>
      <c r="N22" s="3380"/>
      <c r="O22" s="3380"/>
      <c r="P22" s="3488"/>
      <c r="Q22" s="3476"/>
      <c r="R22" s="3477"/>
      <c r="S22" s="3478"/>
      <c r="T22" s="3477"/>
      <c r="U22" s="3478"/>
      <c r="V22" s="3477"/>
      <c r="W22" s="3478"/>
      <c r="X22" s="3386"/>
      <c r="Y22" s="3489"/>
      <c r="Z22" s="3480"/>
      <c r="AA22" s="3481">
        <v>1</v>
      </c>
      <c r="AB22" s="3481">
        <v>1</v>
      </c>
      <c r="AC22" s="3481">
        <v>1</v>
      </c>
    </row>
    <row r="23" spans="1:29" ht="57">
      <c r="A23" s="3450"/>
      <c r="B23" s="3490" t="s">
        <v>2100</v>
      </c>
      <c r="C23" s="3503" t="str">
        <f>[2]估价对象房地状况!C9</f>
        <v>区域自然环境：；人文环境；综合评价环境状况一般</v>
      </c>
      <c r="D23" s="3486">
        <v>100</v>
      </c>
      <c r="E23" s="3492"/>
      <c r="F23" s="3493">
        <f>SUMIF(84:84,E24,85:85)-SUMIF(84:84,C24,85:85)+100</f>
        <v>100</v>
      </c>
      <c r="G23" s="3494"/>
      <c r="H23" s="3486">
        <f>SUMIF(84:84,G24,85:85)-SUMIF(84:84,C24,85:85)+100</f>
        <v>100</v>
      </c>
      <c r="I23" s="3492"/>
      <c r="J23" s="3486">
        <f>SUMIF(84:84,I24,85:85)-SUMIF(84:84,C24,85:85)+100</f>
        <v>100</v>
      </c>
      <c r="K23" s="3474">
        <v>1</v>
      </c>
      <c r="L23" s="3461"/>
      <c r="M23" s="3380"/>
      <c r="N23" s="3380"/>
      <c r="O23" s="3380"/>
      <c r="P23" s="3488"/>
      <c r="Q23" s="3476" t="str">
        <f>B23</f>
        <v>自然及人文环境</v>
      </c>
      <c r="R23" s="3477" t="s">
        <v>3176</v>
      </c>
      <c r="S23" s="3478">
        <f>F23</f>
        <v>100</v>
      </c>
      <c r="T23" s="3477" t="s">
        <v>3176</v>
      </c>
      <c r="U23" s="3478">
        <f>H23</f>
        <v>100</v>
      </c>
      <c r="V23" s="3477" t="s">
        <v>3176</v>
      </c>
      <c r="W23" s="3478">
        <f>J23</f>
        <v>100</v>
      </c>
      <c r="X23" s="3386"/>
      <c r="Y23" s="3489"/>
      <c r="Z23" s="3480" t="str">
        <f>Q23</f>
        <v>自然及人文环境</v>
      </c>
      <c r="AA23" s="3481">
        <f t="shared" si="3"/>
        <v>1</v>
      </c>
      <c r="AB23" s="3481">
        <f t="shared" si="4"/>
        <v>1</v>
      </c>
      <c r="AC23" s="3481">
        <f t="shared" si="5"/>
        <v>1</v>
      </c>
    </row>
    <row r="24" spans="1:29" ht="15">
      <c r="A24" s="3450"/>
      <c r="B24" s="3496"/>
      <c r="C24" s="3483" t="s">
        <v>3124</v>
      </c>
      <c r="D24" s="3484"/>
      <c r="E24" s="3483" t="s">
        <v>3124</v>
      </c>
      <c r="F24" s="3485"/>
      <c r="G24" s="3483" t="s">
        <v>3124</v>
      </c>
      <c r="H24" s="3484"/>
      <c r="I24" s="3483" t="s">
        <v>3124</v>
      </c>
      <c r="J24" s="3484"/>
      <c r="K24" s="3487"/>
      <c r="L24" s="3461"/>
      <c r="M24" s="3380"/>
      <c r="N24" s="3380"/>
      <c r="O24" s="3380"/>
      <c r="P24" s="3488"/>
      <c r="Q24" s="3476"/>
      <c r="R24" s="3477"/>
      <c r="S24" s="3478"/>
      <c r="T24" s="3477"/>
      <c r="U24" s="3478"/>
      <c r="V24" s="3477"/>
      <c r="W24" s="3478"/>
      <c r="X24" s="3386"/>
      <c r="Y24" s="3489"/>
      <c r="Z24" s="3480"/>
      <c r="AA24" s="3481">
        <v>1</v>
      </c>
      <c r="AB24" s="3481">
        <v>1</v>
      </c>
      <c r="AC24" s="3481">
        <v>1</v>
      </c>
    </row>
    <row r="25" spans="1:29" ht="15">
      <c r="A25" s="3450"/>
      <c r="B25" s="3441" t="s">
        <v>3180</v>
      </c>
      <c r="C25" s="3504" t="s">
        <v>3142</v>
      </c>
      <c r="D25" s="3460">
        <v>100</v>
      </c>
      <c r="E25" s="3504" t="s">
        <v>3144</v>
      </c>
      <c r="F25" s="3505">
        <f>SUMIF(86:86,E25,87:87)-SUMIF(86:86,C25,87:87)+100</f>
        <v>99</v>
      </c>
      <c r="G25" s="3504" t="s">
        <v>3142</v>
      </c>
      <c r="H25" s="3460">
        <f>SUMIF(86:86,G25,87:87)-SUMIF(86:86,C25,87:87)+100</f>
        <v>100</v>
      </c>
      <c r="I25" s="3504" t="s">
        <v>3144</v>
      </c>
      <c r="J25" s="3460">
        <f>SUMIF(86:86,I25,87:87)-SUMIF(86:86,C25,87:87)+100</f>
        <v>99</v>
      </c>
      <c r="K25" s="3446">
        <v>1</v>
      </c>
      <c r="L25" s="3461"/>
      <c r="M25" s="3380"/>
      <c r="N25" s="3380"/>
      <c r="O25" s="3380"/>
      <c r="P25" s="3488"/>
      <c r="Q25" s="3476" t="str">
        <f t="shared" ref="Q25:Q46" si="11">B25</f>
        <v>临街状况</v>
      </c>
      <c r="R25" s="3477" t="s">
        <v>3176</v>
      </c>
      <c r="S25" s="3478">
        <f>F25</f>
        <v>99</v>
      </c>
      <c r="T25" s="3477" t="s">
        <v>3176</v>
      </c>
      <c r="U25" s="3478">
        <f>H25</f>
        <v>100</v>
      </c>
      <c r="V25" s="3477" t="s">
        <v>3176</v>
      </c>
      <c r="W25" s="3478">
        <f>J25</f>
        <v>99</v>
      </c>
      <c r="X25" s="3386"/>
      <c r="Y25" s="3489"/>
      <c r="Z25" s="3480" t="str">
        <f>Q25</f>
        <v>临街状况</v>
      </c>
      <c r="AA25" s="3481">
        <f t="shared" si="3"/>
        <v>1.0101010101010102</v>
      </c>
      <c r="AB25" s="3481">
        <f t="shared" si="4"/>
        <v>1</v>
      </c>
      <c r="AC25" s="3481">
        <f t="shared" si="5"/>
        <v>1.0101010101010102</v>
      </c>
    </row>
    <row r="26" spans="1:29" ht="15">
      <c r="A26" s="3450"/>
      <c r="B26" s="3506" t="s">
        <v>3181</v>
      </c>
      <c r="C26" s="3507" t="s">
        <v>3182</v>
      </c>
      <c r="D26" s="3460">
        <v>100</v>
      </c>
      <c r="E26" s="3507" t="s">
        <v>3182</v>
      </c>
      <c r="F26" s="3505">
        <f>SUMIF(88:88,E26,89:89)-SUMIF(88:88,C26,89:89)+100</f>
        <v>100</v>
      </c>
      <c r="G26" s="3507" t="s">
        <v>3182</v>
      </c>
      <c r="H26" s="3460">
        <f>SUMIF(88:88,G26,89:89)-SUMIF(88:88,C26,89:89)+100</f>
        <v>100</v>
      </c>
      <c r="I26" s="3507" t="s">
        <v>3182</v>
      </c>
      <c r="J26" s="3460">
        <f>SUMIF(88:88,I26,89:89)-SUMIF(88:88,C26,89:89)+100</f>
        <v>100</v>
      </c>
      <c r="K26" s="3459"/>
      <c r="L26" s="3461"/>
      <c r="M26" s="3380"/>
      <c r="N26" s="3380"/>
      <c r="O26" s="3380"/>
      <c r="P26" s="3488"/>
      <c r="Q26" s="3476" t="str">
        <f t="shared" si="11"/>
        <v>平面位置/可视性</v>
      </c>
      <c r="R26" s="3477" t="s">
        <v>3176</v>
      </c>
      <c r="S26" s="3478">
        <f>F26</f>
        <v>100</v>
      </c>
      <c r="T26" s="3477" t="s">
        <v>3176</v>
      </c>
      <c r="U26" s="3478">
        <f>H26</f>
        <v>100</v>
      </c>
      <c r="V26" s="3477" t="s">
        <v>3176</v>
      </c>
      <c r="W26" s="3478">
        <f>J26</f>
        <v>100</v>
      </c>
      <c r="X26" s="3386"/>
      <c r="Y26" s="3489"/>
      <c r="Z26" s="3480" t="str">
        <f>Q26</f>
        <v>平面位置/可视性</v>
      </c>
      <c r="AA26" s="3481">
        <f t="shared" si="3"/>
        <v>1</v>
      </c>
      <c r="AB26" s="3481">
        <f t="shared" si="4"/>
        <v>1</v>
      </c>
      <c r="AC26" s="3481">
        <f t="shared" si="5"/>
        <v>1</v>
      </c>
    </row>
    <row r="27" spans="1:29" s="3428" customFormat="1" ht="15">
      <c r="A27" s="3454"/>
      <c r="B27" s="3490" t="s">
        <v>3183</v>
      </c>
      <c r="C27" s="3508" t="s">
        <v>3149</v>
      </c>
      <c r="D27" s="3509">
        <v>100</v>
      </c>
      <c r="E27" s="3508" t="s">
        <v>3149</v>
      </c>
      <c r="F27" s="3510">
        <f>SUMIF(90:90,E27,91:91)-SUMIF(90:90,C27,91:91)+100</f>
        <v>100</v>
      </c>
      <c r="G27" s="3508" t="s">
        <v>3149</v>
      </c>
      <c r="H27" s="3509">
        <f>SUMIF(90:90,G27,91:91)-SUMIF(90:90,C27,91:91)+100</f>
        <v>100</v>
      </c>
      <c r="I27" s="3508" t="s">
        <v>3149</v>
      </c>
      <c r="J27" s="3509">
        <f>SUMIF(90:90,I27,91:91)-SUMIF(90:90,C27,91:91)+100</f>
        <v>100</v>
      </c>
      <c r="K27" s="3446">
        <v>1</v>
      </c>
      <c r="L27" s="3419"/>
      <c r="M27" s="3420"/>
      <c r="N27" s="3420"/>
      <c r="O27" s="3420"/>
      <c r="P27" s="3488"/>
      <c r="Q27" s="3437" t="str">
        <f t="shared" si="11"/>
        <v>人流量</v>
      </c>
      <c r="R27" s="3423" t="s">
        <v>3176</v>
      </c>
      <c r="S27" s="3424">
        <f>F27</f>
        <v>100</v>
      </c>
      <c r="T27" s="3423" t="s">
        <v>3176</v>
      </c>
      <c r="U27" s="3424">
        <f>H27</f>
        <v>100</v>
      </c>
      <c r="V27" s="3423" t="s">
        <v>3176</v>
      </c>
      <c r="W27" s="3424">
        <f>J27</f>
        <v>100</v>
      </c>
      <c r="X27" s="3425"/>
      <c r="Y27" s="3489"/>
      <c r="Z27" s="3439" t="str">
        <f>Q27</f>
        <v>人流量</v>
      </c>
      <c r="AA27" s="3481">
        <f>D27/F27</f>
        <v>1</v>
      </c>
      <c r="AB27" s="3481">
        <f>D27/H27</f>
        <v>1</v>
      </c>
      <c r="AC27" s="3481">
        <f>D27/J27</f>
        <v>1</v>
      </c>
    </row>
    <row r="28" spans="1:29" ht="15">
      <c r="A28" s="3450"/>
      <c r="B28" s="3441" t="s">
        <v>3184</v>
      </c>
      <c r="C28" s="3504" t="s">
        <v>3154</v>
      </c>
      <c r="D28" s="3460">
        <v>100</v>
      </c>
      <c r="E28" s="3504" t="s">
        <v>3154</v>
      </c>
      <c r="F28" s="3505">
        <f>SUMIF(92:92,E28,93:93)-SUMIF(92:92,C28,93:93)+100</f>
        <v>100</v>
      </c>
      <c r="G28" s="3504" t="s">
        <v>3154</v>
      </c>
      <c r="H28" s="3460">
        <f>SUMIF(92:92,G28,93:93)-SUMIF(92:92,C28,93:93)+100</f>
        <v>100</v>
      </c>
      <c r="I28" s="3504" t="s">
        <v>3154</v>
      </c>
      <c r="J28" s="3460">
        <f>SUMIF(92:92,I28,93:93)-SUMIF(92:92,C28,93:93)+100</f>
        <v>100</v>
      </c>
      <c r="K28" s="3459"/>
      <c r="L28" s="3461"/>
      <c r="M28" s="3380"/>
      <c r="N28" s="3380"/>
      <c r="O28" s="3380"/>
      <c r="P28" s="3488"/>
      <c r="Q28" s="3476" t="str">
        <f t="shared" si="11"/>
        <v>楼层</v>
      </c>
      <c r="R28" s="3477" t="s">
        <v>3176</v>
      </c>
      <c r="S28" s="3478">
        <f t="shared" ref="S28:S46" si="12">F28</f>
        <v>100</v>
      </c>
      <c r="T28" s="3477" t="s">
        <v>3176</v>
      </c>
      <c r="U28" s="3478">
        <f t="shared" ref="U28:U46" si="13">H28</f>
        <v>100</v>
      </c>
      <c r="V28" s="3477" t="s">
        <v>3176</v>
      </c>
      <c r="W28" s="3478">
        <f t="shared" ref="W28:W46" si="14">J28</f>
        <v>100</v>
      </c>
      <c r="X28" s="3386"/>
      <c r="Y28" s="3489"/>
      <c r="Z28" s="3480" t="str">
        <f t="shared" ref="Z28:Z46" si="15">Q28</f>
        <v>楼层</v>
      </c>
      <c r="AA28" s="3481">
        <f t="shared" si="3"/>
        <v>1</v>
      </c>
      <c r="AB28" s="3481">
        <f t="shared" si="4"/>
        <v>1</v>
      </c>
      <c r="AC28" s="3481">
        <f t="shared" si="5"/>
        <v>1</v>
      </c>
    </row>
    <row r="29" spans="1:29" ht="15">
      <c r="A29" s="3450"/>
      <c r="B29" s="3506">
        <v>111</v>
      </c>
      <c r="C29" s="3458"/>
      <c r="D29" s="3460">
        <v>100</v>
      </c>
      <c r="E29" s="3458"/>
      <c r="F29" s="3505">
        <f>SUMIF(94:94,E29,95:95)-SUMIF(94:94,C29,95:95)+100</f>
        <v>100</v>
      </c>
      <c r="G29" s="3458"/>
      <c r="H29" s="3460">
        <f>SUMIF(94:94,G29,95:95)-SUMIF(94:94,C29,95:95)+100</f>
        <v>100</v>
      </c>
      <c r="I29" s="3458"/>
      <c r="J29" s="3460">
        <f>SUMIF(94:94,I29,95:95)-SUMIF(94:94,C29,95:95)+100</f>
        <v>100</v>
      </c>
      <c r="K29" s="3459"/>
      <c r="L29" s="3461"/>
      <c r="M29" s="3380"/>
      <c r="N29" s="3380"/>
      <c r="O29" s="3380"/>
      <c r="P29" s="3488"/>
      <c r="Q29" s="3476">
        <f t="shared" si="11"/>
        <v>111</v>
      </c>
      <c r="R29" s="3477" t="s">
        <v>3176</v>
      </c>
      <c r="S29" s="3478">
        <f t="shared" si="12"/>
        <v>100</v>
      </c>
      <c r="T29" s="3477" t="s">
        <v>3176</v>
      </c>
      <c r="U29" s="3478">
        <f t="shared" si="13"/>
        <v>100</v>
      </c>
      <c r="V29" s="3477" t="s">
        <v>3176</v>
      </c>
      <c r="W29" s="3478">
        <f t="shared" si="14"/>
        <v>100</v>
      </c>
      <c r="X29" s="3386"/>
      <c r="Y29" s="3489"/>
      <c r="Z29" s="3480">
        <f t="shared" si="15"/>
        <v>111</v>
      </c>
      <c r="AA29" s="3481">
        <f t="shared" si="3"/>
        <v>1</v>
      </c>
      <c r="AB29" s="3481">
        <f t="shared" si="4"/>
        <v>1</v>
      </c>
      <c r="AC29" s="3481">
        <f t="shared" si="5"/>
        <v>1</v>
      </c>
    </row>
    <row r="30" spans="1:29" ht="15">
      <c r="A30" s="3450"/>
      <c r="B30" s="3506">
        <v>111</v>
      </c>
      <c r="C30" s="3458"/>
      <c r="D30" s="3460">
        <v>100</v>
      </c>
      <c r="E30" s="3458"/>
      <c r="F30" s="3505">
        <f>SUMIF(96:96,E30,97:97)-SUMIF(96:96,C30,97:97)+100</f>
        <v>100</v>
      </c>
      <c r="G30" s="3458"/>
      <c r="H30" s="3460">
        <f>SUMIF(96:96,G30,97:97)-SUMIF(96:96,C30,97:97)+100</f>
        <v>100</v>
      </c>
      <c r="I30" s="3458"/>
      <c r="J30" s="3460">
        <f>SUMIF(96:96,I30,97:97)-SUMIF(96:96,C30,97:97)+100</f>
        <v>100</v>
      </c>
      <c r="K30" s="3459"/>
      <c r="L30" s="3461"/>
      <c r="M30" s="3380"/>
      <c r="N30" s="3380"/>
      <c r="O30" s="3380"/>
      <c r="P30" s="3488"/>
      <c r="Q30" s="3476">
        <f t="shared" si="11"/>
        <v>111</v>
      </c>
      <c r="R30" s="3477" t="s">
        <v>3176</v>
      </c>
      <c r="S30" s="3478">
        <f t="shared" si="12"/>
        <v>100</v>
      </c>
      <c r="T30" s="3477" t="s">
        <v>3176</v>
      </c>
      <c r="U30" s="3478">
        <f t="shared" si="13"/>
        <v>100</v>
      </c>
      <c r="V30" s="3477" t="s">
        <v>3176</v>
      </c>
      <c r="W30" s="3478">
        <f t="shared" si="14"/>
        <v>100</v>
      </c>
      <c r="X30" s="3386"/>
      <c r="Y30" s="3489"/>
      <c r="Z30" s="3480">
        <f t="shared" si="15"/>
        <v>111</v>
      </c>
      <c r="AA30" s="3481">
        <f t="shared" si="3"/>
        <v>1</v>
      </c>
      <c r="AB30" s="3481">
        <f t="shared" si="4"/>
        <v>1</v>
      </c>
      <c r="AC30" s="3481">
        <f t="shared" si="5"/>
        <v>1</v>
      </c>
    </row>
    <row r="31" spans="1:29" ht="15.75" thickBot="1">
      <c r="A31" s="3462"/>
      <c r="B31" s="3506">
        <v>111</v>
      </c>
      <c r="C31" s="3464"/>
      <c r="D31" s="3465">
        <v>100</v>
      </c>
      <c r="E31" s="3458"/>
      <c r="F31" s="3466">
        <f>SUMIF(98:98,E31,99:99)-SUMIF(98:98,C31,99:99)+100</f>
        <v>100</v>
      </c>
      <c r="G31" s="3458"/>
      <c r="H31" s="3465">
        <f>SUMIF(98:98,G31,99:99)-SUMIF(98:98,C31,99:99)+100</f>
        <v>100</v>
      </c>
      <c r="I31" s="3458"/>
      <c r="J31" s="3465">
        <f>SUMIF(98:98,I31,99:99)-SUMIF(98:98,C31,99:99)+100</f>
        <v>100</v>
      </c>
      <c r="K31" s="3459"/>
      <c r="L31" s="3461"/>
      <c r="M31" s="3380"/>
      <c r="N31" s="3380"/>
      <c r="O31" s="3380"/>
      <c r="P31" s="3488"/>
      <c r="Q31" s="3476">
        <f t="shared" si="11"/>
        <v>111</v>
      </c>
      <c r="R31" s="3477" t="s">
        <v>3176</v>
      </c>
      <c r="S31" s="3478">
        <f t="shared" si="12"/>
        <v>100</v>
      </c>
      <c r="T31" s="3477" t="s">
        <v>3176</v>
      </c>
      <c r="U31" s="3478">
        <f t="shared" si="13"/>
        <v>100</v>
      </c>
      <c r="V31" s="3477" t="s">
        <v>3176</v>
      </c>
      <c r="W31" s="3478">
        <f t="shared" si="14"/>
        <v>100</v>
      </c>
      <c r="X31" s="3386"/>
      <c r="Y31" s="3489"/>
      <c r="Z31" s="3480">
        <f t="shared" si="15"/>
        <v>111</v>
      </c>
      <c r="AA31" s="3481">
        <f t="shared" si="3"/>
        <v>1</v>
      </c>
      <c r="AB31" s="3481">
        <f t="shared" si="4"/>
        <v>1</v>
      </c>
      <c r="AC31" s="3481">
        <f t="shared" si="5"/>
        <v>1</v>
      </c>
    </row>
    <row r="32" spans="1:29" ht="15">
      <c r="A32" s="3467" t="s">
        <v>3185</v>
      </c>
      <c r="B32" s="3431" t="s">
        <v>3186</v>
      </c>
      <c r="C32" s="3511" t="s">
        <v>3104</v>
      </c>
      <c r="D32" s="3512">
        <v>100</v>
      </c>
      <c r="E32" s="3511" t="s">
        <v>3104</v>
      </c>
      <c r="F32" s="3505">
        <f>SUMIF(100:100,E32,101:101)-SUMIF(100:100,C32,101:101)+100</f>
        <v>100</v>
      </c>
      <c r="G32" s="3511" t="s">
        <v>3104</v>
      </c>
      <c r="H32" s="3460">
        <f>SUMIF(100:100,G32,101:101)-SUMIF(100:100,C32,101:101)+100</f>
        <v>100</v>
      </c>
      <c r="I32" s="3511" t="s">
        <v>3104</v>
      </c>
      <c r="J32" s="3512">
        <f>SUMIF(100:100,I32,101:101)-SUMIF(100:100,C32,101:101)+100</f>
        <v>100</v>
      </c>
      <c r="K32" s="3446">
        <v>1</v>
      </c>
      <c r="L32" s="3461"/>
      <c r="M32" s="3380"/>
      <c r="N32" s="3380"/>
      <c r="O32" s="3380"/>
      <c r="P32" s="3513" t="s">
        <v>3187</v>
      </c>
      <c r="Q32" s="3476" t="str">
        <f t="shared" si="11"/>
        <v>商业类型</v>
      </c>
      <c r="R32" s="3477" t="s">
        <v>3176</v>
      </c>
      <c r="S32" s="3478">
        <f t="shared" si="12"/>
        <v>100</v>
      </c>
      <c r="T32" s="3477" t="s">
        <v>3176</v>
      </c>
      <c r="U32" s="3478">
        <f t="shared" si="13"/>
        <v>100</v>
      </c>
      <c r="V32" s="3477" t="s">
        <v>3176</v>
      </c>
      <c r="W32" s="3478">
        <f t="shared" si="14"/>
        <v>100</v>
      </c>
      <c r="X32" s="3386"/>
      <c r="Y32" s="3514" t="s">
        <v>3187</v>
      </c>
      <c r="Z32" s="3480" t="str">
        <f t="shared" si="15"/>
        <v>商业类型</v>
      </c>
      <c r="AA32" s="3481">
        <f t="shared" si="3"/>
        <v>1</v>
      </c>
      <c r="AB32" s="3481">
        <f t="shared" si="4"/>
        <v>1</v>
      </c>
      <c r="AC32" s="3481">
        <f t="shared" si="5"/>
        <v>1</v>
      </c>
    </row>
    <row r="33" spans="1:29" s="3524" customFormat="1" ht="15">
      <c r="A33" s="3515"/>
      <c r="B33" s="3441" t="s">
        <v>2562</v>
      </c>
      <c r="C33" s="3516">
        <f>'[1]数据-汇总表'!F19</f>
        <v>765.92</v>
      </c>
      <c r="D33" s="3443">
        <v>100</v>
      </c>
      <c r="E33" s="3452">
        <v>265</v>
      </c>
      <c r="F33" s="3445">
        <f>LOOKUP(E33,103:103,104:104)-LOOKUP(C33,103:103,104:104)+100</f>
        <v>102</v>
      </c>
      <c r="G33" s="3451">
        <v>80</v>
      </c>
      <c r="H33" s="3443">
        <f>LOOKUP(G33,103:103,104:104)-LOOKUP(C33,103:103,104:104)+100</f>
        <v>104</v>
      </c>
      <c r="I33" s="3451">
        <v>265</v>
      </c>
      <c r="J33" s="3443">
        <f>LOOKUP(I33,103:103,104:104)-LOOKUP(C33,103:103,104:104)+100</f>
        <v>102</v>
      </c>
      <c r="K33" s="3459"/>
      <c r="L33" s="3453"/>
      <c r="M33" s="3517"/>
      <c r="N33" s="3517"/>
      <c r="O33" s="3517"/>
      <c r="P33" s="3518"/>
      <c r="Q33" s="3519" t="str">
        <f t="shared" si="11"/>
        <v>项目建筑规模</v>
      </c>
      <c r="R33" s="3520" t="s">
        <v>3176</v>
      </c>
      <c r="S33" s="3521">
        <f t="shared" si="12"/>
        <v>102</v>
      </c>
      <c r="T33" s="3520" t="s">
        <v>3176</v>
      </c>
      <c r="U33" s="3521">
        <f t="shared" si="13"/>
        <v>104</v>
      </c>
      <c r="V33" s="3520" t="s">
        <v>3176</v>
      </c>
      <c r="W33" s="3521">
        <f t="shared" si="14"/>
        <v>102</v>
      </c>
      <c r="X33" s="3522"/>
      <c r="Y33" s="3514"/>
      <c r="Z33" s="3523" t="str">
        <f t="shared" si="15"/>
        <v>项目建筑规模</v>
      </c>
      <c r="AA33" s="3481">
        <f t="shared" si="3"/>
        <v>0.98039215686274506</v>
      </c>
      <c r="AB33" s="3481">
        <f t="shared" si="4"/>
        <v>0.96153846153846156</v>
      </c>
      <c r="AC33" s="3481">
        <f t="shared" si="5"/>
        <v>0.98039215686274506</v>
      </c>
    </row>
    <row r="34" spans="1:29" ht="15">
      <c r="A34" s="3525"/>
      <c r="B34" s="3441" t="s">
        <v>2563</v>
      </c>
      <c r="C34" s="3526" t="s">
        <v>3111</v>
      </c>
      <c r="D34" s="3460">
        <v>100</v>
      </c>
      <c r="E34" s="3526" t="s">
        <v>3111</v>
      </c>
      <c r="F34" s="3505">
        <f>SUMIF(105:105,E34,106:106)-SUMIF(105:105,C34,106:106)+100</f>
        <v>100</v>
      </c>
      <c r="G34" s="3526" t="s">
        <v>3111</v>
      </c>
      <c r="H34" s="3460">
        <f>SUMIF(105:105,G34,106:106)-SUMIF(105:105,C34,106:106)+100</f>
        <v>100</v>
      </c>
      <c r="I34" s="3526" t="s">
        <v>3111</v>
      </c>
      <c r="J34" s="3460">
        <f>SUMIF(105:105,I34,106:106)-SUMIF(105:105,C34,106:106)+100</f>
        <v>100</v>
      </c>
      <c r="K34" s="3446">
        <v>1</v>
      </c>
      <c r="L34" s="3461"/>
      <c r="M34" s="3380"/>
      <c r="N34" s="3380"/>
      <c r="O34" s="3380"/>
      <c r="P34" s="3518"/>
      <c r="Q34" s="3476" t="str">
        <f t="shared" si="11"/>
        <v>建筑结构</v>
      </c>
      <c r="R34" s="3477" t="s">
        <v>3176</v>
      </c>
      <c r="S34" s="3478">
        <f t="shared" si="12"/>
        <v>100</v>
      </c>
      <c r="T34" s="3477" t="s">
        <v>3176</v>
      </c>
      <c r="U34" s="3478">
        <f t="shared" si="13"/>
        <v>100</v>
      </c>
      <c r="V34" s="3477" t="s">
        <v>3176</v>
      </c>
      <c r="W34" s="3478">
        <f t="shared" si="14"/>
        <v>100</v>
      </c>
      <c r="X34" s="3386"/>
      <c r="Y34" s="3514"/>
      <c r="Z34" s="3480" t="str">
        <f t="shared" si="15"/>
        <v>建筑结构</v>
      </c>
      <c r="AA34" s="3481">
        <f t="shared" si="3"/>
        <v>1</v>
      </c>
      <c r="AB34" s="3481">
        <f t="shared" si="4"/>
        <v>1</v>
      </c>
      <c r="AC34" s="3481">
        <f t="shared" si="5"/>
        <v>1</v>
      </c>
    </row>
    <row r="35" spans="1:29" ht="15">
      <c r="A35" s="3525"/>
      <c r="B35" s="3441" t="s">
        <v>3188</v>
      </c>
      <c r="C35" s="3527" t="s">
        <v>3140</v>
      </c>
      <c r="D35" s="3460">
        <v>100</v>
      </c>
      <c r="E35" s="3527" t="s">
        <v>3140</v>
      </c>
      <c r="F35" s="3505">
        <f>SUMIF(107:107,E35,108:108)-SUMIF(107:107,C35,108:108)+100</f>
        <v>100</v>
      </c>
      <c r="G35" s="3527" t="s">
        <v>3140</v>
      </c>
      <c r="H35" s="3460">
        <f>SUMIF(107:107,G35,108:108)-SUMIF(107:107,C35,108:108)+100</f>
        <v>100</v>
      </c>
      <c r="I35" s="3527" t="s">
        <v>3140</v>
      </c>
      <c r="J35" s="3460">
        <f>SUMIF(107:107,I35,108:108)-SUMIF(107:107,C35,108:108)+100</f>
        <v>100</v>
      </c>
      <c r="K35" s="3446">
        <v>1</v>
      </c>
      <c r="L35" s="3461"/>
      <c r="M35" s="3380"/>
      <c r="N35" s="3380"/>
      <c r="O35" s="3380"/>
      <c r="P35" s="3518"/>
      <c r="Q35" s="3476" t="str">
        <f t="shared" si="11"/>
        <v>公共部分装修</v>
      </c>
      <c r="R35" s="3477" t="s">
        <v>3176</v>
      </c>
      <c r="S35" s="3478">
        <f t="shared" si="12"/>
        <v>100</v>
      </c>
      <c r="T35" s="3477" t="s">
        <v>3176</v>
      </c>
      <c r="U35" s="3478">
        <f t="shared" si="13"/>
        <v>100</v>
      </c>
      <c r="V35" s="3477" t="s">
        <v>3176</v>
      </c>
      <c r="W35" s="3478">
        <f t="shared" si="14"/>
        <v>100</v>
      </c>
      <c r="X35" s="3386"/>
      <c r="Y35" s="3514"/>
      <c r="Z35" s="3480" t="str">
        <f t="shared" si="15"/>
        <v>公共部分装修</v>
      </c>
      <c r="AA35" s="3481">
        <f t="shared" si="3"/>
        <v>1</v>
      </c>
      <c r="AB35" s="3481">
        <f t="shared" si="4"/>
        <v>1</v>
      </c>
      <c r="AC35" s="3481">
        <f t="shared" si="5"/>
        <v>1</v>
      </c>
    </row>
    <row r="36" spans="1:29" ht="15">
      <c r="A36" s="3525"/>
      <c r="B36" s="3441" t="s">
        <v>3189</v>
      </c>
      <c r="C36" s="3528">
        <f>'[2]数据-取费表'!N6</f>
        <v>0.86699999999999999</v>
      </c>
      <c r="D36" s="3460">
        <v>100</v>
      </c>
      <c r="E36" s="3528">
        <v>0.8</v>
      </c>
      <c r="F36" s="3505">
        <f>LOOKUP(E36,110:110,111:111)-LOOKUP(C36,110:110,111:111)+100</f>
        <v>100</v>
      </c>
      <c r="G36" s="3528">
        <v>0.8</v>
      </c>
      <c r="H36" s="3505">
        <f>LOOKUP(G36,110:110,111:111)-LOOKUP(C36,110:110,111:111)+100</f>
        <v>100</v>
      </c>
      <c r="I36" s="3528">
        <v>0.8</v>
      </c>
      <c r="J36" s="3460">
        <f>LOOKUP(I36,110:110,111:111)-LOOKUP(C36,110:110,111:111)+100</f>
        <v>100</v>
      </c>
      <c r="K36" s="3446">
        <v>1</v>
      </c>
      <c r="L36" s="3461"/>
      <c r="M36" s="3380"/>
      <c r="N36" s="3380"/>
      <c r="O36" s="3380"/>
      <c r="P36" s="3518"/>
      <c r="Q36" s="3476" t="str">
        <f t="shared" si="11"/>
        <v>成新度</v>
      </c>
      <c r="R36" s="3477" t="s">
        <v>3176</v>
      </c>
      <c r="S36" s="3478">
        <f t="shared" si="12"/>
        <v>100</v>
      </c>
      <c r="T36" s="3477" t="s">
        <v>3176</v>
      </c>
      <c r="U36" s="3478">
        <f t="shared" si="13"/>
        <v>100</v>
      </c>
      <c r="V36" s="3477" t="s">
        <v>3176</v>
      </c>
      <c r="W36" s="3478">
        <f t="shared" si="14"/>
        <v>100</v>
      </c>
      <c r="X36" s="3386"/>
      <c r="Y36" s="3514"/>
      <c r="Z36" s="3480" t="str">
        <f t="shared" si="15"/>
        <v>成新度</v>
      </c>
      <c r="AA36" s="3481">
        <f t="shared" si="3"/>
        <v>1</v>
      </c>
      <c r="AB36" s="3481">
        <f t="shared" si="4"/>
        <v>1</v>
      </c>
      <c r="AC36" s="3481">
        <f t="shared" si="5"/>
        <v>1</v>
      </c>
    </row>
    <row r="37" spans="1:29" s="3428" customFormat="1" ht="15">
      <c r="A37" s="3529"/>
      <c r="B37" s="3441" t="s">
        <v>3190</v>
      </c>
      <c r="C37" s="3527" t="s">
        <v>3163</v>
      </c>
      <c r="D37" s="3443">
        <v>100</v>
      </c>
      <c r="E37" s="3527" t="s">
        <v>3163</v>
      </c>
      <c r="F37" s="3505">
        <f>SUMIF(112:112,E37,113:113)-SUMIF(112:112,C37,113:113)+100</f>
        <v>100</v>
      </c>
      <c r="G37" s="3527" t="s">
        <v>3163</v>
      </c>
      <c r="H37" s="3460">
        <f>SUMIF(112:112,G37,113:113)-SUMIF(112:112,C37,113:113)+100</f>
        <v>100</v>
      </c>
      <c r="I37" s="3527" t="s">
        <v>3163</v>
      </c>
      <c r="J37" s="3460">
        <f>SUMIF(112:112,I37,113:113)-SUMIF(112:112,C37,113:113)+100</f>
        <v>100</v>
      </c>
      <c r="K37" s="3446">
        <v>1</v>
      </c>
      <c r="L37" s="3419"/>
      <c r="M37" s="3420"/>
      <c r="N37" s="3420"/>
      <c r="O37" s="3420"/>
      <c r="P37" s="3518"/>
      <c r="Q37" s="3437" t="str">
        <f t="shared" si="11"/>
        <v>市政基础设施</v>
      </c>
      <c r="R37" s="3423" t="s">
        <v>3176</v>
      </c>
      <c r="S37" s="3424">
        <f t="shared" si="12"/>
        <v>100</v>
      </c>
      <c r="T37" s="3423" t="s">
        <v>3176</v>
      </c>
      <c r="U37" s="3424">
        <f t="shared" si="13"/>
        <v>100</v>
      </c>
      <c r="V37" s="3423" t="s">
        <v>3176</v>
      </c>
      <c r="W37" s="3424">
        <f t="shared" si="14"/>
        <v>100</v>
      </c>
      <c r="X37" s="3425"/>
      <c r="Y37" s="3514"/>
      <c r="Z37" s="3439" t="str">
        <f t="shared" si="15"/>
        <v>市政基础设施</v>
      </c>
      <c r="AA37" s="3427">
        <f t="shared" si="3"/>
        <v>1</v>
      </c>
      <c r="AB37" s="3427">
        <f t="shared" si="4"/>
        <v>1</v>
      </c>
      <c r="AC37" s="3427">
        <f t="shared" si="5"/>
        <v>1</v>
      </c>
    </row>
    <row r="38" spans="1:29" ht="15">
      <c r="A38" s="3525"/>
      <c r="B38" s="3441" t="s">
        <v>3191</v>
      </c>
      <c r="C38" s="3527"/>
      <c r="D38" s="3460">
        <v>100</v>
      </c>
      <c r="E38" s="3527"/>
      <c r="F38" s="3505">
        <f>SUMIF(114:114,E38,115:115)-SUMIF(114:114,C38,115:115)+100</f>
        <v>100</v>
      </c>
      <c r="G38" s="3527"/>
      <c r="H38" s="3460">
        <f>SUMIF(114:114,G38,115:115)-SUMIF(114:114,C38,115:115)+100</f>
        <v>100</v>
      </c>
      <c r="I38" s="3527"/>
      <c r="J38" s="3460">
        <f>SUMIF(114:114,I38,115:115)-SUMIF(114:114,C38,115:115)+100</f>
        <v>100</v>
      </c>
      <c r="K38" s="3446">
        <v>1</v>
      </c>
      <c r="L38" s="3461"/>
      <c r="M38" s="3380"/>
      <c r="N38" s="3380"/>
      <c r="O38" s="3380"/>
      <c r="P38" s="3518" t="s">
        <v>3187</v>
      </c>
      <c r="Q38" s="3476" t="str">
        <f t="shared" si="11"/>
        <v>业态</v>
      </c>
      <c r="R38" s="3477" t="s">
        <v>3176</v>
      </c>
      <c r="S38" s="3478">
        <f t="shared" si="12"/>
        <v>100</v>
      </c>
      <c r="T38" s="3477" t="s">
        <v>3176</v>
      </c>
      <c r="U38" s="3478">
        <f t="shared" si="13"/>
        <v>100</v>
      </c>
      <c r="V38" s="3477" t="s">
        <v>3176</v>
      </c>
      <c r="W38" s="3478">
        <f t="shared" si="14"/>
        <v>100</v>
      </c>
      <c r="X38" s="3386"/>
      <c r="Y38" s="3514" t="s">
        <v>3187</v>
      </c>
      <c r="Z38" s="3480" t="str">
        <f t="shared" si="15"/>
        <v>业态</v>
      </c>
      <c r="AA38" s="3481">
        <f t="shared" si="3"/>
        <v>1</v>
      </c>
      <c r="AB38" s="3481">
        <f t="shared" si="4"/>
        <v>1</v>
      </c>
      <c r="AC38" s="3481">
        <f t="shared" si="5"/>
        <v>1</v>
      </c>
    </row>
    <row r="39" spans="1:29" ht="15">
      <c r="A39" s="3525"/>
      <c r="B39" s="3441" t="s">
        <v>3192</v>
      </c>
      <c r="C39" s="3527" t="s">
        <v>3151</v>
      </c>
      <c r="D39" s="3460">
        <v>100</v>
      </c>
      <c r="E39" s="3527" t="s">
        <v>3151</v>
      </c>
      <c r="F39" s="3505">
        <f>SUMIF(116:116,E39,117:117)-SUMIF(116:116,C39,117:117)+100</f>
        <v>100</v>
      </c>
      <c r="G39" s="3527" t="s">
        <v>3151</v>
      </c>
      <c r="H39" s="3460">
        <f>SUMIF(116:116,G39,117:117)-SUMIF(116:116,C39,117:117)+100</f>
        <v>100</v>
      </c>
      <c r="I39" s="3527" t="s">
        <v>3151</v>
      </c>
      <c r="J39" s="3460">
        <f>SUMIF(116:116,I39,117:117)-SUMIF(116:116,C39,117:117)+100</f>
        <v>100</v>
      </c>
      <c r="K39" s="3446">
        <v>1</v>
      </c>
      <c r="L39" s="3461"/>
      <c r="M39" s="3380"/>
      <c r="N39" s="3380"/>
      <c r="O39" s="3380"/>
      <c r="P39" s="3518"/>
      <c r="Q39" s="3476" t="str">
        <f t="shared" si="11"/>
        <v>层高</v>
      </c>
      <c r="R39" s="3477" t="s">
        <v>3176</v>
      </c>
      <c r="S39" s="3478">
        <f t="shared" si="12"/>
        <v>100</v>
      </c>
      <c r="T39" s="3477" t="s">
        <v>3176</v>
      </c>
      <c r="U39" s="3478">
        <f t="shared" si="13"/>
        <v>100</v>
      </c>
      <c r="V39" s="3477" t="s">
        <v>3176</v>
      </c>
      <c r="W39" s="3478">
        <f t="shared" si="14"/>
        <v>100</v>
      </c>
      <c r="X39" s="3386"/>
      <c r="Y39" s="3514"/>
      <c r="Z39" s="3480" t="str">
        <f t="shared" si="15"/>
        <v>层高</v>
      </c>
      <c r="AA39" s="3481">
        <f t="shared" si="3"/>
        <v>1</v>
      </c>
      <c r="AB39" s="3481">
        <f t="shared" si="4"/>
        <v>1</v>
      </c>
      <c r="AC39" s="3481">
        <f t="shared" si="5"/>
        <v>1</v>
      </c>
    </row>
    <row r="40" spans="1:29" ht="15" hidden="1">
      <c r="A40" s="3525"/>
      <c r="B40" s="3441" t="s">
        <v>3193</v>
      </c>
      <c r="C40" s="3530"/>
      <c r="D40" s="3460">
        <v>100</v>
      </c>
      <c r="E40" s="3531"/>
      <c r="F40" s="3505">
        <f>SUMIF(118:118,E40,119:119)-SUMIF(118:118,C40,119:119)+100</f>
        <v>100</v>
      </c>
      <c r="G40" s="3531"/>
      <c r="H40" s="3460">
        <f>SUMIF(118:118,G40,119:119)-SUMIF(118:118,C40,119:119)+100</f>
        <v>100</v>
      </c>
      <c r="I40" s="3531"/>
      <c r="J40" s="3460">
        <f>SUMIF(118:118,I40,119:119)-SUMIF(118:118,C40,119:119)+100</f>
        <v>100</v>
      </c>
      <c r="K40" s="3459"/>
      <c r="L40" s="3461"/>
      <c r="M40" s="3380"/>
      <c r="N40" s="3380"/>
      <c r="O40" s="3380"/>
      <c r="P40" s="3518"/>
      <c r="Q40" s="3476" t="str">
        <f t="shared" si="11"/>
        <v>单套建筑面积</v>
      </c>
      <c r="R40" s="3477" t="s">
        <v>3176</v>
      </c>
      <c r="S40" s="3478">
        <f t="shared" si="12"/>
        <v>100</v>
      </c>
      <c r="T40" s="3477" t="s">
        <v>3176</v>
      </c>
      <c r="U40" s="3478">
        <f t="shared" si="13"/>
        <v>100</v>
      </c>
      <c r="V40" s="3477" t="s">
        <v>3176</v>
      </c>
      <c r="W40" s="3478">
        <f t="shared" si="14"/>
        <v>100</v>
      </c>
      <c r="X40" s="3386"/>
      <c r="Y40" s="3514"/>
      <c r="Z40" s="3480" t="str">
        <f t="shared" si="15"/>
        <v>单套建筑面积</v>
      </c>
      <c r="AA40" s="3481">
        <f t="shared" si="3"/>
        <v>1</v>
      </c>
      <c r="AB40" s="3481">
        <f t="shared" si="4"/>
        <v>1</v>
      </c>
      <c r="AC40" s="3481">
        <f t="shared" si="5"/>
        <v>1</v>
      </c>
    </row>
    <row r="41" spans="1:29" s="3524" customFormat="1" ht="15" hidden="1">
      <c r="A41" s="3515"/>
      <c r="B41" s="3532" t="s">
        <v>3194</v>
      </c>
      <c r="C41" s="3504"/>
      <c r="D41" s="3460">
        <v>100</v>
      </c>
      <c r="E41" s="3504"/>
      <c r="F41" s="3505">
        <f>SUMIF(120:120,E41,121:121)-SUMIF(120:120,C41,121:121)+100</f>
        <v>100</v>
      </c>
      <c r="G41" s="3504"/>
      <c r="H41" s="3460">
        <f>SUMIF(120:120,G41,121:121)-SUMIF(120:120,C41,121:121)+100</f>
        <v>100</v>
      </c>
      <c r="I41" s="3504"/>
      <c r="J41" s="3460">
        <f>SUMIF(120:120,I41,121:121)-SUMIF(120:120,C41,121:121)+100</f>
        <v>100</v>
      </c>
      <c r="K41" s="3446">
        <v>1</v>
      </c>
      <c r="L41" s="3453"/>
      <c r="M41" s="3517"/>
      <c r="N41" s="3517"/>
      <c r="O41" s="3517"/>
      <c r="P41" s="3518"/>
      <c r="Q41" s="3519" t="str">
        <f t="shared" si="11"/>
        <v>进深比</v>
      </c>
      <c r="R41" s="3520" t="s">
        <v>3176</v>
      </c>
      <c r="S41" s="3521">
        <f t="shared" si="12"/>
        <v>100</v>
      </c>
      <c r="T41" s="3520" t="s">
        <v>3176</v>
      </c>
      <c r="U41" s="3521">
        <f t="shared" si="13"/>
        <v>100</v>
      </c>
      <c r="V41" s="3520" t="s">
        <v>3176</v>
      </c>
      <c r="W41" s="3521">
        <f t="shared" si="14"/>
        <v>100</v>
      </c>
      <c r="X41" s="3522"/>
      <c r="Y41" s="3514"/>
      <c r="Z41" s="3523" t="str">
        <f t="shared" si="15"/>
        <v>进深比</v>
      </c>
      <c r="AA41" s="3481">
        <f t="shared" si="3"/>
        <v>1</v>
      </c>
      <c r="AB41" s="3481">
        <f t="shared" si="4"/>
        <v>1</v>
      </c>
      <c r="AC41" s="3481">
        <f t="shared" si="5"/>
        <v>1</v>
      </c>
    </row>
    <row r="42" spans="1:29" ht="15">
      <c r="A42" s="3525"/>
      <c r="B42" s="3441" t="s">
        <v>3195</v>
      </c>
      <c r="C42" s="3527" t="s">
        <v>3130</v>
      </c>
      <c r="D42" s="3460">
        <v>100</v>
      </c>
      <c r="E42" s="3527" t="s">
        <v>3130</v>
      </c>
      <c r="F42" s="3505">
        <f>SUMIF(122:122,E42,123:123)-SUMIF(122:122,C42,123:123)+100</f>
        <v>100</v>
      </c>
      <c r="G42" s="3527" t="s">
        <v>3130</v>
      </c>
      <c r="H42" s="3460">
        <f>SUMIF(122:122,G42,123:123)-SUMIF(122:122,C42,123:123)+100</f>
        <v>100</v>
      </c>
      <c r="I42" s="3527" t="s">
        <v>3130</v>
      </c>
      <c r="J42" s="3460">
        <f>SUMIF(122:122,I42,123:123)-SUMIF(122:122,C42,123:123)+100</f>
        <v>100</v>
      </c>
      <c r="K42" s="3446">
        <v>1</v>
      </c>
      <c r="L42" s="3461"/>
      <c r="M42" s="3380"/>
      <c r="N42" s="3380"/>
      <c r="O42" s="3380"/>
      <c r="P42" s="3518"/>
      <c r="Q42" s="3476" t="str">
        <f t="shared" si="11"/>
        <v>内部装修</v>
      </c>
      <c r="R42" s="3477" t="s">
        <v>3176</v>
      </c>
      <c r="S42" s="3478">
        <f t="shared" si="12"/>
        <v>100</v>
      </c>
      <c r="T42" s="3477" t="s">
        <v>3176</v>
      </c>
      <c r="U42" s="3478">
        <f t="shared" si="13"/>
        <v>100</v>
      </c>
      <c r="V42" s="3477" t="s">
        <v>3176</v>
      </c>
      <c r="W42" s="3478">
        <f t="shared" si="14"/>
        <v>100</v>
      </c>
      <c r="X42" s="3386"/>
      <c r="Y42" s="3514"/>
      <c r="Z42" s="3480" t="str">
        <f t="shared" si="15"/>
        <v>内部装修</v>
      </c>
      <c r="AA42" s="3481">
        <f t="shared" si="3"/>
        <v>1</v>
      </c>
      <c r="AB42" s="3481">
        <f t="shared" si="4"/>
        <v>1</v>
      </c>
      <c r="AC42" s="3481">
        <f t="shared" si="5"/>
        <v>1</v>
      </c>
    </row>
    <row r="43" spans="1:29" ht="15">
      <c r="A43" s="3525"/>
      <c r="B43" s="3441" t="s">
        <v>2572</v>
      </c>
      <c r="C43" s="3527" t="s">
        <v>3124</v>
      </c>
      <c r="D43" s="3460">
        <v>100</v>
      </c>
      <c r="E43" s="3527" t="s">
        <v>3124</v>
      </c>
      <c r="F43" s="3505">
        <f>SUMIF(124:124,E43,125:125)-SUMIF(124:124,C43,125:125)+100</f>
        <v>100</v>
      </c>
      <c r="G43" s="3527" t="s">
        <v>3124</v>
      </c>
      <c r="H43" s="3460">
        <f>SUMIF(124:124,G43,125:125)-SUMIF(124:124,C43,125:125)+100</f>
        <v>100</v>
      </c>
      <c r="I43" s="3527" t="s">
        <v>3124</v>
      </c>
      <c r="J43" s="3460">
        <f>SUMIF(124:124,I43,125:125)-SUMIF(124:124,C43,125:125)+100</f>
        <v>100</v>
      </c>
      <c r="K43" s="3446">
        <v>1</v>
      </c>
      <c r="L43" s="3461"/>
      <c r="M43" s="3380"/>
      <c r="N43" s="3380"/>
      <c r="O43" s="3380"/>
      <c r="P43" s="3518"/>
      <c r="Q43" s="3476" t="str">
        <f t="shared" si="11"/>
        <v>内部装修维护情况</v>
      </c>
      <c r="R43" s="3477" t="s">
        <v>3176</v>
      </c>
      <c r="S43" s="3478">
        <f t="shared" si="12"/>
        <v>100</v>
      </c>
      <c r="T43" s="3477" t="s">
        <v>3176</v>
      </c>
      <c r="U43" s="3478">
        <f t="shared" si="13"/>
        <v>100</v>
      </c>
      <c r="V43" s="3477" t="s">
        <v>3176</v>
      </c>
      <c r="W43" s="3478">
        <f t="shared" si="14"/>
        <v>100</v>
      </c>
      <c r="X43" s="3386"/>
      <c r="Y43" s="3514"/>
      <c r="Z43" s="3480" t="str">
        <f t="shared" si="15"/>
        <v>内部装修维护情况</v>
      </c>
      <c r="AA43" s="3481">
        <f t="shared" si="3"/>
        <v>1</v>
      </c>
      <c r="AB43" s="3481">
        <f t="shared" si="4"/>
        <v>1</v>
      </c>
      <c r="AC43" s="3481">
        <f t="shared" si="5"/>
        <v>1</v>
      </c>
    </row>
    <row r="44" spans="1:29" s="3428" customFormat="1" ht="15">
      <c r="A44" s="3529"/>
      <c r="B44" s="3506">
        <v>111</v>
      </c>
      <c r="C44" s="3516"/>
      <c r="D44" s="3443">
        <v>100</v>
      </c>
      <c r="E44" s="3458"/>
      <c r="F44" s="3445">
        <f>SUMIF(126:126,E44,127:127)-SUMIF(126:126,C44,127:127)+100</f>
        <v>100</v>
      </c>
      <c r="G44" s="3458"/>
      <c r="H44" s="3443">
        <f>SUMIF(126:126,G44,127:127)-SUMIF(126:126,C44,127:127)+100</f>
        <v>100</v>
      </c>
      <c r="I44" s="3458"/>
      <c r="J44" s="3443">
        <f>SUMIF(126:126,I44,127:127)-SUMIF(126:126,C44,127:127)+100</f>
        <v>100</v>
      </c>
      <c r="K44" s="3459"/>
      <c r="L44" s="3419"/>
      <c r="M44" s="3420"/>
      <c r="N44" s="3420"/>
      <c r="O44" s="3420"/>
      <c r="P44" s="3518"/>
      <c r="Q44" s="3437">
        <f t="shared" si="11"/>
        <v>111</v>
      </c>
      <c r="R44" s="3423" t="s">
        <v>3176</v>
      </c>
      <c r="S44" s="3424">
        <f t="shared" si="12"/>
        <v>100</v>
      </c>
      <c r="T44" s="3423" t="s">
        <v>3176</v>
      </c>
      <c r="U44" s="3424">
        <f t="shared" si="13"/>
        <v>100</v>
      </c>
      <c r="V44" s="3423" t="s">
        <v>3176</v>
      </c>
      <c r="W44" s="3424">
        <f t="shared" si="14"/>
        <v>100</v>
      </c>
      <c r="X44" s="3425"/>
      <c r="Y44" s="3514"/>
      <c r="Z44" s="3439">
        <f t="shared" si="15"/>
        <v>111</v>
      </c>
      <c r="AA44" s="3427">
        <f t="shared" si="3"/>
        <v>1</v>
      </c>
      <c r="AB44" s="3427">
        <f t="shared" si="4"/>
        <v>1</v>
      </c>
      <c r="AC44" s="3427">
        <f t="shared" si="5"/>
        <v>1</v>
      </c>
    </row>
    <row r="45" spans="1:29" ht="15">
      <c r="A45" s="3525"/>
      <c r="B45" s="3506">
        <v>111</v>
      </c>
      <c r="C45" s="3458"/>
      <c r="D45" s="3460">
        <v>100</v>
      </c>
      <c r="E45" s="3458"/>
      <c r="F45" s="3505">
        <f>SUMIF(128:128,E45,129:129)-SUMIF(128:128,C45,129:129)+100</f>
        <v>100</v>
      </c>
      <c r="G45" s="3458"/>
      <c r="H45" s="3460">
        <f>SUMIF(128:128,G45,129:129)-SUMIF(128:128,C45,129:129)+100</f>
        <v>100</v>
      </c>
      <c r="I45" s="3458"/>
      <c r="J45" s="3460">
        <f>SUMIF(128:128,I45,129:129)-SUMIF(128:128,C45,129:129)+100</f>
        <v>100</v>
      </c>
      <c r="K45" s="3459"/>
      <c r="L45" s="3461"/>
      <c r="M45" s="3380"/>
      <c r="N45" s="3380"/>
      <c r="O45" s="3380"/>
      <c r="P45" s="3518"/>
      <c r="Q45" s="3476">
        <f t="shared" si="11"/>
        <v>111</v>
      </c>
      <c r="R45" s="3477" t="s">
        <v>3176</v>
      </c>
      <c r="S45" s="3478">
        <f t="shared" si="12"/>
        <v>100</v>
      </c>
      <c r="T45" s="3477" t="s">
        <v>3176</v>
      </c>
      <c r="U45" s="3478">
        <f t="shared" si="13"/>
        <v>100</v>
      </c>
      <c r="V45" s="3477" t="s">
        <v>3176</v>
      </c>
      <c r="W45" s="3478">
        <f t="shared" si="14"/>
        <v>100</v>
      </c>
      <c r="X45" s="3386"/>
      <c r="Y45" s="3514"/>
      <c r="Z45" s="3480">
        <f t="shared" si="15"/>
        <v>111</v>
      </c>
      <c r="AA45" s="3481">
        <f t="shared" si="3"/>
        <v>1</v>
      </c>
      <c r="AB45" s="3481">
        <f t="shared" si="4"/>
        <v>1</v>
      </c>
      <c r="AC45" s="3481">
        <f t="shared" si="5"/>
        <v>1</v>
      </c>
    </row>
    <row r="46" spans="1:29" ht="15.75" thickBot="1">
      <c r="A46" s="3533"/>
      <c r="B46" s="3463">
        <v>111</v>
      </c>
      <c r="C46" s="3464"/>
      <c r="D46" s="3465">
        <v>100</v>
      </c>
      <c r="E46" s="3458"/>
      <c r="F46" s="3466">
        <f>SUMIF(130:130,E46,131:131)-SUMIF(130:130,C46,131:131)+100</f>
        <v>100</v>
      </c>
      <c r="G46" s="3458"/>
      <c r="H46" s="3465">
        <f>SUMIF(130:130,G46,131:131)-SUMIF(130:130,C46,131:131)+100</f>
        <v>100</v>
      </c>
      <c r="I46" s="3458"/>
      <c r="J46" s="3465">
        <f>SUMIF(130:130,I46,131:131)-SUMIF(130:130,C46,131:131)+100</f>
        <v>100</v>
      </c>
      <c r="K46" s="3459"/>
      <c r="L46" s="3461"/>
      <c r="M46" s="3380"/>
      <c r="N46" s="3380"/>
      <c r="O46" s="3380"/>
      <c r="P46" s="3534"/>
      <c r="Q46" s="3476">
        <f t="shared" si="11"/>
        <v>111</v>
      </c>
      <c r="R46" s="3477" t="s">
        <v>3176</v>
      </c>
      <c r="S46" s="3478">
        <f t="shared" si="12"/>
        <v>100</v>
      </c>
      <c r="T46" s="3477" t="s">
        <v>3176</v>
      </c>
      <c r="U46" s="3478">
        <f t="shared" si="13"/>
        <v>100</v>
      </c>
      <c r="V46" s="3477" t="s">
        <v>3176</v>
      </c>
      <c r="W46" s="3478">
        <f t="shared" si="14"/>
        <v>100</v>
      </c>
      <c r="X46" s="3386"/>
      <c r="Y46" s="3535"/>
      <c r="Z46" s="3480">
        <f t="shared" si="15"/>
        <v>111</v>
      </c>
      <c r="AA46" s="3481">
        <f t="shared" si="3"/>
        <v>1</v>
      </c>
      <c r="AB46" s="3481">
        <f t="shared" si="4"/>
        <v>1</v>
      </c>
      <c r="AC46" s="3481">
        <f t="shared" si="5"/>
        <v>1</v>
      </c>
    </row>
    <row r="47" spans="1:29" ht="15">
      <c r="A47" s="3536" t="s">
        <v>3196</v>
      </c>
      <c r="B47" s="3537"/>
      <c r="C47" s="3538" t="s">
        <v>2</v>
      </c>
      <c r="D47" s="3539"/>
      <c r="E47" s="3540">
        <f>ROUND(45283*C50,0)</f>
        <v>43925</v>
      </c>
      <c r="F47" s="3541"/>
      <c r="G47" s="3542">
        <f>ROUND(49314*C50,0)</f>
        <v>47835</v>
      </c>
      <c r="H47" s="3543"/>
      <c r="I47" s="3540">
        <f>ROUND(43000*C50,0)</f>
        <v>41710</v>
      </c>
      <c r="J47" s="3543"/>
      <c r="K47" s="3544"/>
      <c r="L47" s="3545"/>
      <c r="M47" s="3546"/>
      <c r="N47" s="3380"/>
      <c r="O47" s="3546"/>
      <c r="P47" s="3547" t="str">
        <f>A47</f>
        <v>成交单价（元/平方米）</v>
      </c>
      <c r="Q47" s="3547"/>
      <c r="R47" s="3385">
        <f>E47</f>
        <v>43925</v>
      </c>
      <c r="S47" s="3385"/>
      <c r="T47" s="3385">
        <f>G47</f>
        <v>47835</v>
      </c>
      <c r="U47" s="3385"/>
      <c r="V47" s="3385">
        <f>I47</f>
        <v>41710</v>
      </c>
      <c r="W47" s="3385"/>
      <c r="X47" s="3548"/>
      <c r="Y47" s="3549"/>
      <c r="Z47" s="3548"/>
      <c r="AA47" s="3548"/>
      <c r="AB47" s="3548"/>
      <c r="AC47" s="3548"/>
    </row>
    <row r="48" spans="1:29" ht="15.75" thickBot="1">
      <c r="A48" s="3550" t="s">
        <v>3197</v>
      </c>
      <c r="B48" s="3551"/>
      <c r="C48" s="3552">
        <f>R49</f>
        <v>43600</v>
      </c>
      <c r="D48" s="3553"/>
      <c r="E48" s="3554">
        <f>R48</f>
        <v>43499</v>
      </c>
      <c r="F48" s="3554"/>
      <c r="G48" s="3552">
        <f>T48</f>
        <v>45995</v>
      </c>
      <c r="H48" s="3553"/>
      <c r="I48" s="3554">
        <f>V48</f>
        <v>41305</v>
      </c>
      <c r="J48" s="3553"/>
      <c r="K48" s="3555"/>
      <c r="L48" s="3545"/>
      <c r="M48" s="3546">
        <v>8.5</v>
      </c>
      <c r="N48" s="3380"/>
      <c r="O48" s="3546"/>
      <c r="P48" s="3547" t="str">
        <f>A48</f>
        <v>比较价值（元/平方米）</v>
      </c>
      <c r="Q48" s="3547"/>
      <c r="R48" s="3556">
        <f>IF(F1="售价",ROUND(PRODUCT(R47,AA7:AA46),0),ROUND(PRODUCT(R47,AA7:AA46),1))</f>
        <v>43499</v>
      </c>
      <c r="S48" s="3556"/>
      <c r="T48" s="3556">
        <f>IF(F1="售价",ROUND(PRODUCT(T47,AB7:AB46),0),ROUND(PRODUCT(T47,AB7:AB46),1))</f>
        <v>45995</v>
      </c>
      <c r="U48" s="3556"/>
      <c r="V48" s="3556">
        <f>IF(F1="售价",ROUND(PRODUCT(V47,AC7:AC46),0),ROUND(PRODUCT(V47,AC7:AC46),1))</f>
        <v>41305</v>
      </c>
      <c r="W48" s="3556"/>
      <c r="X48" s="3548"/>
      <c r="Y48" s="3548"/>
      <c r="Z48" s="3548"/>
      <c r="AA48" s="3548"/>
      <c r="AB48" s="3548"/>
      <c r="AC48" s="3548"/>
    </row>
    <row r="49" spans="1:29" ht="15.75" thickBot="1">
      <c r="A49" s="3557" t="s">
        <v>3198</v>
      </c>
      <c r="B49" s="3558"/>
      <c r="C49" s="3559">
        <f>R49</f>
        <v>43600</v>
      </c>
      <c r="D49" s="3559"/>
      <c r="E49" s="3559"/>
      <c r="F49" s="3559"/>
      <c r="G49" s="3559"/>
      <c r="H49" s="3559"/>
      <c r="I49" s="3559"/>
      <c r="J49" s="3559"/>
      <c r="K49" s="3560"/>
      <c r="L49" s="3545"/>
      <c r="M49" s="3546">
        <v>10</v>
      </c>
      <c r="N49" s="3380"/>
      <c r="O49" s="3546"/>
      <c r="P49" s="3561" t="str">
        <f>A49</f>
        <v>估价对象XX用房的比较价值（楼面单价，元/平方米）</v>
      </c>
      <c r="Q49" s="3562"/>
      <c r="R49" s="3563">
        <f>IF(F1="售价",ROUND(AVERAGE(R48:V48),0),ROUND(AVERAGE(R48:V48),1))</f>
        <v>43600</v>
      </c>
      <c r="S49" s="3563"/>
      <c r="T49" s="3563"/>
      <c r="U49" s="3563"/>
      <c r="V49" s="3563"/>
      <c r="W49" s="3563"/>
      <c r="X49" s="3548"/>
      <c r="Y49" s="3548"/>
      <c r="Z49" s="3548"/>
      <c r="AA49" s="3548"/>
      <c r="AB49" s="3548"/>
      <c r="AC49" s="3548"/>
    </row>
    <row r="50" spans="1:29">
      <c r="A50" s="3546"/>
      <c r="B50" s="3546"/>
      <c r="C50" s="3546">
        <v>0.97</v>
      </c>
      <c r="D50" s="3546"/>
      <c r="E50" s="3546"/>
      <c r="F50" s="3546"/>
      <c r="G50" s="3564"/>
      <c r="H50" s="3546"/>
      <c r="I50" s="3546"/>
      <c r="J50" s="3546"/>
      <c r="K50" s="3565"/>
      <c r="L50" s="3566"/>
      <c r="M50" s="3546">
        <v>10</v>
      </c>
      <c r="N50" s="3546"/>
      <c r="O50" s="3546"/>
      <c r="P50" s="3567"/>
      <c r="Q50" s="3548"/>
      <c r="R50" s="3548"/>
      <c r="S50" s="3548"/>
      <c r="T50" s="3548"/>
      <c r="U50" s="3548"/>
      <c r="V50" s="3548"/>
      <c r="W50" s="3548"/>
      <c r="X50" s="3548"/>
      <c r="Y50" s="3548"/>
      <c r="Z50" s="3548"/>
      <c r="AA50" s="3548"/>
      <c r="AB50" s="3548"/>
      <c r="AC50" s="3548"/>
    </row>
    <row r="51" spans="1:29">
      <c r="A51" s="3546"/>
      <c r="B51" s="3546"/>
      <c r="C51" s="3546"/>
      <c r="D51" s="3546"/>
      <c r="E51" s="3546"/>
      <c r="F51" s="3546"/>
      <c r="G51" s="3546"/>
      <c r="H51" s="3546"/>
      <c r="I51" s="3546"/>
      <c r="J51" s="3546"/>
      <c r="K51" s="3565"/>
      <c r="L51" s="3566"/>
      <c r="M51" s="3546"/>
      <c r="N51" s="3546"/>
      <c r="O51" s="3546"/>
      <c r="P51" s="3567"/>
      <c r="Q51" s="3548"/>
      <c r="R51" s="3548"/>
      <c r="S51" s="3548"/>
      <c r="T51" s="3548"/>
      <c r="U51" s="3548"/>
      <c r="V51" s="3548"/>
      <c r="W51" s="3548"/>
      <c r="X51" s="3548"/>
      <c r="Y51" s="3548"/>
      <c r="Z51" s="3548"/>
      <c r="AA51" s="3548"/>
      <c r="AB51" s="3548"/>
      <c r="AC51" s="3548"/>
    </row>
    <row r="52" spans="1:29" ht="13.5" customHeight="1">
      <c r="A52" s="3546"/>
      <c r="B52" s="3546"/>
      <c r="C52" s="3568" t="s">
        <v>3199</v>
      </c>
      <c r="D52" s="3569"/>
      <c r="E52" s="3570">
        <f>IF(E47&lt;E48,E48/E47-1,E47/E48-1)</f>
        <v>9.7933285822662253E-3</v>
      </c>
      <c r="F52" s="3571" t="str">
        <f>IF(OR(E52&gt;=0.3,E52&lt;=-0.3),"超过30%","")</f>
        <v/>
      </c>
      <c r="G52" s="3570">
        <f>IF(G47&lt;G48,G48/G47-1,G47/G48-1)</f>
        <v>4.0004348298728232E-2</v>
      </c>
      <c r="H52" s="3571" t="str">
        <f>IF(OR(G52&gt;=0.3,G52&lt;=-0.3),"超过30%","")</f>
        <v/>
      </c>
      <c r="I52" s="3570">
        <f>IF(I47&lt;I48,I48/I47-1,I47/I48-1)</f>
        <v>9.8051083403947192E-3</v>
      </c>
      <c r="J52" s="3571" t="str">
        <f>IF(OR(I52&gt;=0.3,I52&lt;=-0.3),"超过30%","")</f>
        <v/>
      </c>
      <c r="K52" s="3565"/>
      <c r="L52" s="3566"/>
      <c r="M52" s="3546"/>
      <c r="N52" s="3546"/>
      <c r="O52" s="3546"/>
      <c r="P52" s="3567"/>
      <c r="Q52" s="3548"/>
      <c r="R52" s="3548"/>
      <c r="S52" s="3548"/>
      <c r="T52" s="3548"/>
      <c r="U52" s="3548"/>
      <c r="V52" s="3548"/>
      <c r="W52" s="3548"/>
      <c r="X52" s="3548"/>
      <c r="Y52" s="3548"/>
      <c r="Z52" s="3548"/>
      <c r="AA52" s="3548"/>
      <c r="AB52" s="3548"/>
      <c r="AC52" s="3548"/>
    </row>
    <row r="53" spans="1:29" ht="13.5" customHeight="1">
      <c r="A53" s="3546"/>
      <c r="B53" s="3546"/>
      <c r="C53" s="3568" t="s">
        <v>3200</v>
      </c>
      <c r="D53" s="3572"/>
      <c r="E53" s="3570">
        <f>IF(E48&lt;G48,G48/E48-1,E48/G48-1)</f>
        <v>5.7380629439757191E-2</v>
      </c>
      <c r="F53" s="3571" t="str">
        <f>IF(OR(E53&gt;=0.2,E53&lt;=-0.2),"超过20%","")</f>
        <v/>
      </c>
      <c r="G53" s="3570">
        <f>IF(G48&lt;I48,I48/G48-1,G48/I48-1)</f>
        <v>0.11354557559617473</v>
      </c>
      <c r="H53" s="3571" t="str">
        <f>IF(OR(G53&gt;=0.2,G53&lt;=-0.2),"超过20%","")</f>
        <v/>
      </c>
      <c r="I53" s="3570">
        <f>IF(I48&lt;E48,E48/I48-1,I48/E48-1)</f>
        <v>5.3117056046483535E-2</v>
      </c>
      <c r="J53" s="3571" t="str">
        <f>IF(OR(I53&gt;=0.2,I53&lt;=-0.2),"超过20%","")</f>
        <v/>
      </c>
      <c r="K53" s="3565"/>
      <c r="L53" s="3566"/>
      <c r="M53" s="3546"/>
      <c r="N53" s="3546"/>
      <c r="O53" s="3546"/>
      <c r="P53" s="3567"/>
      <c r="Q53" s="3548"/>
      <c r="R53" s="3548"/>
      <c r="S53" s="3548"/>
      <c r="T53" s="3548"/>
      <c r="U53" s="3548"/>
      <c r="V53" s="3548"/>
      <c r="W53" s="3548"/>
      <c r="X53" s="3548"/>
      <c r="Y53" s="3548"/>
      <c r="Z53" s="3548"/>
      <c r="AA53" s="3548"/>
      <c r="AB53" s="3548"/>
      <c r="AC53" s="3548"/>
    </row>
    <row r="54" spans="1:29" s="3578" customFormat="1" ht="13.5" customHeight="1">
      <c r="A54" s="3573"/>
      <c r="B54" s="3573"/>
      <c r="C54" s="3568" t="s">
        <v>3201</v>
      </c>
      <c r="D54" s="3572"/>
      <c r="E54" s="3570">
        <f>IF(E47&lt;G47,G47/E47-1,E47/G47-1)</f>
        <v>8.9015367103016496E-2</v>
      </c>
      <c r="F54" s="3571" t="str">
        <f>IF(OR(E54&gt;=0.3,E54&lt;=-0.3),"超过30%","")</f>
        <v/>
      </c>
      <c r="G54" s="3570">
        <f>IF(G47&lt;I47,I47/G47-1,G47/I47-1)</f>
        <v>0.1468472788300168</v>
      </c>
      <c r="H54" s="3571" t="str">
        <f>IF(OR(G54&gt;=0.3,G54&lt;=-0.3),"超过30%","")</f>
        <v/>
      </c>
      <c r="I54" s="3570">
        <f>IF(I47&lt;E47,E47/I47-1,I47/E47-1)</f>
        <v>5.310477103812028E-2</v>
      </c>
      <c r="J54" s="3571" t="str">
        <f>IF(OR(I54&gt;=0.3,I54&lt;=-0.3),"超过30%","")</f>
        <v/>
      </c>
      <c r="K54" s="3574"/>
      <c r="L54" s="3575"/>
      <c r="M54" s="3573"/>
      <c r="N54" s="3573"/>
      <c r="O54" s="3573"/>
      <c r="P54" s="3576"/>
      <c r="Q54" s="3577"/>
      <c r="R54" s="3577"/>
      <c r="S54" s="3577"/>
      <c r="T54" s="3577"/>
      <c r="U54" s="3577"/>
      <c r="V54" s="3577"/>
      <c r="W54" s="3577"/>
      <c r="X54" s="3577"/>
      <c r="Y54" s="3577"/>
      <c r="Z54" s="3577"/>
      <c r="AA54" s="3577"/>
      <c r="AB54" s="3577"/>
      <c r="AC54" s="3577"/>
    </row>
    <row r="55" spans="1:29" s="3578" customFormat="1">
      <c r="A55" s="3573"/>
      <c r="B55" s="3579"/>
      <c r="C55" s="3580"/>
      <c r="D55" s="3573"/>
      <c r="E55" s="3573"/>
      <c r="F55" s="3573"/>
      <c r="G55" s="3573"/>
      <c r="H55" s="3573"/>
      <c r="I55" s="3573"/>
      <c r="J55" s="3573"/>
      <c r="K55" s="3574"/>
      <c r="L55" s="3575"/>
      <c r="M55" s="3573"/>
      <c r="N55" s="3573"/>
      <c r="O55" s="3573"/>
      <c r="P55" s="3576"/>
      <c r="Q55" s="3577"/>
      <c r="R55" s="3577"/>
      <c r="S55" s="3577"/>
      <c r="T55" s="3577"/>
      <c r="U55" s="3577"/>
      <c r="V55" s="3577"/>
      <c r="W55" s="3577"/>
      <c r="X55" s="3577"/>
      <c r="Y55" s="3577"/>
      <c r="Z55" s="3577"/>
      <c r="AA55" s="3577"/>
      <c r="AB55" s="3577"/>
      <c r="AC55" s="3577"/>
    </row>
    <row r="56" spans="1:29">
      <c r="A56" s="3546"/>
      <c r="B56" s="3579"/>
      <c r="C56" s="3580"/>
      <c r="D56" s="3546"/>
      <c r="E56" s="3546"/>
      <c r="F56" s="3546"/>
      <c r="G56" s="3546"/>
      <c r="H56" s="3546"/>
      <c r="I56" s="3546"/>
      <c r="J56" s="3546"/>
      <c r="K56" s="3565"/>
      <c r="L56" s="3566"/>
      <c r="M56" s="3546"/>
      <c r="N56" s="3546"/>
      <c r="O56" s="3546"/>
      <c r="P56" s="3567"/>
      <c r="Q56" s="3548"/>
      <c r="R56" s="3548"/>
      <c r="S56" s="3548"/>
      <c r="T56" s="3548"/>
      <c r="U56" s="3548"/>
      <c r="V56" s="3548"/>
      <c r="W56" s="3548"/>
      <c r="X56" s="3548"/>
      <c r="Y56" s="3548"/>
      <c r="Z56" s="3548"/>
      <c r="AA56" s="3548"/>
      <c r="AB56" s="3548"/>
      <c r="AC56" s="3548"/>
    </row>
    <row r="57" spans="1:29" ht="21.75" thickBot="1">
      <c r="A57" s="3581" t="s">
        <v>3202</v>
      </c>
      <c r="B57" s="3548"/>
      <c r="C57" s="3582"/>
      <c r="D57" s="3582"/>
      <c r="E57" s="3582"/>
      <c r="F57" s="3583"/>
      <c r="G57" s="3583"/>
      <c r="H57" s="3582"/>
      <c r="I57" s="3582"/>
      <c r="J57" s="3582"/>
      <c r="K57" s="3584"/>
      <c r="L57" s="3585"/>
      <c r="M57" s="3586"/>
      <c r="N57" s="3586"/>
      <c r="O57" s="3586"/>
      <c r="P57" s="3587"/>
      <c r="Q57" s="3588"/>
      <c r="R57" s="3548"/>
      <c r="S57" s="3548"/>
      <c r="T57" s="3548"/>
      <c r="U57" s="3548"/>
      <c r="V57" s="3548"/>
      <c r="W57" s="3548"/>
      <c r="X57" s="3548"/>
      <c r="Y57" s="3548"/>
      <c r="Z57" s="3548"/>
      <c r="AA57" s="3548"/>
      <c r="AB57" s="3548"/>
      <c r="AC57" s="3548"/>
    </row>
    <row r="58" spans="1:29" s="3594" customFormat="1" ht="15">
      <c r="A58" s="3589" t="s">
        <v>3203</v>
      </c>
      <c r="B58" s="3590"/>
      <c r="C58" s="3591" t="str">
        <f>YEAR(C7)&amp;"-"&amp;MONTH(C7)</f>
        <v>2020-3</v>
      </c>
      <c r="D58" s="3592">
        <f>EDATE(C58,-1)</f>
        <v>43862</v>
      </c>
      <c r="E58" s="3592">
        <f t="shared" ref="E58:N58" si="16">EDATE(D58,-1)</f>
        <v>43831</v>
      </c>
      <c r="F58" s="3592">
        <f t="shared" si="16"/>
        <v>43800</v>
      </c>
      <c r="G58" s="3592">
        <f t="shared" si="16"/>
        <v>43770</v>
      </c>
      <c r="H58" s="3592">
        <f t="shared" si="16"/>
        <v>43739</v>
      </c>
      <c r="I58" s="3592">
        <f t="shared" si="16"/>
        <v>43709</v>
      </c>
      <c r="J58" s="3592">
        <f t="shared" si="16"/>
        <v>43678</v>
      </c>
      <c r="K58" s="3592">
        <f t="shared" si="16"/>
        <v>43647</v>
      </c>
      <c r="L58" s="3592">
        <f t="shared" si="16"/>
        <v>43617</v>
      </c>
      <c r="M58" s="3592">
        <f t="shared" si="16"/>
        <v>43586</v>
      </c>
      <c r="N58" s="3592">
        <f t="shared" si="16"/>
        <v>43556</v>
      </c>
      <c r="O58" s="3592">
        <f>EDATE(N58,-1)</f>
        <v>43525</v>
      </c>
      <c r="P58" s="3593"/>
    </row>
    <row r="59" spans="1:29" s="3428" customFormat="1" ht="15">
      <c r="A59" s="3595"/>
      <c r="B59" s="3596"/>
      <c r="C59" s="3597">
        <v>100</v>
      </c>
      <c r="D59" s="3598"/>
      <c r="E59" s="3598"/>
      <c r="F59" s="3598"/>
      <c r="G59" s="3598"/>
      <c r="H59" s="3598"/>
      <c r="I59" s="3598"/>
      <c r="J59" s="3598"/>
      <c r="K59" s="3598"/>
      <c r="L59" s="3598"/>
      <c r="M59" s="3599"/>
      <c r="N59" s="3598"/>
      <c r="O59" s="3599"/>
      <c r="P59" s="3600"/>
    </row>
    <row r="60" spans="1:29" s="3428" customFormat="1" ht="15.75" thickBot="1">
      <c r="A60" s="3601" t="s">
        <v>3204</v>
      </c>
      <c r="B60" s="3602"/>
      <c r="C60" s="3603"/>
      <c r="D60" s="3604"/>
      <c r="E60" s="3604"/>
      <c r="F60" s="3604"/>
      <c r="G60" s="3604"/>
      <c r="H60" s="3604"/>
      <c r="I60" s="3604"/>
      <c r="J60" s="3604"/>
      <c r="K60" s="3604"/>
      <c r="L60" s="3604"/>
      <c r="M60" s="3605"/>
      <c r="N60" s="3604"/>
      <c r="O60" s="3605"/>
      <c r="P60" s="3600"/>
      <c r="Q60" s="3606"/>
    </row>
    <row r="61" spans="1:29" s="3428" customFormat="1" ht="15">
      <c r="A61" s="3607" t="s">
        <v>3205</v>
      </c>
      <c r="B61" s="3596"/>
      <c r="C61" s="3608" t="s">
        <v>3206</v>
      </c>
      <c r="D61" s="3609"/>
      <c r="E61" s="3609"/>
      <c r="F61" s="3609"/>
      <c r="G61" s="3609"/>
      <c r="H61" s="3609"/>
      <c r="I61" s="3609"/>
      <c r="J61" s="3609"/>
      <c r="K61" s="3609"/>
      <c r="L61" s="3610"/>
      <c r="M61" s="3611"/>
      <c r="N61" s="3612"/>
      <c r="O61" s="3612"/>
      <c r="P61" s="3613"/>
      <c r="Q61" s="3606"/>
    </row>
    <row r="62" spans="1:29" s="3428" customFormat="1" ht="15.75" thickBot="1">
      <c r="A62" s="3607"/>
      <c r="B62" s="3596"/>
      <c r="C62" s="3614">
        <v>100</v>
      </c>
      <c r="D62" s="3598"/>
      <c r="E62" s="3598"/>
      <c r="F62" s="3598"/>
      <c r="G62" s="3598"/>
      <c r="H62" s="3598"/>
      <c r="I62" s="3598"/>
      <c r="J62" s="3598"/>
      <c r="K62" s="3598"/>
      <c r="L62" s="3598"/>
      <c r="M62" s="3615"/>
      <c r="N62" s="3612"/>
      <c r="O62" s="3612"/>
      <c r="P62" s="3600"/>
      <c r="Q62" s="3606"/>
    </row>
    <row r="63" spans="1:29">
      <c r="A63" s="3616" t="s">
        <v>3207</v>
      </c>
      <c r="B63" s="3617" t="s">
        <v>3208</v>
      </c>
      <c r="C63" s="3618" t="str">
        <f>C9</f>
        <v>商业</v>
      </c>
      <c r="D63" s="3619"/>
      <c r="E63" s="3619"/>
      <c r="F63" s="3619"/>
      <c r="G63" s="3619"/>
      <c r="H63" s="3619"/>
      <c r="I63" s="3619"/>
      <c r="J63" s="3619"/>
      <c r="K63" s="3620"/>
      <c r="L63" s="3621"/>
      <c r="M63" s="3622"/>
      <c r="N63" s="3623"/>
      <c r="O63" s="3623"/>
      <c r="P63" s="3624"/>
      <c r="Q63" s="3606"/>
    </row>
    <row r="64" spans="1:29" ht="15.75" thickBot="1">
      <c r="A64" s="3625"/>
      <c r="B64" s="3626"/>
      <c r="C64" s="3627">
        <v>100</v>
      </c>
      <c r="D64" s="3627"/>
      <c r="E64" s="3627"/>
      <c r="F64" s="3627"/>
      <c r="G64" s="3627"/>
      <c r="H64" s="3627"/>
      <c r="I64" s="3627"/>
      <c r="J64" s="3627"/>
      <c r="K64" s="3627"/>
      <c r="L64" s="3627"/>
      <c r="M64" s="3628"/>
      <c r="N64" s="3629"/>
      <c r="O64" s="3629"/>
      <c r="P64" s="3624"/>
      <c r="Q64" s="3606"/>
    </row>
    <row r="65" spans="1:17" ht="27.75" thickTop="1">
      <c r="A65" s="3625"/>
      <c r="B65" s="3630" t="s">
        <v>3209</v>
      </c>
      <c r="C65" s="3631" t="s">
        <v>3210</v>
      </c>
      <c r="D65" s="3631" t="s">
        <v>3211</v>
      </c>
      <c r="E65" s="3631" t="s">
        <v>3212</v>
      </c>
      <c r="F65" s="3631" t="s">
        <v>3213</v>
      </c>
      <c r="G65" s="3631" t="s">
        <v>3214</v>
      </c>
      <c r="H65" s="3631" t="s">
        <v>3215</v>
      </c>
      <c r="I65" s="3631" t="s">
        <v>3216</v>
      </c>
      <c r="J65" s="3631"/>
      <c r="K65" s="3632"/>
      <c r="L65" s="3633"/>
      <c r="M65" s="3634"/>
      <c r="N65" s="3623"/>
      <c r="O65" s="3623"/>
      <c r="P65" s="3624"/>
      <c r="Q65" s="3606"/>
    </row>
    <row r="66" spans="1:17" ht="15.75" thickBot="1">
      <c r="A66" s="3625"/>
      <c r="B66" s="3635"/>
      <c r="C66" s="3636" t="s">
        <v>3217</v>
      </c>
      <c r="D66" s="3636" t="s">
        <v>3217</v>
      </c>
      <c r="E66" s="3636" t="s">
        <v>3217</v>
      </c>
      <c r="F66" s="3636">
        <v>100</v>
      </c>
      <c r="G66" s="3636">
        <f>F66-$K10</f>
        <v>100</v>
      </c>
      <c r="H66" s="3636">
        <f>G66-$K10</f>
        <v>100</v>
      </c>
      <c r="I66" s="3636">
        <f>H66-$K10</f>
        <v>100</v>
      </c>
      <c r="J66" s="3636"/>
      <c r="K66" s="3636"/>
      <c r="L66" s="3636"/>
      <c r="M66" s="3637"/>
      <c r="N66" s="3629"/>
      <c r="O66" s="3629"/>
      <c r="P66" s="3624"/>
      <c r="Q66" s="3606"/>
    </row>
    <row r="67" spans="1:17" ht="15.75" thickTop="1">
      <c r="A67" s="3625"/>
      <c r="B67" s="3638" t="s">
        <v>3218</v>
      </c>
      <c r="C67" s="3639" t="str">
        <f>C68&amp;"（含）"&amp;"-"&amp;D68</f>
        <v>0（含）-1</v>
      </c>
      <c r="D67" s="3639" t="str">
        <f t="shared" ref="D67:L67" si="17">D68&amp;"（含）"&amp;"-"&amp;E68</f>
        <v>1（含）-2</v>
      </c>
      <c r="E67" s="3639" t="str">
        <f t="shared" si="17"/>
        <v>2（含）-3</v>
      </c>
      <c r="F67" s="3639" t="str">
        <f t="shared" si="17"/>
        <v>3（含）-</v>
      </c>
      <c r="G67" s="3639" t="str">
        <f t="shared" si="17"/>
        <v>（含）-</v>
      </c>
      <c r="H67" s="3639" t="str">
        <f t="shared" si="17"/>
        <v>（含）-</v>
      </c>
      <c r="I67" s="3639" t="str">
        <f t="shared" si="17"/>
        <v>（含）-</v>
      </c>
      <c r="J67" s="3639" t="str">
        <f t="shared" si="17"/>
        <v>（含）-</v>
      </c>
      <c r="K67" s="3639" t="str">
        <f t="shared" si="17"/>
        <v>（含）-</v>
      </c>
      <c r="L67" s="3639" t="str">
        <f t="shared" si="17"/>
        <v>（含）-</v>
      </c>
      <c r="M67" s="3484" t="str">
        <f>M68&amp;"（含）"&amp;"-"&amp;P68</f>
        <v>（含）-</v>
      </c>
      <c r="N67" s="3629"/>
      <c r="O67" s="3629"/>
      <c r="P67" s="3624"/>
      <c r="Q67" s="3606"/>
    </row>
    <row r="68" spans="1:17" ht="15">
      <c r="A68" s="3625"/>
      <c r="B68" s="3640"/>
      <c r="C68" s="3641">
        <v>0</v>
      </c>
      <c r="D68" s="3641">
        <v>1</v>
      </c>
      <c r="E68" s="3641">
        <v>2</v>
      </c>
      <c r="F68" s="3641">
        <v>3</v>
      </c>
      <c r="G68" s="3641"/>
      <c r="H68" s="3641"/>
      <c r="I68" s="3641"/>
      <c r="J68" s="3641"/>
      <c r="K68" s="3642"/>
      <c r="L68" s="3643"/>
      <c r="M68" s="3644"/>
      <c r="N68" s="3623"/>
      <c r="O68" s="3623"/>
      <c r="P68" s="3624"/>
      <c r="Q68" s="3606"/>
    </row>
    <row r="69" spans="1:17" ht="15.75" thickBot="1">
      <c r="A69" s="3625"/>
      <c r="B69" s="3626"/>
      <c r="C69" s="3636">
        <v>100</v>
      </c>
      <c r="D69" s="3636">
        <f t="shared" ref="D69:M69" si="18">C69-$K11</f>
        <v>100</v>
      </c>
      <c r="E69" s="3636">
        <f t="shared" si="18"/>
        <v>100</v>
      </c>
      <c r="F69" s="3636">
        <f t="shared" si="18"/>
        <v>100</v>
      </c>
      <c r="G69" s="3636">
        <f t="shared" si="18"/>
        <v>100</v>
      </c>
      <c r="H69" s="3636">
        <f t="shared" si="18"/>
        <v>100</v>
      </c>
      <c r="I69" s="3636">
        <f t="shared" si="18"/>
        <v>100</v>
      </c>
      <c r="J69" s="3636">
        <f t="shared" si="18"/>
        <v>100</v>
      </c>
      <c r="K69" s="3636">
        <f t="shared" si="18"/>
        <v>100</v>
      </c>
      <c r="L69" s="3636">
        <f t="shared" si="18"/>
        <v>100</v>
      </c>
      <c r="M69" s="3637">
        <f t="shared" si="18"/>
        <v>100</v>
      </c>
      <c r="N69" s="3629"/>
      <c r="O69" s="3629"/>
      <c r="P69" s="3624"/>
      <c r="Q69" s="3606"/>
    </row>
    <row r="70" spans="1:17" s="3524" customFormat="1" ht="15.75" thickTop="1">
      <c r="A70" s="3645"/>
      <c r="B70" s="3630">
        <f>B12</f>
        <v>111</v>
      </c>
      <c r="C70" s="3646"/>
      <c r="D70" s="3646"/>
      <c r="E70" s="3646"/>
      <c r="F70" s="3646"/>
      <c r="G70" s="3646"/>
      <c r="H70" s="3647"/>
      <c r="I70" s="3647"/>
      <c r="J70" s="3647"/>
      <c r="K70" s="3647"/>
      <c r="L70" s="3648"/>
      <c r="M70" s="3649"/>
      <c r="N70" s="3650"/>
      <c r="O70" s="3650"/>
      <c r="P70" s="3651"/>
      <c r="Q70" s="3652"/>
    </row>
    <row r="71" spans="1:17" s="3524" customFormat="1" ht="15.75" thickBot="1">
      <c r="A71" s="3645"/>
      <c r="B71" s="3635"/>
      <c r="C71" s="3653"/>
      <c r="D71" s="3627"/>
      <c r="E71" s="3627"/>
      <c r="F71" s="3627"/>
      <c r="G71" s="3627"/>
      <c r="H71" s="3627"/>
      <c r="I71" s="3627"/>
      <c r="J71" s="3627"/>
      <c r="K71" s="3627"/>
      <c r="L71" s="3627"/>
      <c r="M71" s="3628"/>
      <c r="N71" s="3629"/>
      <c r="O71" s="3629"/>
      <c r="P71" s="3651"/>
      <c r="Q71" s="3652"/>
    </row>
    <row r="72" spans="1:17" s="3524" customFormat="1" ht="15.75" thickTop="1">
      <c r="A72" s="3645"/>
      <c r="B72" s="3630">
        <f>B13</f>
        <v>111</v>
      </c>
      <c r="C72" s="3646"/>
      <c r="D72" s="3646"/>
      <c r="E72" s="3646"/>
      <c r="F72" s="3646"/>
      <c r="G72" s="3646"/>
      <c r="H72" s="3647"/>
      <c r="I72" s="3647"/>
      <c r="J72" s="3647"/>
      <c r="K72" s="3647"/>
      <c r="L72" s="3648"/>
      <c r="M72" s="3649"/>
      <c r="N72" s="3650"/>
      <c r="O72" s="3650"/>
      <c r="P72" s="3654"/>
      <c r="Q72" s="3655"/>
    </row>
    <row r="73" spans="1:17" s="3524" customFormat="1" ht="15.75" thickBot="1">
      <c r="A73" s="3645"/>
      <c r="B73" s="3635"/>
      <c r="C73" s="3653"/>
      <c r="D73" s="3627"/>
      <c r="E73" s="3627"/>
      <c r="F73" s="3627"/>
      <c r="G73" s="3653"/>
      <c r="H73" s="3656"/>
      <c r="I73" s="3656"/>
      <c r="J73" s="3656"/>
      <c r="K73" s="3656"/>
      <c r="L73" s="3656"/>
      <c r="M73" s="3657"/>
      <c r="N73" s="3650"/>
      <c r="O73" s="3650"/>
      <c r="P73" s="3651"/>
      <c r="Q73" s="3652"/>
    </row>
    <row r="74" spans="1:17" s="3524" customFormat="1" ht="15.75" thickTop="1">
      <c r="A74" s="3645"/>
      <c r="B74" s="3638">
        <f>B14</f>
        <v>111</v>
      </c>
      <c r="C74" s="3646"/>
      <c r="D74" s="3646"/>
      <c r="E74" s="3646"/>
      <c r="F74" s="3646"/>
      <c r="G74" s="3609"/>
      <c r="H74" s="3658"/>
      <c r="I74" s="3658"/>
      <c r="J74" s="3658"/>
      <c r="K74" s="3658"/>
      <c r="L74" s="3659"/>
      <c r="M74" s="3660"/>
      <c r="N74" s="3650"/>
      <c r="O74" s="3650"/>
      <c r="P74" s="3661"/>
      <c r="Q74" s="3652"/>
    </row>
    <row r="75" spans="1:17" s="3524" customFormat="1" ht="15.75" thickBot="1">
      <c r="A75" s="3662"/>
      <c r="B75" s="3663"/>
      <c r="C75" s="3664"/>
      <c r="D75" s="3664"/>
      <c r="E75" s="3664"/>
      <c r="F75" s="3664"/>
      <c r="G75" s="3664"/>
      <c r="H75" s="3665"/>
      <c r="I75" s="3665"/>
      <c r="J75" s="3665"/>
      <c r="K75" s="3665"/>
      <c r="L75" s="3665"/>
      <c r="M75" s="3666"/>
      <c r="N75" s="3650"/>
      <c r="O75" s="3650"/>
      <c r="P75" s="3651"/>
      <c r="Q75" s="3652"/>
    </row>
    <row r="76" spans="1:17">
      <c r="A76" s="3616" t="s">
        <v>3219</v>
      </c>
      <c r="B76" s="3617" t="s">
        <v>3220</v>
      </c>
      <c r="C76" s="3667" t="s">
        <v>3221</v>
      </c>
      <c r="D76" s="3667" t="s">
        <v>3222</v>
      </c>
      <c r="E76" s="3667" t="s">
        <v>3223</v>
      </c>
      <c r="F76" s="3667" t="s">
        <v>3224</v>
      </c>
      <c r="G76" s="3667" t="s">
        <v>3225</v>
      </c>
      <c r="H76" s="3618"/>
      <c r="I76" s="3618"/>
      <c r="J76" s="3618"/>
      <c r="K76" s="3668"/>
      <c r="L76" s="3669"/>
      <c r="M76" s="3670"/>
      <c r="N76" s="3623"/>
      <c r="O76" s="3623"/>
      <c r="P76" s="3671"/>
      <c r="Q76" s="3606"/>
    </row>
    <row r="77" spans="1:17" ht="15.75" thickBot="1">
      <c r="A77" s="3625"/>
      <c r="B77" s="3635"/>
      <c r="C77" s="3636">
        <v>100</v>
      </c>
      <c r="D77" s="3636">
        <f>C77-$K15</f>
        <v>98</v>
      </c>
      <c r="E77" s="3636">
        <f>D77-$K15</f>
        <v>96</v>
      </c>
      <c r="F77" s="3636">
        <f>E77-$K15</f>
        <v>94</v>
      </c>
      <c r="G77" s="3636">
        <f>F77-$K15</f>
        <v>92</v>
      </c>
      <c r="H77" s="3636"/>
      <c r="I77" s="3636"/>
      <c r="J77" s="3636"/>
      <c r="K77" s="3636"/>
      <c r="L77" s="3636"/>
      <c r="M77" s="3637"/>
      <c r="N77" s="3629"/>
      <c r="O77" s="3629"/>
      <c r="P77" s="3624"/>
      <c r="Q77" s="3606"/>
    </row>
    <row r="78" spans="1:17" ht="15.75" thickTop="1">
      <c r="A78" s="3625"/>
      <c r="B78" s="3630" t="s">
        <v>3226</v>
      </c>
      <c r="C78" s="3672" t="s">
        <v>3221</v>
      </c>
      <c r="D78" s="3672" t="s">
        <v>3222</v>
      </c>
      <c r="E78" s="3672" t="s">
        <v>3223</v>
      </c>
      <c r="F78" s="3672" t="s">
        <v>3224</v>
      </c>
      <c r="G78" s="3672" t="s">
        <v>3225</v>
      </c>
      <c r="H78" s="3631"/>
      <c r="I78" s="3631"/>
      <c r="J78" s="3631"/>
      <c r="K78" s="3632"/>
      <c r="L78" s="3633"/>
      <c r="M78" s="3634"/>
      <c r="N78" s="3623"/>
      <c r="O78" s="3623"/>
      <c r="P78" s="3624"/>
      <c r="Q78" s="3606"/>
    </row>
    <row r="79" spans="1:17" ht="15.75" thickBot="1">
      <c r="A79" s="3625"/>
      <c r="B79" s="3635"/>
      <c r="C79" s="3636">
        <v>100</v>
      </c>
      <c r="D79" s="3636">
        <f>C79-$K17</f>
        <v>98</v>
      </c>
      <c r="E79" s="3636">
        <f>D79-$K17</f>
        <v>96</v>
      </c>
      <c r="F79" s="3636">
        <f>E79-$K17</f>
        <v>94</v>
      </c>
      <c r="G79" s="3636">
        <f>F79-$K17</f>
        <v>92</v>
      </c>
      <c r="H79" s="3636"/>
      <c r="I79" s="3636"/>
      <c r="J79" s="3636"/>
      <c r="K79" s="3636"/>
      <c r="L79" s="3636"/>
      <c r="M79" s="3637"/>
      <c r="N79" s="3629"/>
      <c r="O79" s="3629"/>
      <c r="P79" s="3624"/>
      <c r="Q79" s="3606"/>
    </row>
    <row r="80" spans="1:17" ht="15.75" thickTop="1">
      <c r="A80" s="3625"/>
      <c r="B80" s="3630" t="s">
        <v>3178</v>
      </c>
      <c r="C80" s="3672" t="s">
        <v>3221</v>
      </c>
      <c r="D80" s="3672" t="s">
        <v>3222</v>
      </c>
      <c r="E80" s="3672" t="s">
        <v>3223</v>
      </c>
      <c r="F80" s="3672" t="s">
        <v>3224</v>
      </c>
      <c r="G80" s="3672" t="s">
        <v>3225</v>
      </c>
      <c r="H80" s="3631"/>
      <c r="I80" s="3631"/>
      <c r="J80" s="3631"/>
      <c r="K80" s="3632"/>
      <c r="L80" s="3633"/>
      <c r="M80" s="3634"/>
      <c r="N80" s="3623"/>
      <c r="O80" s="3623"/>
      <c r="P80" s="3624"/>
      <c r="Q80" s="3606"/>
    </row>
    <row r="81" spans="1:17" ht="15.75" thickBot="1">
      <c r="A81" s="3625"/>
      <c r="B81" s="3635"/>
      <c r="C81" s="3636">
        <v>100</v>
      </c>
      <c r="D81" s="3636">
        <f>C81-$K19</f>
        <v>99</v>
      </c>
      <c r="E81" s="3636">
        <f>D81-$K19</f>
        <v>98</v>
      </c>
      <c r="F81" s="3636">
        <f>E81-$K19</f>
        <v>97</v>
      </c>
      <c r="G81" s="3636">
        <f>F81-$K19</f>
        <v>96</v>
      </c>
      <c r="H81" s="3636"/>
      <c r="I81" s="3636"/>
      <c r="J81" s="3636"/>
      <c r="K81" s="3636"/>
      <c r="L81" s="3636"/>
      <c r="M81" s="3637"/>
      <c r="N81" s="3629"/>
      <c r="O81" s="3629"/>
      <c r="P81" s="3624"/>
      <c r="Q81" s="3606"/>
    </row>
    <row r="82" spans="1:17" ht="15.75" thickTop="1">
      <c r="A82" s="3625"/>
      <c r="B82" s="3638" t="s">
        <v>3179</v>
      </c>
      <c r="C82" s="3673" t="s">
        <v>3227</v>
      </c>
      <c r="D82" s="3673" t="s">
        <v>3228</v>
      </c>
      <c r="E82" s="3673" t="s">
        <v>3229</v>
      </c>
      <c r="F82" s="3673" t="s">
        <v>3230</v>
      </c>
      <c r="G82" s="3673" t="s">
        <v>3231</v>
      </c>
      <c r="H82" s="3631"/>
      <c r="I82" s="3631"/>
      <c r="J82" s="3631"/>
      <c r="K82" s="3631"/>
      <c r="L82" s="3631"/>
      <c r="M82" s="3674"/>
      <c r="N82" s="3629"/>
      <c r="O82" s="3629"/>
      <c r="P82" s="3624"/>
      <c r="Q82" s="3606"/>
    </row>
    <row r="83" spans="1:17" ht="15.75" thickBot="1">
      <c r="A83" s="3625"/>
      <c r="B83" s="3638"/>
      <c r="C83" s="3636">
        <v>100</v>
      </c>
      <c r="D83" s="3636">
        <f>C83-$K21</f>
        <v>99</v>
      </c>
      <c r="E83" s="3636">
        <f t="shared" ref="E83:G83" si="19">D83-$K21</f>
        <v>98</v>
      </c>
      <c r="F83" s="3636">
        <f t="shared" si="19"/>
        <v>97</v>
      </c>
      <c r="G83" s="3636">
        <f t="shared" si="19"/>
        <v>96</v>
      </c>
      <c r="H83" s="3673"/>
      <c r="I83" s="3673"/>
      <c r="J83" s="3673"/>
      <c r="K83" s="3673"/>
      <c r="L83" s="3673"/>
      <c r="M83" s="3486"/>
      <c r="N83" s="3629"/>
      <c r="O83" s="3629"/>
      <c r="P83" s="3624"/>
      <c r="Q83" s="3606"/>
    </row>
    <row r="84" spans="1:17" ht="15.75" thickTop="1">
      <c r="A84" s="3625"/>
      <c r="B84" s="3630" t="s">
        <v>3232</v>
      </c>
      <c r="C84" s="3672" t="s">
        <v>3221</v>
      </c>
      <c r="D84" s="3672" t="s">
        <v>3222</v>
      </c>
      <c r="E84" s="3672" t="s">
        <v>3223</v>
      </c>
      <c r="F84" s="3672" t="s">
        <v>3224</v>
      </c>
      <c r="G84" s="3672" t="s">
        <v>3225</v>
      </c>
      <c r="H84" s="3631"/>
      <c r="I84" s="3631"/>
      <c r="J84" s="3631"/>
      <c r="K84" s="3632"/>
      <c r="L84" s="3633"/>
      <c r="M84" s="3634"/>
      <c r="N84" s="3623"/>
      <c r="O84" s="3623"/>
      <c r="P84" s="3624"/>
      <c r="Q84" s="3606"/>
    </row>
    <row r="85" spans="1:17" ht="15.75" thickBot="1">
      <c r="A85" s="3625"/>
      <c r="B85" s="3635"/>
      <c r="C85" s="3636">
        <v>100</v>
      </c>
      <c r="D85" s="3636">
        <f>C85-$K23</f>
        <v>99</v>
      </c>
      <c r="E85" s="3636">
        <f>D85-$K23</f>
        <v>98</v>
      </c>
      <c r="F85" s="3636">
        <f>E85-$K23</f>
        <v>97</v>
      </c>
      <c r="G85" s="3636">
        <f>F85-$K23</f>
        <v>96</v>
      </c>
      <c r="H85" s="3636"/>
      <c r="I85" s="3636"/>
      <c r="J85" s="3636"/>
      <c r="K85" s="3636"/>
      <c r="L85" s="3636"/>
      <c r="M85" s="3637"/>
      <c r="N85" s="3629"/>
      <c r="O85" s="3629"/>
      <c r="P85" s="3624"/>
      <c r="Q85" s="3606"/>
    </row>
    <row r="86" spans="1:17" s="3428" customFormat="1" ht="15.75" thickTop="1">
      <c r="A86" s="3675"/>
      <c r="B86" s="3630" t="s">
        <v>3180</v>
      </c>
      <c r="C86" s="3676" t="s">
        <v>3233</v>
      </c>
      <c r="D86" s="3676" t="s">
        <v>3234</v>
      </c>
      <c r="E86" s="3676" t="s">
        <v>3235</v>
      </c>
      <c r="F86" s="3646"/>
      <c r="G86" s="3646"/>
      <c r="H86" s="3646"/>
      <c r="I86" s="3646"/>
      <c r="J86" s="3646"/>
      <c r="K86" s="3646"/>
      <c r="L86" s="3677"/>
      <c r="M86" s="3678"/>
      <c r="N86" s="3612"/>
      <c r="O86" s="3612"/>
      <c r="P86" s="3624"/>
      <c r="Q86" s="3606"/>
    </row>
    <row r="87" spans="1:17" s="3428" customFormat="1" ht="15.75" thickBot="1">
      <c r="A87" s="3675"/>
      <c r="B87" s="3635"/>
      <c r="C87" s="3679">
        <v>100</v>
      </c>
      <c r="D87" s="3636">
        <f t="shared" ref="D87:M87" si="20">C87-$K25</f>
        <v>99</v>
      </c>
      <c r="E87" s="3636">
        <f t="shared" si="20"/>
        <v>98</v>
      </c>
      <c r="F87" s="3636">
        <f t="shared" si="20"/>
        <v>97</v>
      </c>
      <c r="G87" s="3636">
        <f t="shared" si="20"/>
        <v>96</v>
      </c>
      <c r="H87" s="3636">
        <f t="shared" si="20"/>
        <v>95</v>
      </c>
      <c r="I87" s="3636">
        <f t="shared" si="20"/>
        <v>94</v>
      </c>
      <c r="J87" s="3636">
        <f t="shared" si="20"/>
        <v>93</v>
      </c>
      <c r="K87" s="3636">
        <f t="shared" si="20"/>
        <v>92</v>
      </c>
      <c r="L87" s="3636">
        <f t="shared" si="20"/>
        <v>91</v>
      </c>
      <c r="M87" s="3636">
        <f t="shared" si="20"/>
        <v>90</v>
      </c>
      <c r="N87" s="3629"/>
      <c r="O87" s="3629"/>
      <c r="P87" s="3624"/>
      <c r="Q87" s="3606"/>
    </row>
    <row r="88" spans="1:17" s="3428" customFormat="1" ht="15.75" thickTop="1">
      <c r="A88" s="3675"/>
      <c r="B88" s="3630" t="str">
        <f>B26</f>
        <v>平面位置/可视性</v>
      </c>
      <c r="C88" s="3676" t="s">
        <v>3182</v>
      </c>
      <c r="D88" s="3646"/>
      <c r="E88" s="3646"/>
      <c r="F88" s="3680"/>
      <c r="G88" s="3646"/>
      <c r="H88" s="3646"/>
      <c r="I88" s="3646"/>
      <c r="J88" s="3646"/>
      <c r="K88" s="3646"/>
      <c r="L88" s="3646"/>
      <c r="M88" s="3678"/>
      <c r="N88" s="3612"/>
      <c r="O88" s="3612"/>
      <c r="P88" s="3624"/>
      <c r="Q88" s="3606"/>
    </row>
    <row r="89" spans="1:17" s="3428" customFormat="1" ht="15.75" thickBot="1">
      <c r="A89" s="3675"/>
      <c r="B89" s="3635"/>
      <c r="C89" s="3653"/>
      <c r="D89" s="3627"/>
      <c r="E89" s="3627"/>
      <c r="F89" s="3627"/>
      <c r="G89" s="3627"/>
      <c r="H89" s="3627"/>
      <c r="I89" s="3627"/>
      <c r="J89" s="3627"/>
      <c r="K89" s="3627"/>
      <c r="L89" s="3627"/>
      <c r="M89" s="3627"/>
      <c r="N89" s="3629"/>
      <c r="O89" s="3629"/>
      <c r="P89" s="3624"/>
      <c r="Q89" s="3606"/>
    </row>
    <row r="90" spans="1:17" s="3524" customFormat="1" ht="15.75" thickTop="1">
      <c r="A90" s="3645"/>
      <c r="B90" s="3630" t="str">
        <f>B27</f>
        <v>人流量</v>
      </c>
      <c r="C90" s="3676" t="s">
        <v>3236</v>
      </c>
      <c r="D90" s="3676" t="s">
        <v>3237</v>
      </c>
      <c r="E90" s="3676" t="s">
        <v>3238</v>
      </c>
      <c r="F90" s="3646"/>
      <c r="G90" s="3646"/>
      <c r="H90" s="3647"/>
      <c r="I90" s="3647"/>
      <c r="J90" s="3647"/>
      <c r="K90" s="3647"/>
      <c r="L90" s="3648"/>
      <c r="M90" s="3649"/>
      <c r="N90" s="3650"/>
      <c r="O90" s="3650"/>
      <c r="P90" s="3651"/>
      <c r="Q90" s="3652"/>
    </row>
    <row r="91" spans="1:17" s="3524" customFormat="1" ht="15.75" thickBot="1">
      <c r="A91" s="3645"/>
      <c r="B91" s="3635"/>
      <c r="C91" s="3679">
        <v>100</v>
      </c>
      <c r="D91" s="3636">
        <f>C91-$K27</f>
        <v>99</v>
      </c>
      <c r="E91" s="3636">
        <f t="shared" ref="E91:M91" si="21">D91-$K27</f>
        <v>98</v>
      </c>
      <c r="F91" s="3636">
        <f t="shared" si="21"/>
        <v>97</v>
      </c>
      <c r="G91" s="3636">
        <f t="shared" si="21"/>
        <v>96</v>
      </c>
      <c r="H91" s="3636">
        <f t="shared" si="21"/>
        <v>95</v>
      </c>
      <c r="I91" s="3636">
        <f t="shared" si="21"/>
        <v>94</v>
      </c>
      <c r="J91" s="3636">
        <f t="shared" si="21"/>
        <v>93</v>
      </c>
      <c r="K91" s="3636">
        <f t="shared" si="21"/>
        <v>92</v>
      </c>
      <c r="L91" s="3636">
        <f t="shared" si="21"/>
        <v>91</v>
      </c>
      <c r="M91" s="3636">
        <f t="shared" si="21"/>
        <v>90</v>
      </c>
      <c r="N91" s="3650"/>
      <c r="O91" s="3650"/>
      <c r="P91" s="3651"/>
      <c r="Q91" s="3652"/>
    </row>
    <row r="92" spans="1:17" ht="15.75" thickTop="1">
      <c r="A92" s="3625"/>
      <c r="B92" s="3630" t="str">
        <f>B28</f>
        <v>楼层</v>
      </c>
      <c r="C92" s="3646" t="s">
        <v>3239</v>
      </c>
      <c r="D92" s="3646"/>
      <c r="E92" s="3646"/>
      <c r="F92" s="3646"/>
      <c r="G92" s="3646"/>
      <c r="H92" s="3646"/>
      <c r="I92" s="3646"/>
      <c r="J92" s="3646"/>
      <c r="K92" s="3646"/>
      <c r="L92" s="3677"/>
      <c r="M92" s="3678"/>
      <c r="N92" s="3623"/>
      <c r="O92" s="3623"/>
      <c r="P92" s="3624"/>
      <c r="Q92" s="3606"/>
    </row>
    <row r="93" spans="1:17" ht="15.75" thickBot="1">
      <c r="A93" s="3625"/>
      <c r="B93" s="3635"/>
      <c r="C93" s="3627"/>
      <c r="D93" s="3627"/>
      <c r="E93" s="3627"/>
      <c r="F93" s="3627"/>
      <c r="G93" s="3627"/>
      <c r="H93" s="3627"/>
      <c r="I93" s="3627"/>
      <c r="J93" s="3627"/>
      <c r="K93" s="3627"/>
      <c r="L93" s="3627"/>
      <c r="M93" s="3628"/>
      <c r="N93" s="3629"/>
      <c r="O93" s="3629"/>
      <c r="P93" s="3624"/>
      <c r="Q93" s="3606"/>
    </row>
    <row r="94" spans="1:17" ht="15.75" thickTop="1">
      <c r="A94" s="3625"/>
      <c r="B94" s="3630">
        <f>B29</f>
        <v>111</v>
      </c>
      <c r="C94" s="3646"/>
      <c r="D94" s="3646"/>
      <c r="E94" s="3646"/>
      <c r="F94" s="3646"/>
      <c r="G94" s="3681"/>
      <c r="H94" s="3681"/>
      <c r="I94" s="3681"/>
      <c r="J94" s="3681"/>
      <c r="K94" s="3682"/>
      <c r="L94" s="3683"/>
      <c r="M94" s="3684"/>
      <c r="N94" s="3623"/>
      <c r="O94" s="3623"/>
      <c r="P94" s="3624"/>
      <c r="Q94" s="3606"/>
    </row>
    <row r="95" spans="1:17" ht="15.75" thickBot="1">
      <c r="A95" s="3625"/>
      <c r="B95" s="3635"/>
      <c r="C95" s="3653"/>
      <c r="D95" s="3627"/>
      <c r="E95" s="3627"/>
      <c r="F95" s="3627"/>
      <c r="G95" s="3627"/>
      <c r="H95" s="3627"/>
      <c r="I95" s="3627"/>
      <c r="J95" s="3627"/>
      <c r="K95" s="3627"/>
      <c r="L95" s="3627"/>
      <c r="M95" s="3628"/>
      <c r="N95" s="3629"/>
      <c r="O95" s="3629"/>
      <c r="P95" s="3624"/>
      <c r="Q95" s="3606"/>
    </row>
    <row r="96" spans="1:17" ht="15.75" thickTop="1">
      <c r="A96" s="3625"/>
      <c r="B96" s="3630">
        <f>B30</f>
        <v>111</v>
      </c>
      <c r="C96" s="3646"/>
      <c r="D96" s="3646"/>
      <c r="E96" s="3646"/>
      <c r="F96" s="3646"/>
      <c r="G96" s="3681"/>
      <c r="H96" s="3681"/>
      <c r="I96" s="3681"/>
      <c r="J96" s="3681"/>
      <c r="K96" s="3682"/>
      <c r="L96" s="3683"/>
      <c r="M96" s="3684"/>
      <c r="N96" s="3623"/>
      <c r="O96" s="3623"/>
      <c r="P96" s="3624"/>
      <c r="Q96" s="3606"/>
    </row>
    <row r="97" spans="1:17" ht="15.75" thickBot="1">
      <c r="A97" s="3625"/>
      <c r="B97" s="3635"/>
      <c r="C97" s="3653"/>
      <c r="D97" s="3627"/>
      <c r="E97" s="3627"/>
      <c r="F97" s="3627"/>
      <c r="G97" s="3627"/>
      <c r="H97" s="3627"/>
      <c r="I97" s="3627"/>
      <c r="J97" s="3627"/>
      <c r="K97" s="3627"/>
      <c r="L97" s="3627"/>
      <c r="M97" s="3628"/>
      <c r="N97" s="3629"/>
      <c r="O97" s="3629"/>
      <c r="P97" s="3624"/>
      <c r="Q97" s="3606"/>
    </row>
    <row r="98" spans="1:17" ht="15.75" thickTop="1">
      <c r="A98" s="3625"/>
      <c r="B98" s="3638">
        <f>B31</f>
        <v>111</v>
      </c>
      <c r="C98" s="3646"/>
      <c r="D98" s="3646"/>
      <c r="E98" s="3646"/>
      <c r="F98" s="3646"/>
      <c r="G98" s="3685"/>
      <c r="H98" s="3685"/>
      <c r="I98" s="3685"/>
      <c r="J98" s="3685"/>
      <c r="K98" s="3686"/>
      <c r="L98" s="3687"/>
      <c r="M98" s="3688"/>
      <c r="N98" s="3623"/>
      <c r="O98" s="3623"/>
      <c r="P98" s="3624"/>
      <c r="Q98" s="3606"/>
    </row>
    <row r="99" spans="1:17" ht="15.75" thickBot="1">
      <c r="A99" s="3689"/>
      <c r="B99" s="3663"/>
      <c r="C99" s="3664"/>
      <c r="D99" s="3664"/>
      <c r="E99" s="3664"/>
      <c r="F99" s="3664"/>
      <c r="G99" s="3690"/>
      <c r="H99" s="3690"/>
      <c r="I99" s="3690"/>
      <c r="J99" s="3690"/>
      <c r="K99" s="3690"/>
      <c r="L99" s="3690"/>
      <c r="M99" s="3691"/>
      <c r="N99" s="3629"/>
      <c r="O99" s="3629"/>
      <c r="P99" s="3624"/>
      <c r="Q99" s="3606"/>
    </row>
    <row r="100" spans="1:17">
      <c r="A100" s="3616" t="s">
        <v>3240</v>
      </c>
      <c r="B100" s="3617" t="s">
        <v>3241</v>
      </c>
      <c r="C100" s="3692" t="s">
        <v>3242</v>
      </c>
      <c r="D100" s="3692" t="s">
        <v>3243</v>
      </c>
      <c r="E100" s="3619"/>
      <c r="F100" s="3619"/>
      <c r="G100" s="3619"/>
      <c r="H100" s="3619"/>
      <c r="I100" s="3619"/>
      <c r="J100" s="3619"/>
      <c r="K100" s="3620"/>
      <c r="L100" s="3621"/>
      <c r="M100" s="3622"/>
      <c r="N100" s="3623"/>
      <c r="O100" s="3623"/>
      <c r="P100" s="3624"/>
      <c r="Q100" s="3606"/>
    </row>
    <row r="101" spans="1:17" ht="15.75" thickBot="1">
      <c r="A101" s="3625"/>
      <c r="B101" s="3635"/>
      <c r="C101" s="3636">
        <v>100</v>
      </c>
      <c r="D101" s="3636">
        <f t="shared" ref="D101:M101" si="22">C101-$K32</f>
        <v>99</v>
      </c>
      <c r="E101" s="3636">
        <f t="shared" si="22"/>
        <v>98</v>
      </c>
      <c r="F101" s="3636">
        <f t="shared" si="22"/>
        <v>97</v>
      </c>
      <c r="G101" s="3636">
        <f t="shared" si="22"/>
        <v>96</v>
      </c>
      <c r="H101" s="3636">
        <f t="shared" si="22"/>
        <v>95</v>
      </c>
      <c r="I101" s="3636">
        <f t="shared" si="22"/>
        <v>94</v>
      </c>
      <c r="J101" s="3636">
        <f t="shared" si="22"/>
        <v>93</v>
      </c>
      <c r="K101" s="3636">
        <f t="shared" si="22"/>
        <v>92</v>
      </c>
      <c r="L101" s="3636">
        <f t="shared" si="22"/>
        <v>91</v>
      </c>
      <c r="M101" s="3637">
        <f t="shared" si="22"/>
        <v>90</v>
      </c>
      <c r="N101" s="3629"/>
      <c r="O101" s="3629"/>
      <c r="P101" s="3624"/>
      <c r="Q101" s="3606"/>
    </row>
    <row r="102" spans="1:17" ht="15.75" thickTop="1">
      <c r="A102" s="3625"/>
      <c r="B102" s="3630" t="s">
        <v>3244</v>
      </c>
      <c r="C102" s="3672" t="str">
        <f>C103&amp;"(含)"&amp;"-"&amp;D103</f>
        <v>0(含)-100</v>
      </c>
      <c r="D102" s="3672" t="str">
        <f t="shared" ref="D102:L102" si="23">D103&amp;"(含)"&amp;"-"&amp;E103</f>
        <v>100(含)-500</v>
      </c>
      <c r="E102" s="3672" t="str">
        <f t="shared" si="23"/>
        <v>500(含)-</v>
      </c>
      <c r="F102" s="3672" t="str">
        <f t="shared" si="23"/>
        <v>(含)-</v>
      </c>
      <c r="G102" s="3672" t="str">
        <f t="shared" si="23"/>
        <v>(含)-</v>
      </c>
      <c r="H102" s="3672" t="str">
        <f t="shared" si="23"/>
        <v>(含)-</v>
      </c>
      <c r="I102" s="3672" t="str">
        <f t="shared" si="23"/>
        <v>(含)-</v>
      </c>
      <c r="J102" s="3672" t="str">
        <f t="shared" si="23"/>
        <v>(含)-</v>
      </c>
      <c r="K102" s="3672" t="str">
        <f t="shared" si="23"/>
        <v>(含)-</v>
      </c>
      <c r="L102" s="3672" t="str">
        <f t="shared" si="23"/>
        <v>(含)-</v>
      </c>
      <c r="M102" s="3693" t="str">
        <f>M103&amp;"(含)"&amp;"-"&amp;P103</f>
        <v>(含)-</v>
      </c>
      <c r="N102" s="3612"/>
      <c r="O102" s="3612"/>
      <c r="P102" s="3624"/>
      <c r="Q102" s="3606"/>
    </row>
    <row r="103" spans="1:17" s="3524" customFormat="1">
      <c r="A103" s="3694"/>
      <c r="B103" s="3695"/>
      <c r="C103" s="3696">
        <v>0</v>
      </c>
      <c r="D103" s="3696">
        <v>100</v>
      </c>
      <c r="E103" s="3696">
        <v>500</v>
      </c>
      <c r="F103" s="3696"/>
      <c r="G103" s="3696"/>
      <c r="H103" s="3696"/>
      <c r="I103" s="3696"/>
      <c r="J103" s="3697"/>
      <c r="K103" s="3697"/>
      <c r="L103" s="3698"/>
      <c r="M103" s="3699"/>
      <c r="N103" s="3650"/>
      <c r="O103" s="3650"/>
      <c r="P103" s="3651"/>
      <c r="Q103" s="3652"/>
    </row>
    <row r="104" spans="1:17" s="3524" customFormat="1" ht="15.75" thickBot="1">
      <c r="A104" s="3645"/>
      <c r="B104" s="3635"/>
      <c r="C104" s="3653">
        <v>100</v>
      </c>
      <c r="D104" s="3627">
        <v>98</v>
      </c>
      <c r="E104" s="3627">
        <v>96</v>
      </c>
      <c r="F104" s="3627"/>
      <c r="G104" s="3627"/>
      <c r="H104" s="3627"/>
      <c r="I104" s="3627"/>
      <c r="J104" s="3627"/>
      <c r="K104" s="3627"/>
      <c r="L104" s="3627"/>
      <c r="M104" s="3628"/>
      <c r="N104" s="3629"/>
      <c r="O104" s="3629"/>
      <c r="P104" s="3651"/>
      <c r="Q104" s="3652"/>
    </row>
    <row r="105" spans="1:17" ht="15" thickTop="1">
      <c r="A105" s="3700"/>
      <c r="B105" s="3630" t="s">
        <v>3245</v>
      </c>
      <c r="C105" s="3676" t="s">
        <v>3246</v>
      </c>
      <c r="D105" s="3646"/>
      <c r="E105" s="3681"/>
      <c r="F105" s="3681"/>
      <c r="G105" s="3681"/>
      <c r="H105" s="3681"/>
      <c r="I105" s="3681"/>
      <c r="J105" s="3681"/>
      <c r="K105" s="3682"/>
      <c r="L105" s="3683"/>
      <c r="M105" s="3684"/>
      <c r="N105" s="3623"/>
      <c r="O105" s="3623"/>
      <c r="P105" s="3624"/>
      <c r="Q105" s="3606"/>
    </row>
    <row r="106" spans="1:17" ht="15.75" thickBot="1">
      <c r="A106" s="3625"/>
      <c r="B106" s="3635"/>
      <c r="C106" s="3636">
        <v>100</v>
      </c>
      <c r="D106" s="3636">
        <f t="shared" ref="D106:M106" si="24">C106-$K34</f>
        <v>99</v>
      </c>
      <c r="E106" s="3636">
        <f t="shared" si="24"/>
        <v>98</v>
      </c>
      <c r="F106" s="3636">
        <f t="shared" si="24"/>
        <v>97</v>
      </c>
      <c r="G106" s="3636">
        <f t="shared" si="24"/>
        <v>96</v>
      </c>
      <c r="H106" s="3636">
        <f t="shared" si="24"/>
        <v>95</v>
      </c>
      <c r="I106" s="3636">
        <f t="shared" si="24"/>
        <v>94</v>
      </c>
      <c r="J106" s="3636">
        <f t="shared" si="24"/>
        <v>93</v>
      </c>
      <c r="K106" s="3636">
        <f t="shared" si="24"/>
        <v>92</v>
      </c>
      <c r="L106" s="3636">
        <f t="shared" si="24"/>
        <v>91</v>
      </c>
      <c r="M106" s="3637">
        <f t="shared" si="24"/>
        <v>90</v>
      </c>
      <c r="N106" s="3629"/>
      <c r="O106" s="3629"/>
      <c r="P106" s="3624"/>
      <c r="Q106" s="3606"/>
    </row>
    <row r="107" spans="1:17" ht="15" thickTop="1">
      <c r="A107" s="3700"/>
      <c r="B107" s="3630" t="s">
        <v>3188</v>
      </c>
      <c r="C107" s="3676" t="s">
        <v>3247</v>
      </c>
      <c r="D107" s="3676" t="s">
        <v>3248</v>
      </c>
      <c r="E107" s="3676" t="s">
        <v>3249</v>
      </c>
      <c r="F107" s="3701" t="s">
        <v>3250</v>
      </c>
      <c r="G107" s="3681"/>
      <c r="H107" s="3681"/>
      <c r="I107" s="3681"/>
      <c r="J107" s="3681"/>
      <c r="K107" s="3682"/>
      <c r="L107" s="3683"/>
      <c r="M107" s="3684"/>
      <c r="N107" s="3623"/>
      <c r="O107" s="3623"/>
      <c r="P107" s="3624"/>
      <c r="Q107" s="3606"/>
    </row>
    <row r="108" spans="1:17" ht="15.75" thickBot="1">
      <c r="A108" s="3625"/>
      <c r="B108" s="3635"/>
      <c r="C108" s="3636">
        <v>100</v>
      </c>
      <c r="D108" s="3636">
        <f t="shared" ref="D108:M108" si="25">C108-$K35</f>
        <v>99</v>
      </c>
      <c r="E108" s="3636">
        <f t="shared" si="25"/>
        <v>98</v>
      </c>
      <c r="F108" s="3636">
        <f t="shared" si="25"/>
        <v>97</v>
      </c>
      <c r="G108" s="3636">
        <f t="shared" si="25"/>
        <v>96</v>
      </c>
      <c r="H108" s="3636">
        <f t="shared" si="25"/>
        <v>95</v>
      </c>
      <c r="I108" s="3636">
        <f t="shared" si="25"/>
        <v>94</v>
      </c>
      <c r="J108" s="3636">
        <f t="shared" si="25"/>
        <v>93</v>
      </c>
      <c r="K108" s="3636">
        <f t="shared" si="25"/>
        <v>92</v>
      </c>
      <c r="L108" s="3636">
        <f t="shared" si="25"/>
        <v>91</v>
      </c>
      <c r="M108" s="3637">
        <f t="shared" si="25"/>
        <v>90</v>
      </c>
      <c r="N108" s="3629"/>
      <c r="O108" s="3629"/>
      <c r="P108" s="3624"/>
      <c r="Q108" s="3606"/>
    </row>
    <row r="109" spans="1:17" ht="15" thickTop="1">
      <c r="A109" s="3700"/>
      <c r="B109" s="3630" t="s">
        <v>3189</v>
      </c>
      <c r="C109" s="3672" t="str">
        <f>C110&amp;"(含)"&amp;"-"&amp;D110</f>
        <v>0.5(含)-0.6</v>
      </c>
      <c r="D109" s="3672" t="str">
        <f>D110&amp;"(含)"&amp;"-"&amp;E110</f>
        <v>0.6(含)-0.7</v>
      </c>
      <c r="E109" s="3672" t="str">
        <f>E110&amp;"(含)"&amp;"-"&amp;F110</f>
        <v>0.7(含)-0.8</v>
      </c>
      <c r="F109" s="3672" t="str">
        <f>F110&amp;"(含)"&amp;"-"&amp;G110</f>
        <v>0.8(含)-0.9</v>
      </c>
      <c r="G109" s="3672" t="str">
        <f>G110&amp;"(含)"&amp;"-"&amp;ROUND(H110,0)&amp;"(含)"</f>
        <v>0.9(含)-1(含)</v>
      </c>
      <c r="H109" s="3672"/>
      <c r="I109" s="3681"/>
      <c r="J109" s="3681"/>
      <c r="K109" s="3682"/>
      <c r="L109" s="3683"/>
      <c r="M109" s="3684"/>
      <c r="N109" s="3623"/>
      <c r="O109" s="3623"/>
      <c r="P109" s="3624"/>
      <c r="Q109" s="3606"/>
    </row>
    <row r="110" spans="1:17">
      <c r="A110" s="3700"/>
      <c r="B110" s="3638"/>
      <c r="C110" s="3702">
        <v>0.5</v>
      </c>
      <c r="D110" s="3702">
        <v>0.6</v>
      </c>
      <c r="E110" s="3702">
        <v>0.7</v>
      </c>
      <c r="F110" s="3702">
        <v>0.8</v>
      </c>
      <c r="G110" s="3702">
        <v>0.9</v>
      </c>
      <c r="H110" s="3702">
        <v>1.0001</v>
      </c>
      <c r="I110" s="3703"/>
      <c r="J110" s="3703"/>
      <c r="K110" s="3704"/>
      <c r="L110" s="3705"/>
      <c r="M110" s="3706"/>
      <c r="N110" s="3623"/>
      <c r="O110" s="3623"/>
      <c r="P110" s="3624"/>
      <c r="Q110" s="3606"/>
    </row>
    <row r="111" spans="1:17" ht="15.75" thickBot="1">
      <c r="A111" s="3625"/>
      <c r="B111" s="3635"/>
      <c r="C111" s="3679">
        <v>100</v>
      </c>
      <c r="D111" s="3636">
        <f>C111+$K36</f>
        <v>101</v>
      </c>
      <c r="E111" s="3636">
        <f t="shared" ref="E111:M111" si="26">D111+$K36</f>
        <v>102</v>
      </c>
      <c r="F111" s="3636">
        <f t="shared" si="26"/>
        <v>103</v>
      </c>
      <c r="G111" s="3636">
        <f t="shared" si="26"/>
        <v>104</v>
      </c>
      <c r="H111" s="3636">
        <f t="shared" si="26"/>
        <v>105</v>
      </c>
      <c r="I111" s="3636">
        <f t="shared" si="26"/>
        <v>106</v>
      </c>
      <c r="J111" s="3636">
        <f t="shared" si="26"/>
        <v>107</v>
      </c>
      <c r="K111" s="3636">
        <f t="shared" si="26"/>
        <v>108</v>
      </c>
      <c r="L111" s="3636">
        <f t="shared" si="26"/>
        <v>109</v>
      </c>
      <c r="M111" s="3636">
        <f t="shared" si="26"/>
        <v>110</v>
      </c>
      <c r="N111" s="3629"/>
      <c r="O111" s="3629"/>
      <c r="P111" s="3624"/>
      <c r="Q111" s="3606"/>
    </row>
    <row r="112" spans="1:17" s="3524" customFormat="1" ht="15" thickTop="1">
      <c r="A112" s="3694"/>
      <c r="B112" s="3630" t="s">
        <v>3190</v>
      </c>
      <c r="C112" s="3676" t="s">
        <v>3251</v>
      </c>
      <c r="D112" s="3676" t="s">
        <v>3252</v>
      </c>
      <c r="E112" s="3676" t="s">
        <v>3253</v>
      </c>
      <c r="F112" s="3676" t="s">
        <v>3254</v>
      </c>
      <c r="G112" s="3676" t="s">
        <v>3255</v>
      </c>
      <c r="H112" s="3681"/>
      <c r="I112" s="3681"/>
      <c r="J112" s="3681"/>
      <c r="K112" s="3682"/>
      <c r="L112" s="3683"/>
      <c r="M112" s="3684"/>
      <c r="N112" s="3650"/>
      <c r="O112" s="3650"/>
      <c r="P112" s="3651"/>
      <c r="Q112" s="3652"/>
    </row>
    <row r="113" spans="1:17" s="3524" customFormat="1" ht="15.75" thickBot="1">
      <c r="A113" s="3645"/>
      <c r="B113" s="3635"/>
      <c r="C113" s="3636">
        <v>100</v>
      </c>
      <c r="D113" s="3636">
        <f>C113-$K37</f>
        <v>99</v>
      </c>
      <c r="E113" s="3636">
        <f t="shared" ref="E113:M113" si="27">D113-$K37</f>
        <v>98</v>
      </c>
      <c r="F113" s="3636">
        <f t="shared" si="27"/>
        <v>97</v>
      </c>
      <c r="G113" s="3636">
        <f t="shared" si="27"/>
        <v>96</v>
      </c>
      <c r="H113" s="3636">
        <f t="shared" si="27"/>
        <v>95</v>
      </c>
      <c r="I113" s="3636">
        <f t="shared" si="27"/>
        <v>94</v>
      </c>
      <c r="J113" s="3636">
        <f t="shared" si="27"/>
        <v>93</v>
      </c>
      <c r="K113" s="3636">
        <f t="shared" si="27"/>
        <v>92</v>
      </c>
      <c r="L113" s="3636">
        <f t="shared" si="27"/>
        <v>91</v>
      </c>
      <c r="M113" s="3636">
        <f t="shared" si="27"/>
        <v>90</v>
      </c>
      <c r="N113" s="3650"/>
      <c r="O113" s="3650"/>
      <c r="P113" s="3651"/>
      <c r="Q113" s="3652"/>
    </row>
    <row r="114" spans="1:17" ht="15" thickTop="1">
      <c r="A114" s="3700"/>
      <c r="B114" s="3630" t="s">
        <v>3191</v>
      </c>
      <c r="C114" s="3646"/>
      <c r="D114" s="3646"/>
      <c r="E114" s="3681"/>
      <c r="F114" s="3681"/>
      <c r="G114" s="3681"/>
      <c r="H114" s="3681"/>
      <c r="I114" s="3681"/>
      <c r="J114" s="3681"/>
      <c r="K114" s="3682"/>
      <c r="L114" s="3683"/>
      <c r="M114" s="3684"/>
      <c r="N114" s="3623"/>
      <c r="O114" s="3623"/>
      <c r="P114" s="3624"/>
      <c r="Q114" s="3606"/>
    </row>
    <row r="115" spans="1:17" ht="15.75" thickBot="1">
      <c r="A115" s="3625"/>
      <c r="B115" s="3635"/>
      <c r="C115" s="3636">
        <v>100</v>
      </c>
      <c r="D115" s="3636">
        <f t="shared" ref="D115:M115" si="28">C115-$K38</f>
        <v>99</v>
      </c>
      <c r="E115" s="3636">
        <f t="shared" si="28"/>
        <v>98</v>
      </c>
      <c r="F115" s="3636">
        <f t="shared" si="28"/>
        <v>97</v>
      </c>
      <c r="G115" s="3636">
        <f t="shared" si="28"/>
        <v>96</v>
      </c>
      <c r="H115" s="3636">
        <f t="shared" si="28"/>
        <v>95</v>
      </c>
      <c r="I115" s="3636">
        <f t="shared" si="28"/>
        <v>94</v>
      </c>
      <c r="J115" s="3636">
        <f t="shared" si="28"/>
        <v>93</v>
      </c>
      <c r="K115" s="3636">
        <f t="shared" si="28"/>
        <v>92</v>
      </c>
      <c r="L115" s="3636">
        <f t="shared" si="28"/>
        <v>91</v>
      </c>
      <c r="M115" s="3637">
        <f t="shared" si="28"/>
        <v>90</v>
      </c>
      <c r="N115" s="3629"/>
      <c r="O115" s="3629"/>
      <c r="P115" s="3624"/>
      <c r="Q115" s="3606"/>
    </row>
    <row r="116" spans="1:17" ht="15" thickTop="1">
      <c r="A116" s="3700"/>
      <c r="B116" s="3630" t="s">
        <v>3192</v>
      </c>
      <c r="C116" s="3676" t="s">
        <v>3256</v>
      </c>
      <c r="D116" s="3646"/>
      <c r="E116" s="3646"/>
      <c r="F116" s="3646"/>
      <c r="G116" s="3646"/>
      <c r="H116" s="3681"/>
      <c r="I116" s="3681"/>
      <c r="J116" s="3681"/>
      <c r="K116" s="3682"/>
      <c r="L116" s="3683"/>
      <c r="M116" s="3684"/>
      <c r="N116" s="3623"/>
      <c r="O116" s="3623"/>
      <c r="P116" s="3624"/>
      <c r="Q116" s="3606"/>
    </row>
    <row r="117" spans="1:17" ht="15.75" thickBot="1">
      <c r="A117" s="3625"/>
      <c r="B117" s="3635"/>
      <c r="C117" s="3636">
        <v>100</v>
      </c>
      <c r="D117" s="3636">
        <f>C117-$K39</f>
        <v>99</v>
      </c>
      <c r="E117" s="3636">
        <f>D117-$K39</f>
        <v>98</v>
      </c>
      <c r="F117" s="3636">
        <f>E117-$K39</f>
        <v>97</v>
      </c>
      <c r="G117" s="3636">
        <f>F117-$K39</f>
        <v>96</v>
      </c>
      <c r="H117" s="3636"/>
      <c r="I117" s="3636"/>
      <c r="J117" s="3636"/>
      <c r="K117" s="3636"/>
      <c r="L117" s="3636"/>
      <c r="M117" s="3637"/>
      <c r="N117" s="3629"/>
      <c r="O117" s="3629"/>
      <c r="P117" s="3624"/>
      <c r="Q117" s="3606"/>
    </row>
    <row r="118" spans="1:17" ht="15" thickTop="1">
      <c r="A118" s="3700"/>
      <c r="B118" s="3630" t="s">
        <v>3193</v>
      </c>
      <c r="C118" s="3707"/>
      <c r="D118" s="3707"/>
      <c r="E118" s="3707"/>
      <c r="F118" s="3707"/>
      <c r="G118" s="3707"/>
      <c r="H118" s="3647"/>
      <c r="I118" s="3647"/>
      <c r="J118" s="3647"/>
      <c r="K118" s="3647"/>
      <c r="L118" s="3648"/>
      <c r="M118" s="3649"/>
      <c r="N118" s="3623"/>
      <c r="O118" s="3623"/>
      <c r="P118" s="3624"/>
      <c r="Q118" s="3606"/>
    </row>
    <row r="119" spans="1:17" ht="15.75" thickBot="1">
      <c r="A119" s="3625"/>
      <c r="B119" s="3635"/>
      <c r="C119" s="3653"/>
      <c r="D119" s="3627"/>
      <c r="E119" s="3627"/>
      <c r="F119" s="3627"/>
      <c r="G119" s="3627"/>
      <c r="H119" s="3627"/>
      <c r="I119" s="3627"/>
      <c r="J119" s="3627"/>
      <c r="K119" s="3627"/>
      <c r="L119" s="3627"/>
      <c r="M119" s="3628"/>
      <c r="N119" s="3629"/>
      <c r="O119" s="3629"/>
      <c r="P119" s="3624"/>
      <c r="Q119" s="3606"/>
    </row>
    <row r="120" spans="1:17" s="3524" customFormat="1" ht="15" thickTop="1">
      <c r="A120" s="3694"/>
      <c r="B120" s="3630" t="s">
        <v>3257</v>
      </c>
      <c r="C120" s="3681"/>
      <c r="D120" s="3681"/>
      <c r="E120" s="3681"/>
      <c r="F120" s="3681"/>
      <c r="G120" s="3647"/>
      <c r="H120" s="3647"/>
      <c r="I120" s="3647"/>
      <c r="J120" s="3647"/>
      <c r="K120" s="3647"/>
      <c r="L120" s="3648"/>
      <c r="M120" s="3649"/>
      <c r="N120" s="3650"/>
      <c r="O120" s="3650"/>
      <c r="P120" s="3651"/>
      <c r="Q120" s="3652"/>
    </row>
    <row r="121" spans="1:17" s="3524" customFormat="1" ht="15.75" thickBot="1">
      <c r="A121" s="3645"/>
      <c r="B121" s="3626"/>
      <c r="C121" s="3679">
        <v>100</v>
      </c>
      <c r="D121" s="3636">
        <f>C121-$K41</f>
        <v>99</v>
      </c>
      <c r="E121" s="3636">
        <f t="shared" ref="E121:M121" si="29">D121-$K41</f>
        <v>98</v>
      </c>
      <c r="F121" s="3636">
        <f t="shared" si="29"/>
        <v>97</v>
      </c>
      <c r="G121" s="3636">
        <f t="shared" si="29"/>
        <v>96</v>
      </c>
      <c r="H121" s="3636">
        <f t="shared" si="29"/>
        <v>95</v>
      </c>
      <c r="I121" s="3636">
        <f t="shared" si="29"/>
        <v>94</v>
      </c>
      <c r="J121" s="3636">
        <f t="shared" si="29"/>
        <v>93</v>
      </c>
      <c r="K121" s="3636">
        <f t="shared" si="29"/>
        <v>92</v>
      </c>
      <c r="L121" s="3636">
        <f t="shared" si="29"/>
        <v>91</v>
      </c>
      <c r="M121" s="3637">
        <f t="shared" si="29"/>
        <v>90</v>
      </c>
      <c r="N121" s="3650"/>
      <c r="O121" s="3650"/>
      <c r="P121" s="3651"/>
      <c r="Q121" s="3652"/>
    </row>
    <row r="122" spans="1:17" ht="15" thickTop="1">
      <c r="A122" s="3700"/>
      <c r="B122" s="3630" t="s">
        <v>3195</v>
      </c>
      <c r="C122" s="3676" t="s">
        <v>3247</v>
      </c>
      <c r="D122" s="3676" t="s">
        <v>3248</v>
      </c>
      <c r="E122" s="3676" t="s">
        <v>3249</v>
      </c>
      <c r="F122" s="3701" t="s">
        <v>3250</v>
      </c>
      <c r="G122" s="3681"/>
      <c r="H122" s="3681"/>
      <c r="I122" s="3681"/>
      <c r="J122" s="3681"/>
      <c r="K122" s="3682"/>
      <c r="L122" s="3683"/>
      <c r="M122" s="3684"/>
      <c r="N122" s="3623"/>
      <c r="O122" s="3623"/>
      <c r="P122" s="3624"/>
      <c r="Q122" s="3606"/>
    </row>
    <row r="123" spans="1:17" ht="15.75" thickBot="1">
      <c r="A123" s="3625"/>
      <c r="B123" s="3635"/>
      <c r="C123" s="3636">
        <v>100</v>
      </c>
      <c r="D123" s="3636">
        <f t="shared" ref="D123:M123" si="30">C123-$K42</f>
        <v>99</v>
      </c>
      <c r="E123" s="3636">
        <f t="shared" si="30"/>
        <v>98</v>
      </c>
      <c r="F123" s="3636">
        <f t="shared" si="30"/>
        <v>97</v>
      </c>
      <c r="G123" s="3636">
        <f t="shared" si="30"/>
        <v>96</v>
      </c>
      <c r="H123" s="3636">
        <f t="shared" si="30"/>
        <v>95</v>
      </c>
      <c r="I123" s="3636">
        <f t="shared" si="30"/>
        <v>94</v>
      </c>
      <c r="J123" s="3636">
        <f t="shared" si="30"/>
        <v>93</v>
      </c>
      <c r="K123" s="3636">
        <f t="shared" si="30"/>
        <v>92</v>
      </c>
      <c r="L123" s="3636">
        <f t="shared" si="30"/>
        <v>91</v>
      </c>
      <c r="M123" s="3637">
        <f t="shared" si="30"/>
        <v>90</v>
      </c>
      <c r="N123" s="3629"/>
      <c r="O123" s="3629"/>
      <c r="P123" s="3624"/>
      <c r="Q123" s="3606"/>
    </row>
    <row r="124" spans="1:17" ht="15" thickTop="1">
      <c r="A124" s="3700"/>
      <c r="B124" s="3630" t="s">
        <v>3258</v>
      </c>
      <c r="C124" s="3672" t="s">
        <v>3221</v>
      </c>
      <c r="D124" s="3672" t="s">
        <v>3222</v>
      </c>
      <c r="E124" s="3672" t="s">
        <v>3223</v>
      </c>
      <c r="F124" s="3672" t="s">
        <v>3224</v>
      </c>
      <c r="G124" s="3672" t="s">
        <v>3225</v>
      </c>
      <c r="H124" s="3631"/>
      <c r="I124" s="3631"/>
      <c r="J124" s="3631"/>
      <c r="K124" s="3632"/>
      <c r="L124" s="3633"/>
      <c r="M124" s="3634"/>
      <c r="N124" s="3623"/>
      <c r="O124" s="3623"/>
      <c r="P124" s="3651"/>
      <c r="Q124" s="3606"/>
    </row>
    <row r="125" spans="1:17" ht="15.75" thickBot="1">
      <c r="A125" s="3625"/>
      <c r="B125" s="3635"/>
      <c r="C125" s="3636">
        <v>100</v>
      </c>
      <c r="D125" s="3636">
        <f>C125-$K43</f>
        <v>99</v>
      </c>
      <c r="E125" s="3636">
        <f>D125-$K43</f>
        <v>98</v>
      </c>
      <c r="F125" s="3636">
        <f>E125-$K43</f>
        <v>97</v>
      </c>
      <c r="G125" s="3636">
        <f>F125-$K43</f>
        <v>96</v>
      </c>
      <c r="H125" s="3636"/>
      <c r="I125" s="3636"/>
      <c r="J125" s="3636"/>
      <c r="K125" s="3636"/>
      <c r="L125" s="3636"/>
      <c r="M125" s="3637"/>
      <c r="N125" s="3629"/>
      <c r="O125" s="3629"/>
      <c r="P125" s="3624"/>
      <c r="Q125" s="3606"/>
    </row>
    <row r="126" spans="1:17" s="3524" customFormat="1" ht="15" thickTop="1">
      <c r="A126" s="3694"/>
      <c r="B126" s="3630">
        <f>B44</f>
        <v>111</v>
      </c>
      <c r="C126" s="3646"/>
      <c r="D126" s="3646"/>
      <c r="E126" s="3646"/>
      <c r="F126" s="3646"/>
      <c r="G126" s="3646"/>
      <c r="H126" s="3647"/>
      <c r="I126" s="3647"/>
      <c r="J126" s="3647"/>
      <c r="K126" s="3647"/>
      <c r="L126" s="3648"/>
      <c r="M126" s="3649"/>
      <c r="N126" s="3650"/>
      <c r="O126" s="3650"/>
      <c r="P126" s="3651"/>
      <c r="Q126" s="3652"/>
    </row>
    <row r="127" spans="1:17" s="3524" customFormat="1" ht="15.75" thickBot="1">
      <c r="A127" s="3645"/>
      <c r="B127" s="3635"/>
      <c r="C127" s="3653"/>
      <c r="D127" s="3627"/>
      <c r="E127" s="3627"/>
      <c r="F127" s="3627"/>
      <c r="G127" s="3653"/>
      <c r="H127" s="3656"/>
      <c r="I127" s="3656"/>
      <c r="J127" s="3656"/>
      <c r="K127" s="3656"/>
      <c r="L127" s="3656"/>
      <c r="M127" s="3657"/>
      <c r="N127" s="3650"/>
      <c r="O127" s="3650"/>
      <c r="P127" s="3651"/>
      <c r="Q127" s="3652"/>
    </row>
    <row r="128" spans="1:17" ht="15" thickTop="1">
      <c r="A128" s="3700"/>
      <c r="B128" s="3630">
        <f>B45</f>
        <v>111</v>
      </c>
      <c r="C128" s="3646"/>
      <c r="D128" s="3646"/>
      <c r="E128" s="3646"/>
      <c r="F128" s="3646"/>
      <c r="G128" s="3681"/>
      <c r="H128" s="3681"/>
      <c r="I128" s="3681"/>
      <c r="J128" s="3681"/>
      <c r="K128" s="3682"/>
      <c r="L128" s="3683"/>
      <c r="M128" s="3684"/>
      <c r="N128" s="3623"/>
      <c r="O128" s="3623"/>
      <c r="P128" s="3624"/>
      <c r="Q128" s="3606"/>
    </row>
    <row r="129" spans="1:17" ht="15.75" thickBot="1">
      <c r="A129" s="3625"/>
      <c r="B129" s="3635"/>
      <c r="C129" s="3653"/>
      <c r="D129" s="3627"/>
      <c r="E129" s="3627"/>
      <c r="F129" s="3627"/>
      <c r="G129" s="3627"/>
      <c r="H129" s="3627"/>
      <c r="I129" s="3627"/>
      <c r="J129" s="3627"/>
      <c r="K129" s="3627"/>
      <c r="L129" s="3627"/>
      <c r="M129" s="3628"/>
      <c r="N129" s="3629"/>
      <c r="O129" s="3629"/>
      <c r="P129" s="3624"/>
      <c r="Q129" s="3606"/>
    </row>
    <row r="130" spans="1:17" ht="15" thickTop="1">
      <c r="A130" s="3700"/>
      <c r="B130" s="3638">
        <f>B46</f>
        <v>111</v>
      </c>
      <c r="C130" s="3646"/>
      <c r="D130" s="3646"/>
      <c r="E130" s="3646"/>
      <c r="F130" s="3646"/>
      <c r="G130" s="3685"/>
      <c r="H130" s="3685"/>
      <c r="I130" s="3685"/>
      <c r="J130" s="3685"/>
      <c r="K130" s="3609"/>
      <c r="L130" s="3610"/>
      <c r="M130" s="3688"/>
      <c r="N130" s="3623"/>
      <c r="O130" s="3623"/>
      <c r="P130" s="3624"/>
      <c r="Q130" s="3606"/>
    </row>
    <row r="131" spans="1:17" ht="15.75" thickBot="1">
      <c r="A131" s="3689"/>
      <c r="B131" s="3663"/>
      <c r="C131" s="3664"/>
      <c r="D131" s="3664"/>
      <c r="E131" s="3664"/>
      <c r="F131" s="3664"/>
      <c r="G131" s="3690"/>
      <c r="H131" s="3690"/>
      <c r="I131" s="3690"/>
      <c r="J131" s="3690"/>
      <c r="K131" s="3690"/>
      <c r="L131" s="3690"/>
      <c r="M131" s="3691"/>
      <c r="N131" s="3629"/>
      <c r="O131" s="3629"/>
      <c r="P131" s="3624"/>
      <c r="Q131" s="3606"/>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I25 E25 G25">
      <formula1>商业临街状况</formula1>
    </dataValidation>
    <dataValidation type="list" allowBlank="1" showInputMessage="1" showErrorMessage="1" sqref="C27 G27 E27 I27">
      <formula1>商业人流量</formula1>
    </dataValidation>
    <dataValidation type="list" allowBlank="1" showInputMessage="1" showErrorMessage="1" sqref="C28 G28 E28 I28">
      <formula1>商业楼层</formula1>
    </dataValidation>
    <dataValidation type="list" allowBlank="1" showInputMessage="1" showErrorMessage="1" sqref="C32 G32 E32 I32">
      <formula1>商业类型</formula1>
    </dataValidation>
    <dataValidation type="list" allowBlank="1" showInputMessage="1" showErrorMessage="1" sqref="C34 G34 E34 I34">
      <formula1>商业建筑结构</formula1>
    </dataValidation>
    <dataValidation type="list" allowBlank="1" showInputMessage="1" showErrorMessage="1" sqref="C35 G35 E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G39 E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5" zoomScale="90" zoomScaleNormal="90" workbookViewId="0">
      <selection activeCell="H11" sqref="H1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9" t="s">
        <v>2638</v>
      </c>
      <c r="C1" s="1633" t="s">
        <v>2526</v>
      </c>
      <c r="D1" s="1620"/>
      <c r="E1" s="2654"/>
      <c r="F1" s="2581" t="s">
        <v>3113</v>
      </c>
      <c r="G1" s="1630" t="s">
        <v>2639</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2323</v>
      </c>
      <c r="B2" s="1417">
        <f>IF(C2="——",ROUND(C49*D3/10000,0),ROUND(C49*D3/10000,0)-D2)</f>
        <v>2753</v>
      </c>
      <c r="C2" s="2583" t="s">
        <v>70</v>
      </c>
      <c r="D2" s="1364" t="e">
        <f ca="1">SUMIF(INDIRECT("'"&amp;F2&amp;"'"&amp;"!A:A"),"承租人权益价值",INDIRECT("'"&amp;F2&amp;"'"&amp;"!c:c"))</f>
        <v>#REF!</v>
      </c>
      <c r="E2" s="2584" t="s">
        <v>2324</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2325</v>
      </c>
      <c r="B3" s="609">
        <f>IF(C2="——",C49,ROUND(B2*10000/D3,0))</f>
        <v>43600</v>
      </c>
      <c r="C3" s="400" t="s">
        <v>2640</v>
      </c>
      <c r="D3" s="399">
        <f>IF(D1="",'数据-汇总表'!E3,SUMIF('数据-汇总表'!$C19:$C33,D1,'数据-汇总表'!$E19:$E33))</f>
        <v>631.32000000000005</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2641</v>
      </c>
      <c r="B4" s="402"/>
      <c r="C4" s="3242" t="s">
        <v>2642</v>
      </c>
      <c r="D4" s="3243"/>
      <c r="E4" s="3244" t="s">
        <v>2643</v>
      </c>
      <c r="F4" s="3245"/>
      <c r="G4" s="3242" t="s">
        <v>2644</v>
      </c>
      <c r="H4" s="3243"/>
      <c r="I4" s="3242" t="s">
        <v>2645</v>
      </c>
      <c r="J4" s="3243"/>
      <c r="K4" s="610" t="s">
        <v>2646</v>
      </c>
      <c r="L4" s="1129"/>
      <c r="M4" s="1130"/>
      <c r="N4" s="1130"/>
      <c r="O4" s="1130"/>
      <c r="P4" s="3246" t="s">
        <v>2647</v>
      </c>
      <c r="Q4" s="3247"/>
      <c r="R4" s="3229" t="s">
        <v>2643</v>
      </c>
      <c r="S4" s="3230"/>
      <c r="T4" s="3229" t="s">
        <v>2644</v>
      </c>
      <c r="U4" s="3230"/>
      <c r="V4" s="3254" t="s">
        <v>2645</v>
      </c>
      <c r="W4" s="3254"/>
      <c r="X4" s="1812"/>
      <c r="Y4" s="3229" t="s">
        <v>2647</v>
      </c>
      <c r="Z4" s="3230"/>
      <c r="AA4" s="3224" t="s">
        <v>2643</v>
      </c>
      <c r="AB4" s="3254" t="s">
        <v>2644</v>
      </c>
      <c r="AC4" s="3224" t="s">
        <v>2645</v>
      </c>
    </row>
    <row r="5" spans="1:29" ht="15">
      <c r="A5" s="404"/>
      <c r="B5" s="405"/>
      <c r="C5" s="3235" t="s">
        <v>2538</v>
      </c>
      <c r="D5" s="3236"/>
      <c r="E5" s="3270" t="s">
        <v>3171</v>
      </c>
      <c r="F5" s="3234"/>
      <c r="G5" s="3271" t="s">
        <v>3172</v>
      </c>
      <c r="H5" s="3236"/>
      <c r="I5" s="3271" t="s">
        <v>3108</v>
      </c>
      <c r="J5" s="3236"/>
      <c r="K5" s="610"/>
      <c r="L5" s="1129"/>
      <c r="M5" s="1130"/>
      <c r="N5" s="1130"/>
      <c r="O5" s="1130"/>
      <c r="P5" s="3248"/>
      <c r="Q5" s="3249"/>
      <c r="R5" s="3231"/>
      <c r="S5" s="3232"/>
      <c r="T5" s="3231"/>
      <c r="U5" s="3232"/>
      <c r="V5" s="3254"/>
      <c r="W5" s="3254"/>
      <c r="X5" s="1812"/>
      <c r="Y5" s="3231"/>
      <c r="Z5" s="3232"/>
      <c r="AA5" s="3225"/>
      <c r="AB5" s="3254"/>
      <c r="AC5" s="3225"/>
    </row>
    <row r="6" spans="1:29" ht="15.75" thickBot="1">
      <c r="A6" s="406"/>
      <c r="B6" s="407"/>
      <c r="C6" s="3237" t="s">
        <v>2542</v>
      </c>
      <c r="D6" s="3238"/>
      <c r="E6" s="3239" t="s">
        <v>2542</v>
      </c>
      <c r="F6" s="3240"/>
      <c r="G6" s="3237" t="s">
        <v>2542</v>
      </c>
      <c r="H6" s="3238"/>
      <c r="I6" s="3237" t="s">
        <v>2542</v>
      </c>
      <c r="J6" s="3238"/>
      <c r="K6" s="610" t="s">
        <v>2543</v>
      </c>
      <c r="L6" s="1129"/>
      <c r="M6" s="1130"/>
      <c r="N6" s="1130"/>
      <c r="O6" s="1130"/>
      <c r="P6" s="3250"/>
      <c r="Q6" s="3251"/>
      <c r="R6" s="3231"/>
      <c r="S6" s="3232"/>
      <c r="T6" s="3252"/>
      <c r="U6" s="3253"/>
      <c r="V6" s="3254"/>
      <c r="W6" s="3254"/>
      <c r="X6" s="1812"/>
      <c r="Y6" s="3252"/>
      <c r="Z6" s="3253"/>
      <c r="AA6" s="3226"/>
      <c r="AB6" s="3254"/>
      <c r="AC6" s="3226"/>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1"/>
      <c r="M7" s="1132"/>
      <c r="N7" s="1132"/>
      <c r="O7" s="1132"/>
      <c r="P7" s="3227" t="s">
        <v>2545</v>
      </c>
      <c r="Q7" s="3255"/>
      <c r="R7" s="770" t="s">
        <v>17</v>
      </c>
      <c r="S7" s="771">
        <f t="shared" ref="S7:S15" si="0">F7</f>
        <v>100</v>
      </c>
      <c r="T7" s="770" t="s">
        <v>17</v>
      </c>
      <c r="U7" s="771">
        <f t="shared" ref="U7:U15" si="1">H7</f>
        <v>100</v>
      </c>
      <c r="V7" s="770" t="s">
        <v>17</v>
      </c>
      <c r="W7" s="771">
        <f t="shared" ref="W7:W15" si="2">J7</f>
        <v>100</v>
      </c>
      <c r="X7" s="772"/>
      <c r="Y7" s="3227" t="s">
        <v>2545</v>
      </c>
      <c r="Z7" s="3228"/>
      <c r="AA7" s="773">
        <f>D7/F7</f>
        <v>1</v>
      </c>
      <c r="AB7" s="773">
        <f>D7/H7</f>
        <v>1</v>
      </c>
      <c r="AC7" s="773">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31"/>
      <c r="M8" s="1132"/>
      <c r="N8" s="1132"/>
      <c r="O8" s="1132"/>
      <c r="P8" s="3227" t="s">
        <v>2548</v>
      </c>
      <c r="Q8" s="3228"/>
      <c r="R8" s="770" t="s">
        <v>17</v>
      </c>
      <c r="S8" s="771">
        <f t="shared" si="0"/>
        <v>100</v>
      </c>
      <c r="T8" s="770" t="s">
        <v>17</v>
      </c>
      <c r="U8" s="771">
        <f t="shared" si="1"/>
        <v>100</v>
      </c>
      <c r="V8" s="770" t="s">
        <v>17</v>
      </c>
      <c r="W8" s="771">
        <f t="shared" si="2"/>
        <v>100</v>
      </c>
      <c r="X8" s="772"/>
      <c r="Y8" s="3227" t="s">
        <v>2548</v>
      </c>
      <c r="Z8" s="3228"/>
      <c r="AA8" s="773">
        <f t="shared" ref="AA8:AA46" si="3">D8/F8</f>
        <v>1</v>
      </c>
      <c r="AB8" s="773">
        <f t="shared" ref="AB8:AB46" si="4">D8/H8</f>
        <v>1</v>
      </c>
      <c r="AC8" s="773">
        <f t="shared" ref="AC8:AC46" si="5">D8/J8</f>
        <v>1</v>
      </c>
    </row>
    <row r="9" spans="1:29" s="117" customFormat="1">
      <c r="A9" s="415" t="s">
        <v>2549</v>
      </c>
      <c r="B9" s="71" t="s">
        <v>2550</v>
      </c>
      <c r="C9" s="3002"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241" t="s">
        <v>2551</v>
      </c>
      <c r="Q9" s="1794" t="str">
        <f t="shared" ref="Q9:Q15" si="6">B9</f>
        <v>用途</v>
      </c>
      <c r="R9" s="770" t="s">
        <v>17</v>
      </c>
      <c r="S9" s="771">
        <f t="shared" si="0"/>
        <v>100</v>
      </c>
      <c r="T9" s="770" t="s">
        <v>17</v>
      </c>
      <c r="U9" s="771">
        <f t="shared" si="1"/>
        <v>100</v>
      </c>
      <c r="V9" s="770" t="s">
        <v>17</v>
      </c>
      <c r="W9" s="771">
        <f t="shared" si="2"/>
        <v>100</v>
      </c>
      <c r="X9" s="772"/>
      <c r="Y9" s="3074" t="s">
        <v>2552</v>
      </c>
      <c r="Z9" s="55" t="str">
        <f t="shared" ref="Z9:Z15" si="7">Q9</f>
        <v>用途</v>
      </c>
      <c r="AA9" s="773">
        <f t="shared" si="3"/>
        <v>1</v>
      </c>
      <c r="AB9" s="773">
        <f t="shared" si="4"/>
        <v>1</v>
      </c>
      <c r="AC9" s="773">
        <f t="shared" si="5"/>
        <v>1</v>
      </c>
    </row>
    <row r="10" spans="1:29" s="427" customFormat="1" ht="27">
      <c r="A10" s="421"/>
      <c r="B10" s="422"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4"/>
      <c r="M10" s="1135"/>
      <c r="N10" s="1135"/>
      <c r="O10" s="1135"/>
      <c r="P10" s="3241"/>
      <c r="Q10" s="1794"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241"/>
      <c r="Q11" s="1794" t="str">
        <f t="shared" si="6"/>
        <v>容积率</v>
      </c>
      <c r="R11" s="770" t="s">
        <v>17</v>
      </c>
      <c r="S11" s="771">
        <f t="shared" si="0"/>
        <v>100</v>
      </c>
      <c r="T11" s="770" t="s">
        <v>17</v>
      </c>
      <c r="U11" s="771">
        <f t="shared" si="1"/>
        <v>100</v>
      </c>
      <c r="V11" s="770" t="s">
        <v>17</v>
      </c>
      <c r="W11" s="771">
        <f t="shared" si="2"/>
        <v>100</v>
      </c>
      <c r="X11" s="772"/>
      <c r="Y11" s="3074"/>
      <c r="Z11" s="55" t="str">
        <f t="shared" si="7"/>
        <v>容积率</v>
      </c>
      <c r="AA11" s="773">
        <f t="shared" si="3"/>
        <v>1</v>
      </c>
      <c r="AB11" s="773">
        <f t="shared" si="4"/>
        <v>1</v>
      </c>
      <c r="AC11" s="773">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41"/>
      <c r="Q12" s="1794">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41"/>
      <c r="Q13" s="1794">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41"/>
      <c r="Q14" s="1794">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71.25">
      <c r="A15" s="440" t="s">
        <v>2555</v>
      </c>
      <c r="B15" s="69" t="s">
        <v>2649</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68" t="s">
        <v>2556</v>
      </c>
      <c r="Q15" s="1809" t="str">
        <f t="shared" si="6"/>
        <v>商业繁华度</v>
      </c>
      <c r="R15" s="774" t="s">
        <v>17</v>
      </c>
      <c r="S15" s="775">
        <f t="shared" si="0"/>
        <v>100</v>
      </c>
      <c r="T15" s="774" t="s">
        <v>17</v>
      </c>
      <c r="U15" s="775">
        <f t="shared" si="1"/>
        <v>100</v>
      </c>
      <c r="V15" s="774" t="s">
        <v>17</v>
      </c>
      <c r="W15" s="775">
        <f t="shared" si="2"/>
        <v>100</v>
      </c>
      <c r="X15" s="1812"/>
      <c r="Y15" s="3261" t="s">
        <v>2556</v>
      </c>
      <c r="Z15" s="1813" t="str">
        <f t="shared" si="7"/>
        <v>商业繁华度</v>
      </c>
      <c r="AA15" s="1810">
        <f t="shared" si="3"/>
        <v>1</v>
      </c>
      <c r="AB15" s="1810">
        <f t="shared" si="4"/>
        <v>1</v>
      </c>
      <c r="AC15" s="1810">
        <f t="shared" si="5"/>
        <v>1</v>
      </c>
    </row>
    <row r="16" spans="1:29" ht="15">
      <c r="A16" s="428"/>
      <c r="B16" s="446"/>
      <c r="C16" s="447" t="s">
        <v>3124</v>
      </c>
      <c r="D16" s="448"/>
      <c r="E16" s="447" t="s">
        <v>3124</v>
      </c>
      <c r="F16" s="449"/>
      <c r="G16" s="447" t="s">
        <v>3124</v>
      </c>
      <c r="H16" s="450"/>
      <c r="I16" s="447" t="s">
        <v>3124</v>
      </c>
      <c r="J16" s="448"/>
      <c r="K16" s="615"/>
      <c r="L16" s="1139"/>
      <c r="M16" s="1130"/>
      <c r="N16" s="1130"/>
      <c r="O16" s="1130"/>
      <c r="P16" s="3269"/>
      <c r="Q16" s="1809"/>
      <c r="R16" s="774"/>
      <c r="S16" s="775"/>
      <c r="T16" s="774"/>
      <c r="U16" s="775"/>
      <c r="V16" s="774"/>
      <c r="W16" s="775"/>
      <c r="X16" s="1812"/>
      <c r="Y16" s="3262"/>
      <c r="Z16" s="1813"/>
      <c r="AA16" s="1810">
        <v>1</v>
      </c>
      <c r="AB16" s="1810">
        <v>1</v>
      </c>
      <c r="AC16" s="1810">
        <v>1</v>
      </c>
    </row>
    <row r="17" spans="1:29" ht="85.5">
      <c r="A17" s="428"/>
      <c r="B17" s="451" t="s">
        <v>2095</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69"/>
      <c r="Q17" s="1809" t="str">
        <f>B17</f>
        <v>交通便捷度</v>
      </c>
      <c r="R17" s="774" t="s">
        <v>17</v>
      </c>
      <c r="S17" s="775">
        <f>F17</f>
        <v>100</v>
      </c>
      <c r="T17" s="774" t="s">
        <v>17</v>
      </c>
      <c r="U17" s="775">
        <f>H17</f>
        <v>100</v>
      </c>
      <c r="V17" s="774" t="s">
        <v>17</v>
      </c>
      <c r="W17" s="775">
        <f>J17</f>
        <v>100</v>
      </c>
      <c r="X17" s="1812"/>
      <c r="Y17" s="3262"/>
      <c r="Z17" s="1813" t="str">
        <f>Q17</f>
        <v>交通便捷度</v>
      </c>
      <c r="AA17" s="1810">
        <f t="shared" si="3"/>
        <v>1</v>
      </c>
      <c r="AB17" s="1810">
        <f t="shared" si="4"/>
        <v>1</v>
      </c>
      <c r="AC17" s="1810">
        <f t="shared" si="5"/>
        <v>1</v>
      </c>
    </row>
    <row r="18" spans="1:29" ht="15">
      <c r="A18" s="428"/>
      <c r="B18" s="456"/>
      <c r="C18" s="2605" t="s">
        <v>3124</v>
      </c>
      <c r="D18" s="450"/>
      <c r="E18" s="2605" t="s">
        <v>3124</v>
      </c>
      <c r="F18" s="453"/>
      <c r="G18" s="2605" t="s">
        <v>3124</v>
      </c>
      <c r="H18" s="448"/>
      <c r="I18" s="2605" t="s">
        <v>3124</v>
      </c>
      <c r="J18" s="448"/>
      <c r="K18" s="615"/>
      <c r="L18" s="1139"/>
      <c r="M18" s="1130"/>
      <c r="N18" s="1130"/>
      <c r="O18" s="1130"/>
      <c r="P18" s="3269"/>
      <c r="Q18" s="1809"/>
      <c r="R18" s="774"/>
      <c r="S18" s="775"/>
      <c r="T18" s="774"/>
      <c r="U18" s="775"/>
      <c r="V18" s="774"/>
      <c r="W18" s="775"/>
      <c r="X18" s="1812"/>
      <c r="Y18" s="3262"/>
      <c r="Z18" s="1813"/>
      <c r="AA18" s="1810">
        <v>1</v>
      </c>
      <c r="AB18" s="1810">
        <v>1</v>
      </c>
      <c r="AC18" s="1810">
        <v>1</v>
      </c>
    </row>
    <row r="19" spans="1:29" ht="42.75">
      <c r="A19" s="428"/>
      <c r="B19" s="451" t="s">
        <v>2650</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39"/>
      <c r="M19" s="1130"/>
      <c r="N19" s="1130"/>
      <c r="O19" s="1130"/>
      <c r="P19" s="3269"/>
      <c r="Q19" s="1809" t="str">
        <f>B19</f>
        <v>公共配套设施</v>
      </c>
      <c r="R19" s="774" t="s">
        <v>17</v>
      </c>
      <c r="S19" s="775">
        <f>F19</f>
        <v>100</v>
      </c>
      <c r="T19" s="774" t="s">
        <v>17</v>
      </c>
      <c r="U19" s="775">
        <f>H19</f>
        <v>100</v>
      </c>
      <c r="V19" s="774" t="s">
        <v>17</v>
      </c>
      <c r="W19" s="775">
        <f>J19</f>
        <v>100</v>
      </c>
      <c r="X19" s="1812"/>
      <c r="Y19" s="3262"/>
      <c r="Z19" s="1813" t="str">
        <f>Q19</f>
        <v>公共配套设施</v>
      </c>
      <c r="AA19" s="1810">
        <f t="shared" si="3"/>
        <v>1</v>
      </c>
      <c r="AB19" s="1810">
        <f t="shared" si="4"/>
        <v>1</v>
      </c>
      <c r="AC19" s="1810">
        <f t="shared" si="5"/>
        <v>1</v>
      </c>
    </row>
    <row r="20" spans="1:29" ht="15">
      <c r="A20" s="428"/>
      <c r="B20" s="456"/>
      <c r="C20" s="447" t="s">
        <v>3124</v>
      </c>
      <c r="D20" s="448"/>
      <c r="E20" s="447" t="s">
        <v>3124</v>
      </c>
      <c r="F20" s="449"/>
      <c r="G20" s="447" t="s">
        <v>3124</v>
      </c>
      <c r="H20" s="448"/>
      <c r="I20" s="447" t="s">
        <v>3124</v>
      </c>
      <c r="J20" s="448"/>
      <c r="K20" s="615"/>
      <c r="L20" s="1139"/>
      <c r="M20" s="1130"/>
      <c r="N20" s="1130"/>
      <c r="O20" s="1130"/>
      <c r="P20" s="3269"/>
      <c r="Q20" s="1809"/>
      <c r="R20" s="774"/>
      <c r="S20" s="775"/>
      <c r="T20" s="774"/>
      <c r="U20" s="775"/>
      <c r="V20" s="774"/>
      <c r="W20" s="775"/>
      <c r="X20" s="1812"/>
      <c r="Y20" s="3262"/>
      <c r="Z20" s="1813"/>
      <c r="AA20" s="1810">
        <v>1</v>
      </c>
      <c r="AB20" s="1810">
        <v>1</v>
      </c>
      <c r="AC20" s="1810">
        <v>1</v>
      </c>
    </row>
    <row r="21" spans="1:29" ht="28.5">
      <c r="A21" s="428"/>
      <c r="B21" s="1383" t="s">
        <v>2651</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69"/>
      <c r="Q21" s="1809" t="str">
        <f>B21</f>
        <v>基础设施水平</v>
      </c>
      <c r="R21" s="774" t="s">
        <v>17</v>
      </c>
      <c r="S21" s="775">
        <f>F21</f>
        <v>100</v>
      </c>
      <c r="T21" s="774" t="s">
        <v>17</v>
      </c>
      <c r="U21" s="775">
        <f>H21</f>
        <v>100</v>
      </c>
      <c r="V21" s="774" t="s">
        <v>17</v>
      </c>
      <c r="W21" s="775">
        <f>J21</f>
        <v>100</v>
      </c>
      <c r="X21" s="1812"/>
      <c r="Y21" s="3262"/>
      <c r="Z21" s="1813" t="str">
        <f>Q21</f>
        <v>基础设施水平</v>
      </c>
      <c r="AA21" s="1810">
        <f t="shared" ref="AA21" si="8">D21/F21</f>
        <v>1</v>
      </c>
      <c r="AB21" s="1810">
        <f t="shared" ref="AB21" si="9">D21/H21</f>
        <v>1</v>
      </c>
      <c r="AC21" s="1810">
        <f t="shared" ref="AC21" si="10">D21/J21</f>
        <v>1</v>
      </c>
    </row>
    <row r="22" spans="1:29" ht="15">
      <c r="A22" s="428"/>
      <c r="B22" s="1383"/>
      <c r="C22" s="2605" t="s">
        <v>3125</v>
      </c>
      <c r="D22" s="448"/>
      <c r="E22" s="2605" t="s">
        <v>3125</v>
      </c>
      <c r="F22" s="449"/>
      <c r="G22" s="2605" t="s">
        <v>3125</v>
      </c>
      <c r="H22" s="448"/>
      <c r="I22" s="2605" t="s">
        <v>3125</v>
      </c>
      <c r="J22" s="448"/>
      <c r="K22" s="1382"/>
      <c r="L22" s="1139"/>
      <c r="M22" s="1130"/>
      <c r="N22" s="1130"/>
      <c r="O22" s="1130"/>
      <c r="P22" s="3269"/>
      <c r="Q22" s="1809"/>
      <c r="R22" s="774"/>
      <c r="S22" s="775"/>
      <c r="T22" s="774"/>
      <c r="U22" s="775"/>
      <c r="V22" s="774"/>
      <c r="W22" s="775"/>
      <c r="X22" s="1812"/>
      <c r="Y22" s="3262"/>
      <c r="Z22" s="1813"/>
      <c r="AA22" s="1810">
        <v>1</v>
      </c>
      <c r="AB22" s="1810">
        <v>1</v>
      </c>
      <c r="AC22" s="1810">
        <v>1</v>
      </c>
    </row>
    <row r="23" spans="1:29" ht="57">
      <c r="A23" s="428"/>
      <c r="B23" s="451" t="s">
        <v>2100</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269"/>
      <c r="Q23" s="1809" t="str">
        <f>B23</f>
        <v>自然及人文环境</v>
      </c>
      <c r="R23" s="774" t="s">
        <v>17</v>
      </c>
      <c r="S23" s="775">
        <f>F23</f>
        <v>100</v>
      </c>
      <c r="T23" s="774" t="s">
        <v>17</v>
      </c>
      <c r="U23" s="775">
        <f>H23</f>
        <v>100</v>
      </c>
      <c r="V23" s="774" t="s">
        <v>17</v>
      </c>
      <c r="W23" s="775">
        <f>J23</f>
        <v>100</v>
      </c>
      <c r="X23" s="1812"/>
      <c r="Y23" s="3262"/>
      <c r="Z23" s="1813" t="str">
        <f>Q23</f>
        <v>自然及人文环境</v>
      </c>
      <c r="AA23" s="1810">
        <f t="shared" si="3"/>
        <v>1</v>
      </c>
      <c r="AB23" s="1810">
        <f t="shared" si="4"/>
        <v>1</v>
      </c>
      <c r="AC23" s="1810">
        <f t="shared" si="5"/>
        <v>1</v>
      </c>
    </row>
    <row r="24" spans="1:29" ht="15">
      <c r="A24" s="428"/>
      <c r="B24" s="456"/>
      <c r="C24" s="447" t="s">
        <v>3124</v>
      </c>
      <c r="D24" s="448"/>
      <c r="E24" s="447" t="s">
        <v>3124</v>
      </c>
      <c r="F24" s="449"/>
      <c r="G24" s="447" t="s">
        <v>3124</v>
      </c>
      <c r="H24" s="448"/>
      <c r="I24" s="447" t="s">
        <v>3124</v>
      </c>
      <c r="J24" s="448"/>
      <c r="K24" s="615"/>
      <c r="L24" s="1139"/>
      <c r="M24" s="1130"/>
      <c r="N24" s="1130"/>
      <c r="O24" s="1130"/>
      <c r="P24" s="3269"/>
      <c r="Q24" s="1809"/>
      <c r="R24" s="774"/>
      <c r="S24" s="775"/>
      <c r="T24" s="774"/>
      <c r="U24" s="775"/>
      <c r="V24" s="774"/>
      <c r="W24" s="775"/>
      <c r="X24" s="1812"/>
      <c r="Y24" s="3262"/>
      <c r="Z24" s="1813"/>
      <c r="AA24" s="1810">
        <v>1</v>
      </c>
      <c r="AB24" s="1810">
        <v>1</v>
      </c>
      <c r="AC24" s="1810">
        <v>1</v>
      </c>
    </row>
    <row r="25" spans="1:29" ht="15">
      <c r="A25" s="428"/>
      <c r="B25" s="422" t="s">
        <v>2652</v>
      </c>
      <c r="C25" s="616" t="s">
        <v>3142</v>
      </c>
      <c r="D25" s="435">
        <v>100</v>
      </c>
      <c r="E25" s="616" t="s">
        <v>3144</v>
      </c>
      <c r="F25" s="461">
        <f>SUMIF(86:86,E25,87:87)-SUMIF(86:86,C25,87:87)+100</f>
        <v>99</v>
      </c>
      <c r="G25" s="616" t="s">
        <v>3142</v>
      </c>
      <c r="H25" s="435">
        <f>SUMIF(86:86,G25,87:87)-SUMIF(86:86,C25,87:87)+100</f>
        <v>100</v>
      </c>
      <c r="I25" s="616" t="s">
        <v>3144</v>
      </c>
      <c r="J25" s="435">
        <f>SUMIF(86:86,I25,87:87)-SUMIF(86:86,C25,87:87)+100</f>
        <v>99</v>
      </c>
      <c r="K25" s="612">
        <v>1</v>
      </c>
      <c r="L25" s="1139"/>
      <c r="M25" s="1130"/>
      <c r="N25" s="1130"/>
      <c r="O25" s="1130"/>
      <c r="P25" s="3269"/>
      <c r="Q25" s="1809" t="str">
        <f t="shared" ref="Q25:Q46" si="11">B25</f>
        <v>临街状况</v>
      </c>
      <c r="R25" s="774" t="s">
        <v>17</v>
      </c>
      <c r="S25" s="775">
        <f>F25</f>
        <v>99</v>
      </c>
      <c r="T25" s="774" t="s">
        <v>17</v>
      </c>
      <c r="U25" s="775">
        <f>H25</f>
        <v>100</v>
      </c>
      <c r="V25" s="774" t="s">
        <v>17</v>
      </c>
      <c r="W25" s="775">
        <f>J25</f>
        <v>99</v>
      </c>
      <c r="X25" s="1812"/>
      <c r="Y25" s="3262"/>
      <c r="Z25" s="1813" t="str">
        <f>Q25</f>
        <v>临街状况</v>
      </c>
      <c r="AA25" s="1810">
        <f t="shared" si="3"/>
        <v>1.0101010101010102</v>
      </c>
      <c r="AB25" s="1810">
        <f t="shared" si="4"/>
        <v>1</v>
      </c>
      <c r="AC25" s="1810">
        <f t="shared" si="5"/>
        <v>1.0101010101010102</v>
      </c>
    </row>
    <row r="26" spans="1:29" ht="15">
      <c r="A26" s="428"/>
      <c r="B26" s="1385" t="s">
        <v>2653</v>
      </c>
      <c r="C26" s="3007" t="s">
        <v>3146</v>
      </c>
      <c r="D26" s="435">
        <v>100</v>
      </c>
      <c r="E26" s="3007" t="s">
        <v>3146</v>
      </c>
      <c r="F26" s="461">
        <f>SUMIF(88:88,E26,89:89)-SUMIF(88:88,C26,89:89)+100</f>
        <v>100</v>
      </c>
      <c r="G26" s="3007" t="s">
        <v>3146</v>
      </c>
      <c r="H26" s="435">
        <f>SUMIF(88:88,G26,89:89)-SUMIF(88:88,C26,89:89)+100</f>
        <v>100</v>
      </c>
      <c r="I26" s="3007" t="s">
        <v>3146</v>
      </c>
      <c r="J26" s="435">
        <f>SUMIF(88:88,I26,89:89)-SUMIF(88:88,C26,89:89)+100</f>
        <v>100</v>
      </c>
      <c r="K26" s="613"/>
      <c r="L26" s="1139"/>
      <c r="M26" s="1130"/>
      <c r="N26" s="1130"/>
      <c r="O26" s="1130"/>
      <c r="P26" s="3269"/>
      <c r="Q26" s="1809" t="str">
        <f t="shared" si="11"/>
        <v>平面位置/可视性</v>
      </c>
      <c r="R26" s="774" t="s">
        <v>17</v>
      </c>
      <c r="S26" s="775">
        <f>F26</f>
        <v>100</v>
      </c>
      <c r="T26" s="774" t="s">
        <v>17</v>
      </c>
      <c r="U26" s="775">
        <f>H26</f>
        <v>100</v>
      </c>
      <c r="V26" s="774" t="s">
        <v>17</v>
      </c>
      <c r="W26" s="775">
        <f>J26</f>
        <v>100</v>
      </c>
      <c r="X26" s="1812"/>
      <c r="Y26" s="3262"/>
      <c r="Z26" s="1813" t="str">
        <f>Q26</f>
        <v>平面位置/可视性</v>
      </c>
      <c r="AA26" s="1810">
        <f t="shared" si="3"/>
        <v>1</v>
      </c>
      <c r="AB26" s="1810">
        <f t="shared" si="4"/>
        <v>1</v>
      </c>
      <c r="AC26" s="1810">
        <f t="shared" si="5"/>
        <v>1</v>
      </c>
    </row>
    <row r="27" spans="1:29" s="117" customFormat="1" ht="15">
      <c r="A27" s="431"/>
      <c r="B27" s="451" t="s">
        <v>2654</v>
      </c>
      <c r="C27" s="2662" t="s">
        <v>3149</v>
      </c>
      <c r="D27" s="462">
        <v>100</v>
      </c>
      <c r="E27" s="2662" t="s">
        <v>3149</v>
      </c>
      <c r="F27" s="464">
        <f>SUMIF(90:90,E27,91:91)-SUMIF(90:90,C27,91:91)+100</f>
        <v>100</v>
      </c>
      <c r="G27" s="2662" t="s">
        <v>3149</v>
      </c>
      <c r="H27" s="462">
        <f>SUMIF(90:90,G27,91:91)-SUMIF(90:90,C27,91:91)+100</f>
        <v>100</v>
      </c>
      <c r="I27" s="2662" t="s">
        <v>3149</v>
      </c>
      <c r="J27" s="462">
        <f>SUMIF(90:90,I27,91:91)-SUMIF(90:90,C27,91:91)+100</f>
        <v>100</v>
      </c>
      <c r="K27" s="612">
        <v>1</v>
      </c>
      <c r="L27" s="1131"/>
      <c r="M27" s="1132"/>
      <c r="N27" s="1132"/>
      <c r="O27" s="1132"/>
      <c r="P27" s="3269"/>
      <c r="Q27" s="1794" t="str">
        <f t="shared" si="11"/>
        <v>人流量</v>
      </c>
      <c r="R27" s="770" t="s">
        <v>17</v>
      </c>
      <c r="S27" s="771">
        <f>F27</f>
        <v>100</v>
      </c>
      <c r="T27" s="770" t="s">
        <v>17</v>
      </c>
      <c r="U27" s="771">
        <f>H27</f>
        <v>100</v>
      </c>
      <c r="V27" s="770" t="s">
        <v>17</v>
      </c>
      <c r="W27" s="771">
        <f>J27</f>
        <v>100</v>
      </c>
      <c r="X27" s="772"/>
      <c r="Y27" s="3262"/>
      <c r="Z27" s="55" t="str">
        <f>Q27</f>
        <v>人流量</v>
      </c>
      <c r="AA27" s="1810">
        <f>D27/F27</f>
        <v>1</v>
      </c>
      <c r="AB27" s="1810">
        <f>D27/H27</f>
        <v>1</v>
      </c>
      <c r="AC27" s="1810">
        <f>D27/J27</f>
        <v>1</v>
      </c>
    </row>
    <row r="28" spans="1:29" ht="15">
      <c r="A28" s="428"/>
      <c r="B28" s="422" t="s">
        <v>2655</v>
      </c>
      <c r="C28" s="616" t="s">
        <v>3154</v>
      </c>
      <c r="D28" s="435">
        <v>100</v>
      </c>
      <c r="E28" s="616" t="s">
        <v>3154</v>
      </c>
      <c r="F28" s="461">
        <f>SUMIF(92:92,E28,93:93)-SUMIF(92:92,C28,93:93)+100</f>
        <v>100</v>
      </c>
      <c r="G28" s="616" t="s">
        <v>3154</v>
      </c>
      <c r="H28" s="435">
        <f>SUMIF(92:92,G28,93:93)-SUMIF(92:92,C28,93:93)+100</f>
        <v>100</v>
      </c>
      <c r="I28" s="616" t="s">
        <v>3154</v>
      </c>
      <c r="J28" s="435">
        <f>SUMIF(92:92,I28,93:93)-SUMIF(92:92,C28,93:93)+100</f>
        <v>100</v>
      </c>
      <c r="K28" s="613"/>
      <c r="L28" s="1139"/>
      <c r="M28" s="1130"/>
      <c r="N28" s="1130"/>
      <c r="O28" s="1130"/>
      <c r="P28" s="326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2"/>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9"/>
      <c r="Q29" s="1809">
        <f t="shared" si="11"/>
        <v>111</v>
      </c>
      <c r="R29" s="774" t="s">
        <v>17</v>
      </c>
      <c r="S29" s="775">
        <f t="shared" si="12"/>
        <v>100</v>
      </c>
      <c r="T29" s="774" t="s">
        <v>17</v>
      </c>
      <c r="U29" s="775">
        <f t="shared" si="13"/>
        <v>100</v>
      </c>
      <c r="V29" s="774" t="s">
        <v>17</v>
      </c>
      <c r="W29" s="775">
        <f t="shared" si="14"/>
        <v>100</v>
      </c>
      <c r="X29" s="1812"/>
      <c r="Y29" s="3262"/>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9"/>
      <c r="Q30" s="1809">
        <f t="shared" si="11"/>
        <v>111</v>
      </c>
      <c r="R30" s="774" t="s">
        <v>17</v>
      </c>
      <c r="S30" s="775">
        <f t="shared" si="12"/>
        <v>100</v>
      </c>
      <c r="T30" s="774" t="s">
        <v>17</v>
      </c>
      <c r="U30" s="775">
        <f t="shared" si="13"/>
        <v>100</v>
      </c>
      <c r="V30" s="774" t="s">
        <v>17</v>
      </c>
      <c r="W30" s="775">
        <f t="shared" si="14"/>
        <v>100</v>
      </c>
      <c r="X30" s="1812"/>
      <c r="Y30" s="3262"/>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9"/>
      <c r="Q31" s="1809">
        <f t="shared" si="11"/>
        <v>111</v>
      </c>
      <c r="R31" s="774" t="s">
        <v>17</v>
      </c>
      <c r="S31" s="775">
        <f t="shared" si="12"/>
        <v>100</v>
      </c>
      <c r="T31" s="774" t="s">
        <v>17</v>
      </c>
      <c r="U31" s="775">
        <f t="shared" si="13"/>
        <v>100</v>
      </c>
      <c r="V31" s="774" t="s">
        <v>17</v>
      </c>
      <c r="W31" s="775">
        <f t="shared" si="14"/>
        <v>100</v>
      </c>
      <c r="X31" s="1812"/>
      <c r="Y31" s="3262"/>
      <c r="Z31" s="1813">
        <f t="shared" si="15"/>
        <v>111</v>
      </c>
      <c r="AA31" s="1810">
        <f t="shared" si="3"/>
        <v>1</v>
      </c>
      <c r="AB31" s="1810">
        <f t="shared" si="4"/>
        <v>1</v>
      </c>
      <c r="AC31" s="1810">
        <f t="shared" si="5"/>
        <v>1</v>
      </c>
    </row>
    <row r="32" spans="1:29" ht="15">
      <c r="A32" s="440" t="s">
        <v>2559</v>
      </c>
      <c r="B32" s="71" t="s">
        <v>2656</v>
      </c>
      <c r="C32" s="2614" t="s">
        <v>3104</v>
      </c>
      <c r="D32" s="467">
        <v>100</v>
      </c>
      <c r="E32" s="2614" t="s">
        <v>3104</v>
      </c>
      <c r="F32" s="461">
        <f>SUMIF(100:100,E32,101:101)-SUMIF(100:100,C32,101:101)+100</f>
        <v>100</v>
      </c>
      <c r="G32" s="2614" t="s">
        <v>3104</v>
      </c>
      <c r="H32" s="435">
        <f>SUMIF(100:100,G32,101:101)-SUMIF(100:100,C32,101:101)+100</f>
        <v>100</v>
      </c>
      <c r="I32" s="2614" t="s">
        <v>3104</v>
      </c>
      <c r="J32" s="467">
        <f>SUMIF(100:100,I32,101:101)-SUMIF(100:100,C32,101:101)+100</f>
        <v>100</v>
      </c>
      <c r="K32" s="612">
        <v>1</v>
      </c>
      <c r="L32" s="1139"/>
      <c r="M32" s="1130"/>
      <c r="N32" s="1130"/>
      <c r="O32" s="1130"/>
      <c r="P32" s="3263" t="s">
        <v>2561</v>
      </c>
      <c r="Q32" s="1809" t="str">
        <f t="shared" si="11"/>
        <v>商业类型</v>
      </c>
      <c r="R32" s="774" t="s">
        <v>17</v>
      </c>
      <c r="S32" s="775">
        <f t="shared" si="12"/>
        <v>100</v>
      </c>
      <c r="T32" s="774" t="s">
        <v>17</v>
      </c>
      <c r="U32" s="775">
        <f t="shared" si="13"/>
        <v>100</v>
      </c>
      <c r="V32" s="774" t="s">
        <v>17</v>
      </c>
      <c r="W32" s="775">
        <f t="shared" si="14"/>
        <v>100</v>
      </c>
      <c r="X32" s="1812"/>
      <c r="Y32" s="3266" t="s">
        <v>2561</v>
      </c>
      <c r="Z32" s="1813" t="str">
        <f t="shared" si="15"/>
        <v>商业类型</v>
      </c>
      <c r="AA32" s="1810">
        <f t="shared" si="3"/>
        <v>1</v>
      </c>
      <c r="AB32" s="1810">
        <f t="shared" si="4"/>
        <v>1</v>
      </c>
      <c r="AC32" s="1810">
        <f t="shared" si="5"/>
        <v>1</v>
      </c>
    </row>
    <row r="33" spans="1:29" s="471" customFormat="1" ht="15">
      <c r="A33" s="468"/>
      <c r="B33" s="422" t="s">
        <v>2562</v>
      </c>
      <c r="C33" s="469">
        <f>'数据-汇总表'!F19</f>
        <v>631.32000000000005</v>
      </c>
      <c r="D33" s="136">
        <v>100</v>
      </c>
      <c r="E33" s="430">
        <v>265</v>
      </c>
      <c r="F33" s="425">
        <f>LOOKUP(E33,103:103,104:104)-LOOKUP(C33,103:103,104:104)+100</f>
        <v>102</v>
      </c>
      <c r="G33" s="429">
        <v>80</v>
      </c>
      <c r="H33" s="136">
        <f>LOOKUP(G33,103:103,104:104)-LOOKUP(C33,103:103,104:104)+100</f>
        <v>104</v>
      </c>
      <c r="I33" s="429">
        <v>265</v>
      </c>
      <c r="J33" s="136">
        <f>LOOKUP(I33,103:103,104:104)-LOOKUP(C33,103:103,104:104)+100</f>
        <v>102</v>
      </c>
      <c r="K33" s="613"/>
      <c r="L33" s="1137"/>
      <c r="M33" s="1140"/>
      <c r="N33" s="1140"/>
      <c r="O33" s="1140"/>
      <c r="P33" s="3264"/>
      <c r="Q33" s="776" t="str">
        <f t="shared" si="11"/>
        <v>项目建筑规模</v>
      </c>
      <c r="R33" s="777" t="s">
        <v>17</v>
      </c>
      <c r="S33" s="778">
        <f t="shared" si="12"/>
        <v>102</v>
      </c>
      <c r="T33" s="777" t="s">
        <v>17</v>
      </c>
      <c r="U33" s="778">
        <f t="shared" si="13"/>
        <v>104</v>
      </c>
      <c r="V33" s="777" t="s">
        <v>17</v>
      </c>
      <c r="W33" s="778">
        <f t="shared" si="14"/>
        <v>102</v>
      </c>
      <c r="X33" s="779"/>
      <c r="Y33" s="3266"/>
      <c r="Z33" s="780" t="str">
        <f t="shared" si="15"/>
        <v>项目建筑规模</v>
      </c>
      <c r="AA33" s="1810">
        <f t="shared" si="3"/>
        <v>0.98039215686274506</v>
      </c>
      <c r="AB33" s="1810">
        <f t="shared" si="4"/>
        <v>0.96153846153846156</v>
      </c>
      <c r="AC33" s="1810">
        <f t="shared" si="5"/>
        <v>0.98039215686274506</v>
      </c>
    </row>
    <row r="34" spans="1:29" ht="15">
      <c r="A34" s="472"/>
      <c r="B34" s="422" t="s">
        <v>2563</v>
      </c>
      <c r="C34" s="2616" t="s">
        <v>3111</v>
      </c>
      <c r="D34" s="435">
        <v>100</v>
      </c>
      <c r="E34" s="2616" t="s">
        <v>3111</v>
      </c>
      <c r="F34" s="461">
        <f>SUMIF(105:105,E34,106:106)-SUMIF(105:105,C34,106:106)+100</f>
        <v>100</v>
      </c>
      <c r="G34" s="2616" t="s">
        <v>3111</v>
      </c>
      <c r="H34" s="435">
        <f>SUMIF(105:105,G34,106:106)-SUMIF(105:105,C34,106:106)+100</f>
        <v>100</v>
      </c>
      <c r="I34" s="2616" t="s">
        <v>3111</v>
      </c>
      <c r="J34" s="435">
        <f>SUMIF(105:105,I34,106:106)-SUMIF(105:105,C34,106:106)+100</f>
        <v>100</v>
      </c>
      <c r="K34" s="612">
        <v>1</v>
      </c>
      <c r="L34" s="1139"/>
      <c r="M34" s="1130"/>
      <c r="N34" s="1130"/>
      <c r="O34" s="1130"/>
      <c r="P34" s="3264"/>
      <c r="Q34" s="1809" t="str">
        <f t="shared" si="11"/>
        <v>建筑结构</v>
      </c>
      <c r="R34" s="774" t="s">
        <v>17</v>
      </c>
      <c r="S34" s="775">
        <f t="shared" si="12"/>
        <v>100</v>
      </c>
      <c r="T34" s="774" t="s">
        <v>17</v>
      </c>
      <c r="U34" s="775">
        <f t="shared" si="13"/>
        <v>100</v>
      </c>
      <c r="V34" s="774" t="s">
        <v>17</v>
      </c>
      <c r="W34" s="775">
        <f t="shared" si="14"/>
        <v>100</v>
      </c>
      <c r="X34" s="1812"/>
      <c r="Y34" s="3266"/>
      <c r="Z34" s="1813" t="str">
        <f t="shared" si="15"/>
        <v>建筑结构</v>
      </c>
      <c r="AA34" s="1810">
        <f t="shared" si="3"/>
        <v>1</v>
      </c>
      <c r="AB34" s="1810">
        <f t="shared" si="4"/>
        <v>1</v>
      </c>
      <c r="AC34" s="1810">
        <f t="shared" si="5"/>
        <v>1</v>
      </c>
    </row>
    <row r="35" spans="1:29" ht="15">
      <c r="A35" s="472"/>
      <c r="B35" s="422" t="s">
        <v>2657</v>
      </c>
      <c r="C35" s="2610" t="s">
        <v>3140</v>
      </c>
      <c r="D35" s="435">
        <v>100</v>
      </c>
      <c r="E35" s="2610" t="s">
        <v>3140</v>
      </c>
      <c r="F35" s="461">
        <f>SUMIF(107:107,E35,108:108)-SUMIF(107:107,C35,108:108)+100</f>
        <v>100</v>
      </c>
      <c r="G35" s="2610" t="s">
        <v>3140</v>
      </c>
      <c r="H35" s="435">
        <f>SUMIF(107:107,G35,108:108)-SUMIF(107:107,C35,108:108)+100</f>
        <v>100</v>
      </c>
      <c r="I35" s="2610" t="s">
        <v>3140</v>
      </c>
      <c r="J35" s="435">
        <f>SUMIF(107:107,I35,108:108)-SUMIF(107:107,C35,108:108)+100</f>
        <v>100</v>
      </c>
      <c r="K35" s="612">
        <v>1</v>
      </c>
      <c r="L35" s="1139"/>
      <c r="M35" s="1130"/>
      <c r="N35" s="1130"/>
      <c r="O35" s="1130"/>
      <c r="P35" s="3264"/>
      <c r="Q35" s="1809" t="str">
        <f t="shared" si="11"/>
        <v>公共部分装修</v>
      </c>
      <c r="R35" s="774" t="s">
        <v>17</v>
      </c>
      <c r="S35" s="775">
        <f t="shared" si="12"/>
        <v>100</v>
      </c>
      <c r="T35" s="774" t="s">
        <v>17</v>
      </c>
      <c r="U35" s="775">
        <f t="shared" si="13"/>
        <v>100</v>
      </c>
      <c r="V35" s="774" t="s">
        <v>17</v>
      </c>
      <c r="W35" s="775">
        <f t="shared" si="14"/>
        <v>100</v>
      </c>
      <c r="X35" s="1812"/>
      <c r="Y35" s="3266"/>
      <c r="Z35" s="1813" t="str">
        <f t="shared" si="15"/>
        <v>公共部分装修</v>
      </c>
      <c r="AA35" s="1810">
        <f t="shared" si="3"/>
        <v>1</v>
      </c>
      <c r="AB35" s="1810">
        <f t="shared" si="4"/>
        <v>1</v>
      </c>
      <c r="AC35" s="1810">
        <f t="shared" si="5"/>
        <v>1</v>
      </c>
    </row>
    <row r="36" spans="1:29" ht="15">
      <c r="A36" s="472"/>
      <c r="B36" s="422"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264"/>
      <c r="Q36" s="1809" t="str">
        <f t="shared" si="11"/>
        <v>成新度</v>
      </c>
      <c r="R36" s="774" t="s">
        <v>17</v>
      </c>
      <c r="S36" s="775">
        <f t="shared" si="12"/>
        <v>100</v>
      </c>
      <c r="T36" s="774" t="s">
        <v>17</v>
      </c>
      <c r="U36" s="775">
        <f t="shared" si="13"/>
        <v>100</v>
      </c>
      <c r="V36" s="774" t="s">
        <v>17</v>
      </c>
      <c r="W36" s="775">
        <f t="shared" si="14"/>
        <v>100</v>
      </c>
      <c r="X36" s="1812"/>
      <c r="Y36" s="3266"/>
      <c r="Z36" s="1813" t="str">
        <f t="shared" si="15"/>
        <v>成新度</v>
      </c>
      <c r="AA36" s="1810">
        <f t="shared" si="3"/>
        <v>1</v>
      </c>
      <c r="AB36" s="1810">
        <f t="shared" si="4"/>
        <v>1</v>
      </c>
      <c r="AC36" s="1810">
        <f t="shared" si="5"/>
        <v>1</v>
      </c>
    </row>
    <row r="37" spans="1:29" s="117" customFormat="1" ht="15">
      <c r="A37" s="473"/>
      <c r="B37" s="422" t="s">
        <v>2659</v>
      </c>
      <c r="C37" s="2610" t="s">
        <v>3163</v>
      </c>
      <c r="D37" s="136">
        <v>100</v>
      </c>
      <c r="E37" s="2610" t="s">
        <v>3163</v>
      </c>
      <c r="F37" s="461">
        <f>SUMIF(112:112,E37,113:113)-SUMIF(112:112,C37,113:113)+100</f>
        <v>100</v>
      </c>
      <c r="G37" s="2610" t="s">
        <v>3163</v>
      </c>
      <c r="H37" s="435">
        <f>SUMIF(112:112,G37,113:113)-SUMIF(112:112,C37,113:113)+100</f>
        <v>100</v>
      </c>
      <c r="I37" s="2610" t="s">
        <v>3163</v>
      </c>
      <c r="J37" s="435">
        <f>SUMIF(112:112,I37,113:113)-SUMIF(112:112,C37,113:113)+100</f>
        <v>100</v>
      </c>
      <c r="K37" s="612">
        <v>1</v>
      </c>
      <c r="L37" s="1131"/>
      <c r="M37" s="1132"/>
      <c r="N37" s="1132"/>
      <c r="O37" s="1132"/>
      <c r="P37" s="3264"/>
      <c r="Q37" s="1794" t="str">
        <f t="shared" si="11"/>
        <v>市政基础设施</v>
      </c>
      <c r="R37" s="770" t="s">
        <v>17</v>
      </c>
      <c r="S37" s="771">
        <f t="shared" si="12"/>
        <v>100</v>
      </c>
      <c r="T37" s="770" t="s">
        <v>17</v>
      </c>
      <c r="U37" s="771">
        <f t="shared" si="13"/>
        <v>100</v>
      </c>
      <c r="V37" s="770" t="s">
        <v>17</v>
      </c>
      <c r="W37" s="771">
        <f t="shared" si="14"/>
        <v>100</v>
      </c>
      <c r="X37" s="772"/>
      <c r="Y37" s="3266"/>
      <c r="Z37" s="55" t="str">
        <f t="shared" si="15"/>
        <v>市政基础设施</v>
      </c>
      <c r="AA37" s="773">
        <f t="shared" si="3"/>
        <v>1</v>
      </c>
      <c r="AB37" s="773">
        <f t="shared" si="4"/>
        <v>1</v>
      </c>
      <c r="AC37" s="773">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v>1</v>
      </c>
      <c r="L38" s="1139"/>
      <c r="M38" s="1130"/>
      <c r="N38" s="1130"/>
      <c r="O38" s="1130"/>
      <c r="P38" s="3264" t="s">
        <v>2561</v>
      </c>
      <c r="Q38" s="1809" t="str">
        <f t="shared" si="11"/>
        <v>业态</v>
      </c>
      <c r="R38" s="774" t="s">
        <v>17</v>
      </c>
      <c r="S38" s="775">
        <f t="shared" si="12"/>
        <v>100</v>
      </c>
      <c r="T38" s="774" t="s">
        <v>17</v>
      </c>
      <c r="U38" s="775">
        <f t="shared" si="13"/>
        <v>100</v>
      </c>
      <c r="V38" s="774" t="s">
        <v>17</v>
      </c>
      <c r="W38" s="775">
        <f t="shared" si="14"/>
        <v>100</v>
      </c>
      <c r="X38" s="1812"/>
      <c r="Y38" s="3266" t="s">
        <v>2561</v>
      </c>
      <c r="Z38" s="1813" t="str">
        <f t="shared" si="15"/>
        <v>业态</v>
      </c>
      <c r="AA38" s="1810">
        <f t="shared" si="3"/>
        <v>1</v>
      </c>
      <c r="AB38" s="1810">
        <f t="shared" si="4"/>
        <v>1</v>
      </c>
      <c r="AC38" s="1810">
        <f t="shared" si="5"/>
        <v>1</v>
      </c>
    </row>
    <row r="39" spans="1:29" ht="15">
      <c r="A39" s="472"/>
      <c r="B39" s="422" t="s">
        <v>2661</v>
      </c>
      <c r="C39" s="2610" t="s">
        <v>3151</v>
      </c>
      <c r="D39" s="435">
        <v>100</v>
      </c>
      <c r="E39" s="2610" t="s">
        <v>3151</v>
      </c>
      <c r="F39" s="461">
        <f>SUMIF(116:116,E39,117:117)-SUMIF(116:116,C39,117:117)+100</f>
        <v>100</v>
      </c>
      <c r="G39" s="2610" t="s">
        <v>3151</v>
      </c>
      <c r="H39" s="435">
        <f>SUMIF(116:116,G39,117:117)-SUMIF(116:116,C39,117:117)+100</f>
        <v>100</v>
      </c>
      <c r="I39" s="2610" t="s">
        <v>3151</v>
      </c>
      <c r="J39" s="435">
        <f>SUMIF(116:116,I39,117:117)-SUMIF(116:116,C39,117:117)+100</f>
        <v>100</v>
      </c>
      <c r="K39" s="612">
        <v>1</v>
      </c>
      <c r="L39" s="1139"/>
      <c r="M39" s="1130"/>
      <c r="N39" s="1130"/>
      <c r="O39" s="1130"/>
      <c r="P39" s="3264"/>
      <c r="Q39" s="1809" t="str">
        <f t="shared" si="11"/>
        <v>层高</v>
      </c>
      <c r="R39" s="774" t="s">
        <v>17</v>
      </c>
      <c r="S39" s="775">
        <f t="shared" si="12"/>
        <v>100</v>
      </c>
      <c r="T39" s="774" t="s">
        <v>17</v>
      </c>
      <c r="U39" s="775">
        <f t="shared" si="13"/>
        <v>100</v>
      </c>
      <c r="V39" s="774" t="s">
        <v>17</v>
      </c>
      <c r="W39" s="775">
        <f t="shared" si="14"/>
        <v>100</v>
      </c>
      <c r="X39" s="1812"/>
      <c r="Y39" s="3266"/>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4"/>
      <c r="Q40" s="1809" t="str">
        <f t="shared" si="11"/>
        <v>单套建筑面积</v>
      </c>
      <c r="R40" s="774" t="s">
        <v>17</v>
      </c>
      <c r="S40" s="775">
        <f t="shared" si="12"/>
        <v>100</v>
      </c>
      <c r="T40" s="774" t="s">
        <v>17</v>
      </c>
      <c r="U40" s="775">
        <f t="shared" si="13"/>
        <v>100</v>
      </c>
      <c r="V40" s="774" t="s">
        <v>17</v>
      </c>
      <c r="W40" s="775">
        <f t="shared" si="14"/>
        <v>100</v>
      </c>
      <c r="X40" s="1812"/>
      <c r="Y40" s="3266"/>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264"/>
      <c r="Q41" s="776" t="str">
        <f t="shared" si="11"/>
        <v>进深比</v>
      </c>
      <c r="R41" s="777" t="s">
        <v>17</v>
      </c>
      <c r="S41" s="778">
        <f t="shared" si="12"/>
        <v>100</v>
      </c>
      <c r="T41" s="777" t="s">
        <v>17</v>
      </c>
      <c r="U41" s="778">
        <f t="shared" si="13"/>
        <v>100</v>
      </c>
      <c r="V41" s="777" t="s">
        <v>17</v>
      </c>
      <c r="W41" s="778">
        <f t="shared" si="14"/>
        <v>100</v>
      </c>
      <c r="X41" s="779"/>
      <c r="Y41" s="3266"/>
      <c r="Z41" s="780" t="str">
        <f t="shared" si="15"/>
        <v>进深比</v>
      </c>
      <c r="AA41" s="1810">
        <f t="shared" si="3"/>
        <v>1</v>
      </c>
      <c r="AB41" s="1810">
        <f t="shared" si="4"/>
        <v>1</v>
      </c>
      <c r="AC41" s="1810">
        <f t="shared" si="5"/>
        <v>1</v>
      </c>
    </row>
    <row r="42" spans="1:29" ht="15">
      <c r="A42" s="472"/>
      <c r="B42" s="422" t="s">
        <v>2664</v>
      </c>
      <c r="C42" s="2610" t="s">
        <v>3130</v>
      </c>
      <c r="D42" s="435">
        <v>100</v>
      </c>
      <c r="E42" s="2610" t="s">
        <v>3130</v>
      </c>
      <c r="F42" s="461">
        <f>SUMIF(122:122,E42,123:123)-SUMIF(122:122,C42,123:123)+100</f>
        <v>100</v>
      </c>
      <c r="G42" s="2610" t="s">
        <v>3130</v>
      </c>
      <c r="H42" s="435">
        <f>SUMIF(122:122,G42,123:123)-SUMIF(122:122,C42,123:123)+100</f>
        <v>100</v>
      </c>
      <c r="I42" s="2610" t="s">
        <v>3130</v>
      </c>
      <c r="J42" s="435">
        <f>SUMIF(122:122,I42,123:123)-SUMIF(122:122,C42,123:123)+100</f>
        <v>100</v>
      </c>
      <c r="K42" s="612">
        <v>1</v>
      </c>
      <c r="L42" s="1139"/>
      <c r="M42" s="1130"/>
      <c r="N42" s="1130"/>
      <c r="O42" s="1130"/>
      <c r="P42" s="3264"/>
      <c r="Q42" s="1809" t="str">
        <f t="shared" si="11"/>
        <v>内部装修</v>
      </c>
      <c r="R42" s="774" t="s">
        <v>17</v>
      </c>
      <c r="S42" s="775">
        <f t="shared" si="12"/>
        <v>100</v>
      </c>
      <c r="T42" s="774" t="s">
        <v>17</v>
      </c>
      <c r="U42" s="775">
        <f t="shared" si="13"/>
        <v>100</v>
      </c>
      <c r="V42" s="774" t="s">
        <v>17</v>
      </c>
      <c r="W42" s="775">
        <f t="shared" si="14"/>
        <v>100</v>
      </c>
      <c r="X42" s="1812"/>
      <c r="Y42" s="3266"/>
      <c r="Z42" s="1813" t="str">
        <f t="shared" si="15"/>
        <v>内部装修</v>
      </c>
      <c r="AA42" s="1810">
        <f t="shared" si="3"/>
        <v>1</v>
      </c>
      <c r="AB42" s="1810">
        <f t="shared" si="4"/>
        <v>1</v>
      </c>
      <c r="AC42" s="1810">
        <f t="shared" si="5"/>
        <v>1</v>
      </c>
    </row>
    <row r="43" spans="1:29" ht="15">
      <c r="A43" s="472"/>
      <c r="B43" s="422" t="s">
        <v>2572</v>
      </c>
      <c r="C43" s="2610" t="s">
        <v>3124</v>
      </c>
      <c r="D43" s="435">
        <v>100</v>
      </c>
      <c r="E43" s="2610" t="s">
        <v>3124</v>
      </c>
      <c r="F43" s="461">
        <f>SUMIF(124:124,E43,125:125)-SUMIF(124:124,C43,125:125)+100</f>
        <v>100</v>
      </c>
      <c r="G43" s="2610" t="s">
        <v>3124</v>
      </c>
      <c r="H43" s="435">
        <f>SUMIF(124:124,G43,125:125)-SUMIF(124:124,C43,125:125)+100</f>
        <v>100</v>
      </c>
      <c r="I43" s="2610" t="s">
        <v>3124</v>
      </c>
      <c r="J43" s="435">
        <f>SUMIF(124:124,I43,125:125)-SUMIF(124:124,C43,125:125)+100</f>
        <v>100</v>
      </c>
      <c r="K43" s="612">
        <v>1</v>
      </c>
      <c r="L43" s="1139"/>
      <c r="M43" s="1130"/>
      <c r="N43" s="1130"/>
      <c r="O43" s="1130"/>
      <c r="P43" s="3264"/>
      <c r="Q43" s="1809" t="str">
        <f t="shared" si="11"/>
        <v>内部装修维护情况</v>
      </c>
      <c r="R43" s="774" t="s">
        <v>17</v>
      </c>
      <c r="S43" s="775">
        <f t="shared" si="12"/>
        <v>100</v>
      </c>
      <c r="T43" s="774" t="s">
        <v>17</v>
      </c>
      <c r="U43" s="775">
        <f t="shared" si="13"/>
        <v>100</v>
      </c>
      <c r="V43" s="774" t="s">
        <v>17</v>
      </c>
      <c r="W43" s="775">
        <f t="shared" si="14"/>
        <v>100</v>
      </c>
      <c r="X43" s="1812"/>
      <c r="Y43" s="3266"/>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4"/>
      <c r="Q44" s="1794">
        <f t="shared" si="11"/>
        <v>111</v>
      </c>
      <c r="R44" s="770" t="s">
        <v>17</v>
      </c>
      <c r="S44" s="771">
        <f t="shared" si="12"/>
        <v>100</v>
      </c>
      <c r="T44" s="770" t="s">
        <v>17</v>
      </c>
      <c r="U44" s="771">
        <f t="shared" si="13"/>
        <v>100</v>
      </c>
      <c r="V44" s="770" t="s">
        <v>17</v>
      </c>
      <c r="W44" s="771">
        <f t="shared" si="14"/>
        <v>100</v>
      </c>
      <c r="X44" s="772"/>
      <c r="Y44" s="326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4"/>
      <c r="Q45" s="1809">
        <f t="shared" si="11"/>
        <v>111</v>
      </c>
      <c r="R45" s="774" t="s">
        <v>17</v>
      </c>
      <c r="S45" s="775">
        <f t="shared" si="12"/>
        <v>100</v>
      </c>
      <c r="T45" s="774" t="s">
        <v>17</v>
      </c>
      <c r="U45" s="775">
        <f t="shared" si="13"/>
        <v>100</v>
      </c>
      <c r="V45" s="774" t="s">
        <v>17</v>
      </c>
      <c r="W45" s="775">
        <f t="shared" si="14"/>
        <v>100</v>
      </c>
      <c r="X45" s="1812"/>
      <c r="Y45" s="3266"/>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5"/>
      <c r="Q46" s="1809">
        <f t="shared" si="11"/>
        <v>111</v>
      </c>
      <c r="R46" s="774" t="s">
        <v>17</v>
      </c>
      <c r="S46" s="775">
        <f t="shared" si="12"/>
        <v>100</v>
      </c>
      <c r="T46" s="774" t="s">
        <v>17</v>
      </c>
      <c r="U46" s="775">
        <f t="shared" si="13"/>
        <v>100</v>
      </c>
      <c r="V46" s="774" t="s">
        <v>17</v>
      </c>
      <c r="W46" s="775">
        <f t="shared" si="14"/>
        <v>100</v>
      </c>
      <c r="X46" s="1812"/>
      <c r="Y46" s="3267"/>
      <c r="Z46" s="1813">
        <f t="shared" si="15"/>
        <v>111</v>
      </c>
      <c r="AA46" s="1810">
        <f t="shared" si="3"/>
        <v>1</v>
      </c>
      <c r="AB46" s="1810">
        <f t="shared" si="4"/>
        <v>1</v>
      </c>
      <c r="AC46" s="1810">
        <f t="shared" si="5"/>
        <v>1</v>
      </c>
    </row>
    <row r="47" spans="1:29" ht="15">
      <c r="A47" s="479" t="s">
        <v>2573</v>
      </c>
      <c r="B47" s="480"/>
      <c r="C47" s="1406" t="s">
        <v>1</v>
      </c>
      <c r="D47" s="1407"/>
      <c r="E47" s="1408">
        <f>ROUND(45283*C50,0)</f>
        <v>43925</v>
      </c>
      <c r="F47" s="1409"/>
      <c r="G47" s="1410">
        <f>ROUND(49314*C50,0)</f>
        <v>47835</v>
      </c>
      <c r="H47" s="1411"/>
      <c r="I47" s="1408">
        <f>ROUND(43000*C50,0)</f>
        <v>41710</v>
      </c>
      <c r="J47" s="1411"/>
      <c r="K47" s="783"/>
      <c r="L47" s="1142"/>
      <c r="M47" s="1143"/>
      <c r="N47" s="1130"/>
      <c r="O47" s="1143"/>
      <c r="P47" s="3259" t="str">
        <f>A47</f>
        <v>成交单价（元/平方米）</v>
      </c>
      <c r="Q47" s="3259"/>
      <c r="R47" s="3254">
        <f>E47</f>
        <v>43925</v>
      </c>
      <c r="S47" s="3254"/>
      <c r="T47" s="3254">
        <f>G47</f>
        <v>47835</v>
      </c>
      <c r="U47" s="3254"/>
      <c r="V47" s="3254">
        <f>I47</f>
        <v>41710</v>
      </c>
      <c r="W47" s="3254"/>
      <c r="X47" s="759"/>
      <c r="Y47" s="781"/>
      <c r="Z47" s="759"/>
      <c r="AA47" s="759"/>
      <c r="AB47" s="759"/>
      <c r="AC47" s="759"/>
    </row>
    <row r="48" spans="1:29" ht="15.75" thickBot="1">
      <c r="A48" s="486" t="s">
        <v>2665</v>
      </c>
      <c r="B48" s="487"/>
      <c r="C48" s="1412">
        <f>R49</f>
        <v>43600</v>
      </c>
      <c r="D48" s="1413"/>
      <c r="E48" s="1414">
        <f>R48</f>
        <v>43499</v>
      </c>
      <c r="F48" s="1414"/>
      <c r="G48" s="1412">
        <f>T48</f>
        <v>45995</v>
      </c>
      <c r="H48" s="1413"/>
      <c r="I48" s="1414">
        <f>V48</f>
        <v>41305</v>
      </c>
      <c r="J48" s="1413"/>
      <c r="K48" s="784"/>
      <c r="L48" s="1142"/>
      <c r="M48" s="1143">
        <v>8.5</v>
      </c>
      <c r="N48" s="1130"/>
      <c r="O48" s="1143"/>
      <c r="P48" s="3259" t="str">
        <f>A48</f>
        <v>比较价值（元/平方米）</v>
      </c>
      <c r="Q48" s="3259"/>
      <c r="R48" s="3260">
        <f>IF(F1="售价",ROUND(PRODUCT(R47,AA7:AA46),0),ROUND(PRODUCT(R47,AA7:AA46),1))</f>
        <v>43499</v>
      </c>
      <c r="S48" s="3260"/>
      <c r="T48" s="3260">
        <f>IF(F1="售价",ROUND(PRODUCT(T47,AB7:AB46),0),ROUND(PRODUCT(T47,AB7:AB46),1))</f>
        <v>45995</v>
      </c>
      <c r="U48" s="3260"/>
      <c r="V48" s="3260">
        <f>IF(F1="售价",ROUND(PRODUCT(V47,AC7:AC46),0),ROUND(PRODUCT(V47,AC7:AC46),1))</f>
        <v>41305</v>
      </c>
      <c r="W48" s="3260"/>
      <c r="X48" s="759"/>
      <c r="Y48" s="759"/>
      <c r="Z48" s="759"/>
      <c r="AA48" s="759"/>
      <c r="AB48" s="759"/>
      <c r="AC48" s="759"/>
    </row>
    <row r="49" spans="1:29" ht="15.75" thickBot="1">
      <c r="A49" s="492" t="s">
        <v>2666</v>
      </c>
      <c r="B49" s="493"/>
      <c r="C49" s="1416">
        <f>R49</f>
        <v>43600</v>
      </c>
      <c r="D49" s="1416"/>
      <c r="E49" s="1416"/>
      <c r="F49" s="1416"/>
      <c r="G49" s="1416"/>
      <c r="H49" s="1416"/>
      <c r="I49" s="1416"/>
      <c r="J49" s="1416"/>
      <c r="K49" s="785"/>
      <c r="L49" s="1142"/>
      <c r="M49" s="1143">
        <v>10</v>
      </c>
      <c r="N49" s="1130"/>
      <c r="O49" s="1143"/>
      <c r="P49" s="3256" t="str">
        <f>A49</f>
        <v>估价对象XX用房的比较价值（楼面单价，元/平方米）</v>
      </c>
      <c r="Q49" s="3257"/>
      <c r="R49" s="3258">
        <f>IF(F1="售价",ROUND(AVERAGE(R48:V48),0),ROUND(AVERAGE(R48:V48),1))</f>
        <v>43600</v>
      </c>
      <c r="S49" s="3258"/>
      <c r="T49" s="3258"/>
      <c r="U49" s="3258"/>
      <c r="V49" s="3258"/>
      <c r="W49" s="3258"/>
      <c r="X49" s="759"/>
      <c r="Y49" s="759"/>
      <c r="Z49" s="759"/>
      <c r="AA49" s="759"/>
      <c r="AB49" s="759"/>
      <c r="AC49" s="759"/>
    </row>
    <row r="50" spans="1:29">
      <c r="A50" s="1143"/>
      <c r="B50" s="1143"/>
      <c r="C50" s="1143">
        <v>0.97</v>
      </c>
      <c r="D50" s="1143"/>
      <c r="E50" s="1143"/>
      <c r="F50" s="1143"/>
      <c r="G50" s="1146"/>
      <c r="H50" s="1143"/>
      <c r="I50" s="1143"/>
      <c r="J50" s="1143"/>
      <c r="K50" s="1104"/>
      <c r="L50" s="1105"/>
      <c r="M50" s="1143">
        <v>10</v>
      </c>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2667</v>
      </c>
      <c r="D52" s="498"/>
      <c r="E52" s="499">
        <f>IF(E47&lt;E48,E48/E47-1,E47/E48-1)</f>
        <v>9.7933285822662253E-3</v>
      </c>
      <c r="F52" s="500" t="str">
        <f>IF(OR(E52&gt;=0.3,E52&lt;=-0.3),"超过30%","")</f>
        <v/>
      </c>
      <c r="G52" s="499">
        <f>IF(G47&lt;G48,G48/G47-1,G47/G48-1)</f>
        <v>4.0004348298728232E-2</v>
      </c>
      <c r="H52" s="500" t="str">
        <f>IF(OR(G52&gt;=0.3,G52&lt;=-0.3),"超过30%","")</f>
        <v/>
      </c>
      <c r="I52" s="499">
        <f>IF(I47&lt;I48,I48/I47-1,I47/I48-1)</f>
        <v>9.8051083403947192E-3</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2668</v>
      </c>
      <c r="D53" s="501"/>
      <c r="E53" s="499">
        <f>IF(E48&lt;G48,G48/E48-1,E48/G48-1)</f>
        <v>5.7380629439757191E-2</v>
      </c>
      <c r="F53" s="500" t="str">
        <f>IF(OR(E53&gt;=0.2,E53&lt;=-0.2),"超过20%","")</f>
        <v/>
      </c>
      <c r="G53" s="499">
        <f>IF(G48&lt;I48,I48/G48-1,G48/I48-1)</f>
        <v>0.11354557559617473</v>
      </c>
      <c r="H53" s="500" t="str">
        <f>IF(OR(G53&gt;=0.2,G53&lt;=-0.2),"超过20%","")</f>
        <v/>
      </c>
      <c r="I53" s="499">
        <f>IF(I48&lt;E48,E48/I48-1,I48/E48-1)</f>
        <v>5.3117056046483535E-2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2669</v>
      </c>
      <c r="D54" s="501"/>
      <c r="E54" s="499">
        <f>IF(E47&lt;G47,G47/E47-1,E47/G47-1)</f>
        <v>8.9015367103016496E-2</v>
      </c>
      <c r="F54" s="500" t="str">
        <f>IF(OR(E54&gt;=0.3,E54&lt;=-0.3),"超过30%","")</f>
        <v/>
      </c>
      <c r="G54" s="499">
        <f>IF(G47&lt;I47,I47/G47-1,G47/I47-1)</f>
        <v>0.1468472788300168</v>
      </c>
      <c r="H54" s="500" t="str">
        <f>IF(OR(G54&gt;=0.3,G54&lt;=-0.3),"超过30%","")</f>
        <v/>
      </c>
      <c r="I54" s="499">
        <f>IF(I47&lt;E47,E47/I47-1,I47/E47-1)</f>
        <v>5.310477103812028E-2</v>
      </c>
      <c r="J54" s="500" t="str">
        <f>IF(OR(I54&gt;=0.3,I54&lt;=-0.3),"超过30%","")</f>
        <v/>
      </c>
      <c r="K54" s="1147"/>
      <c r="L54" s="1148"/>
      <c r="M54" s="1144"/>
      <c r="N54" s="1144"/>
      <c r="O54" s="1144"/>
      <c r="P54" s="2663"/>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3"/>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0"/>
      <c r="M57" s="1158"/>
      <c r="N57" s="1158"/>
      <c r="O57" s="1158"/>
      <c r="P57" s="2664"/>
      <c r="Q57" s="2665"/>
      <c r="R57" s="759"/>
      <c r="S57" s="759"/>
      <c r="T57" s="759"/>
      <c r="U57" s="759"/>
      <c r="V57" s="759"/>
      <c r="W57" s="759"/>
      <c r="X57" s="759"/>
      <c r="Y57" s="759"/>
      <c r="Z57" s="759"/>
      <c r="AA57" s="759"/>
      <c r="AB57" s="759"/>
      <c r="AC57" s="759"/>
    </row>
    <row r="58" spans="1:29" s="508" customFormat="1" ht="15">
      <c r="A58" s="505" t="s">
        <v>2544</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2648</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2584</v>
      </c>
      <c r="B63" s="528" t="s">
        <v>2550</v>
      </c>
      <c r="C63" s="529" t="str">
        <f>C9</f>
        <v>商业</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7"/>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0</v>
      </c>
      <c r="D68" s="549">
        <v>1</v>
      </c>
      <c r="E68" s="549">
        <v>2</v>
      </c>
      <c r="F68" s="549">
        <v>3</v>
      </c>
      <c r="G68" s="549"/>
      <c r="H68" s="549"/>
      <c r="I68" s="549"/>
      <c r="J68" s="549"/>
      <c r="K68" s="550"/>
      <c r="L68" s="551"/>
      <c r="M68" s="552"/>
      <c r="N68" s="1151"/>
      <c r="O68" s="1151"/>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81"/>
      <c r="N82" s="1152"/>
      <c r="O82" s="1152"/>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2676</v>
      </c>
      <c r="C86" s="3004" t="s">
        <v>3143</v>
      </c>
      <c r="D86" s="3004" t="s">
        <v>3145</v>
      </c>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75" thickTop="1">
      <c r="A88" s="579"/>
      <c r="B88" s="538" t="str">
        <f>B26</f>
        <v>平面位置/可视性</v>
      </c>
      <c r="C88" s="3004" t="s">
        <v>3146</v>
      </c>
      <c r="D88" s="3004" t="s">
        <v>3147</v>
      </c>
      <c r="E88" s="3004" t="s">
        <v>3148</v>
      </c>
      <c r="F88" s="2632"/>
      <c r="G88" s="554"/>
      <c r="H88" s="554"/>
      <c r="I88" s="554"/>
      <c r="J88" s="554"/>
      <c r="K88" s="554"/>
      <c r="L88" s="554"/>
      <c r="M88" s="581"/>
      <c r="N88" s="1150"/>
      <c r="O88" s="1150"/>
      <c r="P88" s="2627"/>
      <c r="Q88" s="504"/>
    </row>
    <row r="89" spans="1:17" s="117" customFormat="1" ht="15.75" thickBot="1">
      <c r="A89" s="579"/>
      <c r="B89" s="543"/>
      <c r="C89" s="560">
        <v>100</v>
      </c>
      <c r="D89" s="536">
        <v>98</v>
      </c>
      <c r="E89" s="536">
        <v>96</v>
      </c>
      <c r="F89" s="536"/>
      <c r="G89" s="536"/>
      <c r="H89" s="536"/>
      <c r="I89" s="536"/>
      <c r="J89" s="536"/>
      <c r="K89" s="536"/>
      <c r="L89" s="536"/>
      <c r="M89" s="536"/>
      <c r="N89" s="1152"/>
      <c r="O89" s="1152"/>
      <c r="P89" s="2627"/>
      <c r="Q89" s="504"/>
    </row>
    <row r="90" spans="1:17" s="471" customFormat="1" ht="15.75" thickTop="1">
      <c r="A90" s="553"/>
      <c r="B90" s="538" t="str">
        <f>B27</f>
        <v>人流量</v>
      </c>
      <c r="C90" s="3004" t="s">
        <v>3150</v>
      </c>
      <c r="D90" s="3004" t="s">
        <v>3147</v>
      </c>
      <c r="E90" s="554"/>
      <c r="F90" s="554"/>
      <c r="G90" s="554"/>
      <c r="H90" s="555"/>
      <c r="I90" s="555"/>
      <c r="J90" s="555"/>
      <c r="K90" s="555"/>
      <c r="L90" s="556"/>
      <c r="M90" s="557"/>
      <c r="N90" s="1153"/>
      <c r="O90" s="1153"/>
      <c r="P90" s="2628"/>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28"/>
      <c r="Q91" s="559"/>
    </row>
    <row r="92" spans="1:17" ht="15.75" thickTop="1">
      <c r="A92" s="534"/>
      <c r="B92" s="538" t="str">
        <f>B28</f>
        <v>楼层</v>
      </c>
      <c r="C92" s="554" t="s">
        <v>3153</v>
      </c>
      <c r="D92" s="554"/>
      <c r="E92" s="554"/>
      <c r="F92" s="554"/>
      <c r="G92" s="554"/>
      <c r="H92" s="554"/>
      <c r="I92" s="554"/>
      <c r="J92" s="554"/>
      <c r="K92" s="554"/>
      <c r="L92" s="580"/>
      <c r="M92" s="581"/>
      <c r="N92" s="1151"/>
      <c r="O92" s="1151"/>
      <c r="P92" s="2627"/>
      <c r="Q92" s="504"/>
    </row>
    <row r="93" spans="1:17" ht="15.75" thickBot="1">
      <c r="A93" s="534"/>
      <c r="B93" s="543"/>
      <c r="C93" s="536"/>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111</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2559</v>
      </c>
      <c r="B100" s="528" t="s">
        <v>2677</v>
      </c>
      <c r="C100" s="3003" t="s">
        <v>3126</v>
      </c>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500</v>
      </c>
      <c r="F103" s="595"/>
      <c r="G103" s="595"/>
      <c r="H103" s="595"/>
      <c r="I103" s="595"/>
      <c r="J103" s="596"/>
      <c r="K103" s="596"/>
      <c r="L103" s="597"/>
      <c r="M103" s="598"/>
      <c r="N103" s="1153"/>
      <c r="O103" s="1153"/>
      <c r="P103" s="2628"/>
      <c r="Q103" s="559"/>
    </row>
    <row r="104" spans="1:17" s="471" customFormat="1" ht="15.75" thickBot="1">
      <c r="A104" s="553"/>
      <c r="B104" s="543"/>
      <c r="C104" s="560">
        <v>100</v>
      </c>
      <c r="D104" s="536">
        <v>98</v>
      </c>
      <c r="E104" s="536">
        <v>96</v>
      </c>
      <c r="F104" s="536"/>
      <c r="G104" s="536"/>
      <c r="H104" s="536"/>
      <c r="I104" s="536"/>
      <c r="J104" s="536"/>
      <c r="K104" s="536"/>
      <c r="L104" s="536"/>
      <c r="M104" s="537"/>
      <c r="N104" s="1152"/>
      <c r="O104" s="1152"/>
      <c r="P104" s="2628"/>
      <c r="Q104" s="559"/>
    </row>
    <row r="105" spans="1:17" ht="15" thickTop="1">
      <c r="A105" s="599"/>
      <c r="B105" s="538" t="s">
        <v>2610</v>
      </c>
      <c r="C105" s="3004" t="s">
        <v>3127</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7"/>
      <c r="Q106" s="504"/>
    </row>
    <row r="107" spans="1:17" ht="15" thickTop="1">
      <c r="A107" s="599"/>
      <c r="B107" s="538" t="s">
        <v>2612</v>
      </c>
      <c r="C107" s="3004" t="s">
        <v>3128</v>
      </c>
      <c r="D107" s="3004" t="s">
        <v>3129</v>
      </c>
      <c r="E107" s="3004" t="s">
        <v>3131</v>
      </c>
      <c r="F107" s="3005" t="s">
        <v>3132</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7"/>
      <c r="Q111" s="504"/>
    </row>
    <row r="112" spans="1:17" s="471" customFormat="1" ht="15" thickTop="1">
      <c r="A112" s="593"/>
      <c r="B112" s="538" t="s">
        <v>2614</v>
      </c>
      <c r="C112" s="3004" t="s">
        <v>3133</v>
      </c>
      <c r="D112" s="3004" t="s">
        <v>3134</v>
      </c>
      <c r="E112" s="3004" t="s">
        <v>3135</v>
      </c>
      <c r="F112" s="3004" t="s">
        <v>3136</v>
      </c>
      <c r="G112" s="3004" t="s">
        <v>3137</v>
      </c>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2678</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7"/>
      <c r="Q115" s="504"/>
    </row>
    <row r="116" spans="1:17" ht="15" thickTop="1">
      <c r="A116" s="599"/>
      <c r="B116" s="538" t="s">
        <v>2679</v>
      </c>
      <c r="C116" s="3004" t="s">
        <v>3152</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2680</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8"/>
      <c r="Q121" s="559"/>
    </row>
    <row r="122" spans="1:17" ht="15" thickTop="1">
      <c r="A122" s="599"/>
      <c r="B122" s="538" t="s">
        <v>2616</v>
      </c>
      <c r="C122" s="3004" t="s">
        <v>3128</v>
      </c>
      <c r="D122" s="3004" t="s">
        <v>3129</v>
      </c>
      <c r="E122" s="3004" t="s">
        <v>3131</v>
      </c>
      <c r="F122" s="3005" t="s">
        <v>3132</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北京华融天辰投资有限公司：</v>
      </c>
    </row>
    <row r="4" spans="1:1" ht="36">
      <c r="A4" s="1946" t="str">
        <f>"受贵公司委托，我公司对"&amp;项目基本情况!S1&amp;"进行了预评估。"</f>
        <v>受贵公司委托，我公司对北京市北京经济技术开发区荣华南路7号院4号楼102商业用房出让国有建设用地使用权及在建建筑物房地产抵押价值进行了预评估。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7号院4号楼102商业用房出让国有建设用地使用权及在建建筑物房地产，为所有。根据《国有土地使用证》[]，估价对象（分摊）出让国有建设用地使用权面积为0平方米，建筑面积为631.32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7号院4号楼102商业用房出让国有建设用地使用权及在建建筑物房地产,属开发建设的，该项目尚在开发建设中。根据《国有土地使用证》[]，估价对象（分摊）出让国有建设用地使用权面积为0平方米，规划建筑面积为631.32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为估价委托人在向招商银行北京分行办理贷款手续过程中，确定房地产抵押贷款额度提供参考依据而评估房地产抵押价值。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2020年3月24日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本次评估采用的主估价方法为收益法和比较法。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6" t="s">
        <v>2682</v>
      </c>
      <c r="C1" s="1619" t="s">
        <v>2526</v>
      </c>
      <c r="D1" s="1620"/>
      <c r="E1" s="1629"/>
      <c r="F1" s="2581"/>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IF(C2="——",ROUND(C50*D3/10000,0),ROUND(C50*D3/10000,0)-D2)</f>
        <v>#DIV/0!</v>
      </c>
      <c r="C2" s="2583"/>
      <c r="D2" s="1364" t="e">
        <f ca="1">SUMIF(INDIRECT("'"&amp;F2&amp;"'"&amp;"!A:A"),"承租人权益价值",INDIRECT("'"&amp;F2&amp;"'"&amp;"!c:c"))</f>
        <v>#REF!</v>
      </c>
      <c r="E2" s="2584" t="s">
        <v>2324</v>
      </c>
      <c r="F2" s="2585"/>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631.32000000000005</v>
      </c>
      <c r="E3" s="2660"/>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2641</v>
      </c>
      <c r="B4" s="402"/>
      <c r="C4" s="3242" t="s">
        <v>2642</v>
      </c>
      <c r="D4" s="3243"/>
      <c r="E4" s="3244" t="s">
        <v>2643</v>
      </c>
      <c r="F4" s="3245"/>
      <c r="G4" s="3242" t="s">
        <v>2644</v>
      </c>
      <c r="H4" s="3243"/>
      <c r="I4" s="3242" t="s">
        <v>2645</v>
      </c>
      <c r="J4" s="3243"/>
      <c r="K4" s="610" t="s">
        <v>2646</v>
      </c>
      <c r="L4" s="1129"/>
      <c r="M4" s="1130"/>
      <c r="N4" s="1130"/>
      <c r="O4" s="1130"/>
      <c r="P4" s="3278" t="s">
        <v>2647</v>
      </c>
      <c r="Q4" s="3279"/>
      <c r="R4" s="3273" t="s">
        <v>2643</v>
      </c>
      <c r="S4" s="3274"/>
      <c r="T4" s="3273" t="s">
        <v>2644</v>
      </c>
      <c r="U4" s="3274"/>
      <c r="V4" s="3282" t="s">
        <v>2645</v>
      </c>
      <c r="W4" s="3282"/>
      <c r="X4" s="2667"/>
      <c r="Y4" s="3273" t="s">
        <v>2647</v>
      </c>
      <c r="Z4" s="3274"/>
      <c r="AA4" s="3272" t="s">
        <v>2643</v>
      </c>
      <c r="AB4" s="3272" t="s">
        <v>2644</v>
      </c>
      <c r="AC4" s="3275" t="s">
        <v>2645</v>
      </c>
    </row>
    <row r="5" spans="1:29" ht="15">
      <c r="A5" s="404"/>
      <c r="B5" s="405"/>
      <c r="C5" s="3235" t="s">
        <v>2538</v>
      </c>
      <c r="D5" s="3236"/>
      <c r="E5" s="3233" t="s">
        <v>2539</v>
      </c>
      <c r="F5" s="3234"/>
      <c r="G5" s="3235" t="s">
        <v>2540</v>
      </c>
      <c r="H5" s="3236"/>
      <c r="I5" s="3235" t="s">
        <v>2541</v>
      </c>
      <c r="J5" s="3236"/>
      <c r="K5" s="610"/>
      <c r="L5" s="1129"/>
      <c r="M5" s="1130"/>
      <c r="N5" s="1130"/>
      <c r="O5" s="1130"/>
      <c r="P5" s="3280"/>
      <c r="Q5" s="3249"/>
      <c r="R5" s="3231"/>
      <c r="S5" s="3232"/>
      <c r="T5" s="3231"/>
      <c r="U5" s="3232"/>
      <c r="V5" s="3254"/>
      <c r="W5" s="3254"/>
      <c r="X5" s="1812"/>
      <c r="Y5" s="3231"/>
      <c r="Z5" s="3232"/>
      <c r="AA5" s="3225"/>
      <c r="AB5" s="3225"/>
      <c r="AC5" s="3276"/>
    </row>
    <row r="6" spans="1:29" ht="15.75" thickBot="1">
      <c r="A6" s="406"/>
      <c r="B6" s="407"/>
      <c r="C6" s="3237" t="s">
        <v>2542</v>
      </c>
      <c r="D6" s="3238"/>
      <c r="E6" s="3239" t="s">
        <v>2542</v>
      </c>
      <c r="F6" s="3240"/>
      <c r="G6" s="3237" t="s">
        <v>2542</v>
      </c>
      <c r="H6" s="3238"/>
      <c r="I6" s="3237" t="s">
        <v>2542</v>
      </c>
      <c r="J6" s="3238"/>
      <c r="K6" s="610" t="s">
        <v>2543</v>
      </c>
      <c r="L6" s="1129"/>
      <c r="M6" s="1130"/>
      <c r="N6" s="1130"/>
      <c r="O6" s="1130"/>
      <c r="P6" s="3281"/>
      <c r="Q6" s="3251"/>
      <c r="R6" s="3231"/>
      <c r="S6" s="3232"/>
      <c r="T6" s="3252"/>
      <c r="U6" s="3253"/>
      <c r="V6" s="3254"/>
      <c r="W6" s="3254"/>
      <c r="X6" s="1812"/>
      <c r="Y6" s="3252"/>
      <c r="Z6" s="3253"/>
      <c r="AA6" s="3226"/>
      <c r="AB6" s="3226"/>
      <c r="AC6" s="3277"/>
    </row>
    <row r="7" spans="1:29" s="117" customFormat="1" ht="15.75" thickBot="1">
      <c r="A7" s="408" t="s">
        <v>2544</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3" t="s">
        <v>2545</v>
      </c>
      <c r="Q7" s="3255"/>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2668"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3" t="s">
        <v>2548</v>
      </c>
      <c r="Q8" s="3228"/>
      <c r="R8" s="770" t="s">
        <v>17</v>
      </c>
      <c r="S8" s="771">
        <f t="shared" si="0"/>
        <v>0</v>
      </c>
      <c r="T8" s="770" t="s">
        <v>17</v>
      </c>
      <c r="U8" s="771">
        <f t="shared" si="1"/>
        <v>0</v>
      </c>
      <c r="V8" s="770" t="s">
        <v>17</v>
      </c>
      <c r="W8" s="771">
        <f t="shared" si="2"/>
        <v>0</v>
      </c>
      <c r="X8" s="772"/>
      <c r="Y8" s="3227" t="s">
        <v>2548</v>
      </c>
      <c r="Z8" s="3228"/>
      <c r="AA8" s="773" t="e">
        <f t="shared" ref="AA8:AA47" si="3">D8/F8</f>
        <v>#DIV/0!</v>
      </c>
      <c r="AB8" s="773" t="e">
        <f t="shared" ref="AB8:AB47" si="4">D8/H8</f>
        <v>#DIV/0!</v>
      </c>
      <c r="AC8" s="2668"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41" t="s">
        <v>2551</v>
      </c>
      <c r="Q9" s="1794" t="str">
        <f t="shared" ref="Q9:Q15" si="6">B9</f>
        <v>用途</v>
      </c>
      <c r="R9" s="770" t="s">
        <v>17</v>
      </c>
      <c r="S9" s="771">
        <f t="shared" si="0"/>
        <v>100</v>
      </c>
      <c r="T9" s="770" t="s">
        <v>17</v>
      </c>
      <c r="U9" s="771">
        <f t="shared" si="1"/>
        <v>100</v>
      </c>
      <c r="V9" s="770" t="s">
        <v>17</v>
      </c>
      <c r="W9" s="771">
        <f t="shared" si="2"/>
        <v>100</v>
      </c>
      <c r="X9" s="772"/>
      <c r="Y9" s="3074" t="s">
        <v>2552</v>
      </c>
      <c r="Z9" s="55" t="str">
        <f t="shared" ref="Z9:Z15" si="7">Q9</f>
        <v>用途</v>
      </c>
      <c r="AA9" s="773">
        <f t="shared" si="3"/>
        <v>1</v>
      </c>
      <c r="AB9" s="773">
        <f t="shared" si="4"/>
        <v>1</v>
      </c>
      <c r="AC9" s="2668">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41"/>
      <c r="Q10" s="1794"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2668">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41"/>
      <c r="Q11" s="1794"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241"/>
      <c r="Q12" s="1794">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241"/>
      <c r="Q13" s="1794">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241"/>
      <c r="Q14" s="1794">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2668">
        <f t="shared" si="5"/>
        <v>1</v>
      </c>
    </row>
    <row r="15" spans="1:29" ht="71.25">
      <c r="A15" s="440" t="s">
        <v>2555</v>
      </c>
      <c r="B15" s="629" t="s">
        <v>2683</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68" t="s">
        <v>2556</v>
      </c>
      <c r="Q15" s="1809" t="str">
        <f t="shared" si="6"/>
        <v>办公集聚程度</v>
      </c>
      <c r="R15" s="774" t="s">
        <v>17</v>
      </c>
      <c r="S15" s="775">
        <f t="shared" si="0"/>
        <v>100</v>
      </c>
      <c r="T15" s="774" t="s">
        <v>17</v>
      </c>
      <c r="U15" s="775">
        <f t="shared" si="1"/>
        <v>100</v>
      </c>
      <c r="V15" s="774" t="s">
        <v>17</v>
      </c>
      <c r="W15" s="775">
        <f t="shared" si="2"/>
        <v>100</v>
      </c>
      <c r="X15" s="1812"/>
      <c r="Y15" s="3261" t="s">
        <v>2556</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39"/>
      <c r="M16" s="1130"/>
      <c r="N16" s="1130"/>
      <c r="O16" s="1130"/>
      <c r="P16" s="3269"/>
      <c r="Q16" s="1809"/>
      <c r="R16" s="774"/>
      <c r="S16" s="775"/>
      <c r="T16" s="774"/>
      <c r="U16" s="775"/>
      <c r="V16" s="774"/>
      <c r="W16" s="775"/>
      <c r="X16" s="1812"/>
      <c r="Y16" s="3262"/>
      <c r="Z16" s="1813"/>
      <c r="AA16" s="1810">
        <v>1</v>
      </c>
      <c r="AB16" s="1810">
        <v>1</v>
      </c>
      <c r="AC16" s="2671">
        <v>1</v>
      </c>
    </row>
    <row r="17" spans="1:29" ht="71.25">
      <c r="A17" s="428"/>
      <c r="B17" s="631" t="s">
        <v>2095</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69"/>
      <c r="Q17" s="1809" t="str">
        <f>B17</f>
        <v>交通便捷度</v>
      </c>
      <c r="R17" s="774" t="s">
        <v>17</v>
      </c>
      <c r="S17" s="775">
        <f>F17</f>
        <v>100</v>
      </c>
      <c r="T17" s="774" t="s">
        <v>17</v>
      </c>
      <c r="U17" s="775">
        <f>H17</f>
        <v>100</v>
      </c>
      <c r="V17" s="774" t="s">
        <v>17</v>
      </c>
      <c r="W17" s="775">
        <f>J17</f>
        <v>100</v>
      </c>
      <c r="X17" s="1812"/>
      <c r="Y17" s="3262"/>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39"/>
      <c r="M18" s="1130"/>
      <c r="N18" s="1130"/>
      <c r="O18" s="1130"/>
      <c r="P18" s="3269"/>
      <c r="Q18" s="1809"/>
      <c r="R18" s="774"/>
      <c r="S18" s="775"/>
      <c r="T18" s="774"/>
      <c r="U18" s="775"/>
      <c r="V18" s="774"/>
      <c r="W18" s="775"/>
      <c r="X18" s="1812"/>
      <c r="Y18" s="3262"/>
      <c r="Z18" s="1813"/>
      <c r="AA18" s="1810">
        <v>1</v>
      </c>
      <c r="AB18" s="1810">
        <v>1</v>
      </c>
      <c r="AC18" s="2671">
        <v>1</v>
      </c>
    </row>
    <row r="19" spans="1:29" ht="42.75">
      <c r="A19" s="428"/>
      <c r="B19" s="631" t="s">
        <v>2684</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69"/>
      <c r="Q19" s="1809" t="str">
        <f>B19</f>
        <v>公共配套设施</v>
      </c>
      <c r="R19" s="774" t="s">
        <v>17</v>
      </c>
      <c r="S19" s="775">
        <f>F19</f>
        <v>100</v>
      </c>
      <c r="T19" s="774" t="s">
        <v>17</v>
      </c>
      <c r="U19" s="775">
        <f>H19</f>
        <v>100</v>
      </c>
      <c r="V19" s="774" t="s">
        <v>17</v>
      </c>
      <c r="W19" s="775">
        <f>J19</f>
        <v>100</v>
      </c>
      <c r="X19" s="1812"/>
      <c r="Y19" s="3262"/>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39"/>
      <c r="M20" s="1130"/>
      <c r="N20" s="1130"/>
      <c r="O20" s="1130"/>
      <c r="P20" s="3269"/>
      <c r="Q20" s="1809"/>
      <c r="R20" s="774"/>
      <c r="S20" s="775"/>
      <c r="T20" s="774"/>
      <c r="U20" s="775"/>
      <c r="V20" s="774"/>
      <c r="W20" s="775"/>
      <c r="X20" s="1812"/>
      <c r="Y20" s="3262"/>
      <c r="Z20" s="1813"/>
      <c r="AA20" s="1810">
        <v>1</v>
      </c>
      <c r="AB20" s="1810">
        <v>1</v>
      </c>
      <c r="AC20" s="2671">
        <v>1</v>
      </c>
    </row>
    <row r="21" spans="1:29" ht="28.5">
      <c r="A21" s="428"/>
      <c r="B21" s="633" t="s">
        <v>2685</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69"/>
      <c r="Q21" s="1809" t="str">
        <f>B21</f>
        <v>基础设施水平</v>
      </c>
      <c r="R21" s="774" t="s">
        <v>17</v>
      </c>
      <c r="S21" s="775">
        <f>F21</f>
        <v>100</v>
      </c>
      <c r="T21" s="774" t="s">
        <v>17</v>
      </c>
      <c r="U21" s="775">
        <f>H21</f>
        <v>100</v>
      </c>
      <c r="V21" s="774" t="s">
        <v>17</v>
      </c>
      <c r="W21" s="775">
        <f>J21</f>
        <v>100</v>
      </c>
      <c r="X21" s="1812"/>
      <c r="Y21" s="3262"/>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2"/>
      <c r="L22" s="1139"/>
      <c r="M22" s="1130"/>
      <c r="N22" s="1130"/>
      <c r="O22" s="1130"/>
      <c r="P22" s="3269"/>
      <c r="Q22" s="1809"/>
      <c r="R22" s="774"/>
      <c r="S22" s="775"/>
      <c r="T22" s="774"/>
      <c r="U22" s="775"/>
      <c r="V22" s="774"/>
      <c r="W22" s="775"/>
      <c r="X22" s="1812"/>
      <c r="Y22" s="3262"/>
      <c r="Z22" s="1813"/>
      <c r="AA22" s="1810">
        <v>1</v>
      </c>
      <c r="AB22" s="1810">
        <v>1</v>
      </c>
      <c r="AC22" s="2671">
        <v>1</v>
      </c>
    </row>
    <row r="23" spans="1:29" ht="42.75">
      <c r="A23" s="428"/>
      <c r="B23" s="631" t="s">
        <v>2686</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69"/>
      <c r="Q23" s="1809" t="str">
        <f>B23</f>
        <v>环境质量</v>
      </c>
      <c r="R23" s="774" t="s">
        <v>17</v>
      </c>
      <c r="S23" s="775">
        <f>F23</f>
        <v>100</v>
      </c>
      <c r="T23" s="774" t="s">
        <v>17</v>
      </c>
      <c r="U23" s="775">
        <f>H23</f>
        <v>100</v>
      </c>
      <c r="V23" s="774" t="s">
        <v>17</v>
      </c>
      <c r="W23" s="775">
        <f>J23</f>
        <v>100</v>
      </c>
      <c r="X23" s="1812"/>
      <c r="Y23" s="3262"/>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39"/>
      <c r="M24" s="1130"/>
      <c r="N24" s="1130"/>
      <c r="O24" s="1130"/>
      <c r="P24" s="3269"/>
      <c r="Q24" s="1809"/>
      <c r="R24" s="774"/>
      <c r="S24" s="775"/>
      <c r="T24" s="774"/>
      <c r="U24" s="775"/>
      <c r="V24" s="774"/>
      <c r="W24" s="775"/>
      <c r="X24" s="1812"/>
      <c r="Y24" s="3262"/>
      <c r="Z24" s="1813"/>
      <c r="AA24" s="1810">
        <v>1</v>
      </c>
      <c r="AB24" s="1810">
        <v>1</v>
      </c>
      <c r="AC24" s="2671">
        <v>1</v>
      </c>
    </row>
    <row r="25" spans="1:29" ht="27">
      <c r="A25" s="404"/>
      <c r="B25" s="631" t="s">
        <v>2687</v>
      </c>
      <c r="C25" s="2612"/>
      <c r="D25" s="435">
        <v>100</v>
      </c>
      <c r="E25" s="434"/>
      <c r="F25" s="435">
        <f>SUMIF(87:87,E26,88:88)-SUMIF(87:87,C26,88:88)+100</f>
        <v>100</v>
      </c>
      <c r="G25" s="2612"/>
      <c r="H25" s="435">
        <f>SUMIF(87:87,G26,88:88)-SUMIF(87:87,C26,88:88)+100</f>
        <v>100</v>
      </c>
      <c r="I25" s="434"/>
      <c r="J25" s="435">
        <f>SUMIF(87:87,I26,88:88)-SUMIF(87:87,C26,88:88)+100</f>
        <v>100</v>
      </c>
      <c r="K25" s="614"/>
      <c r="L25" s="1139"/>
      <c r="M25" s="1130"/>
      <c r="N25" s="1130"/>
      <c r="O25" s="1130"/>
      <c r="P25" s="3269"/>
      <c r="Q25" s="1809" t="str">
        <f>B25</f>
        <v>毗邻道路的类型与等级</v>
      </c>
      <c r="R25" s="774" t="s">
        <v>17</v>
      </c>
      <c r="S25" s="775">
        <f>F25</f>
        <v>100</v>
      </c>
      <c r="T25" s="774" t="s">
        <v>17</v>
      </c>
      <c r="U25" s="775">
        <f>H25</f>
        <v>100</v>
      </c>
      <c r="V25" s="774" t="s">
        <v>17</v>
      </c>
      <c r="W25" s="775">
        <f>J25</f>
        <v>100</v>
      </c>
      <c r="X25" s="1812"/>
      <c r="Y25" s="3262"/>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39"/>
      <c r="M26" s="1130"/>
      <c r="N26" s="1130"/>
      <c r="O26" s="1130"/>
      <c r="P26" s="3269"/>
      <c r="Q26" s="1809"/>
      <c r="R26" s="774"/>
      <c r="S26" s="775"/>
      <c r="T26" s="774"/>
      <c r="U26" s="775"/>
      <c r="V26" s="774"/>
      <c r="W26" s="775"/>
      <c r="X26" s="1812"/>
      <c r="Y26" s="3262"/>
      <c r="Z26" s="1813"/>
      <c r="AA26" s="1810">
        <v>1</v>
      </c>
      <c r="AB26" s="1810">
        <v>1</v>
      </c>
      <c r="AC26" s="267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69"/>
      <c r="Q27" s="1809" t="str">
        <f t="shared" ref="Q27:Q47" si="11">B27</f>
        <v>楼层</v>
      </c>
      <c r="R27" s="774" t="s">
        <v>17</v>
      </c>
      <c r="S27" s="775">
        <f>F27</f>
        <v>100</v>
      </c>
      <c r="T27" s="774" t="s">
        <v>17</v>
      </c>
      <c r="U27" s="775">
        <f>H27</f>
        <v>100</v>
      </c>
      <c r="V27" s="774" t="s">
        <v>17</v>
      </c>
      <c r="W27" s="775">
        <f>J27</f>
        <v>100</v>
      </c>
      <c r="X27" s="1812"/>
      <c r="Y27" s="3262"/>
      <c r="Z27" s="1813" t="str">
        <f>Q27</f>
        <v>楼层</v>
      </c>
      <c r="AA27" s="1810">
        <f t="shared" si="3"/>
        <v>1</v>
      </c>
      <c r="AB27" s="1810">
        <f t="shared" si="4"/>
        <v>1</v>
      </c>
      <c r="AC27" s="2671">
        <f t="shared" si="5"/>
        <v>1</v>
      </c>
    </row>
    <row r="28" spans="1:29" s="117" customFormat="1" ht="15">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269"/>
      <c r="Q28" s="1794" t="str">
        <f t="shared" si="11"/>
        <v>朝向</v>
      </c>
      <c r="R28" s="770" t="s">
        <v>17</v>
      </c>
      <c r="S28" s="771">
        <f>F28</f>
        <v>100</v>
      </c>
      <c r="T28" s="770" t="s">
        <v>17</v>
      </c>
      <c r="U28" s="771">
        <f>H28</f>
        <v>100</v>
      </c>
      <c r="V28" s="770" t="s">
        <v>17</v>
      </c>
      <c r="W28" s="771">
        <f>J28</f>
        <v>100</v>
      </c>
      <c r="X28" s="772"/>
      <c r="Y28" s="3262"/>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269"/>
      <c r="Q29" s="1809">
        <f t="shared" si="11"/>
        <v>111</v>
      </c>
      <c r="R29" s="774" t="s">
        <v>17</v>
      </c>
      <c r="S29" s="775">
        <f t="shared" ref="S29:S47" si="12">F29</f>
        <v>100</v>
      </c>
      <c r="T29" s="774" t="s">
        <v>17</v>
      </c>
      <c r="U29" s="775">
        <f t="shared" ref="U29:U47" si="13">H29</f>
        <v>100</v>
      </c>
      <c r="V29" s="774" t="s">
        <v>17</v>
      </c>
      <c r="W29" s="775">
        <f t="shared" ref="W29:W47" si="14">J29</f>
        <v>100</v>
      </c>
      <c r="X29" s="1812"/>
      <c r="Y29" s="3262"/>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269"/>
      <c r="Q30" s="1809">
        <f t="shared" si="11"/>
        <v>111</v>
      </c>
      <c r="R30" s="774" t="s">
        <v>17</v>
      </c>
      <c r="S30" s="775">
        <f t="shared" si="12"/>
        <v>100</v>
      </c>
      <c r="T30" s="774" t="s">
        <v>17</v>
      </c>
      <c r="U30" s="775">
        <f t="shared" si="13"/>
        <v>100</v>
      </c>
      <c r="V30" s="774" t="s">
        <v>17</v>
      </c>
      <c r="W30" s="775">
        <f t="shared" si="14"/>
        <v>100</v>
      </c>
      <c r="X30" s="1812"/>
      <c r="Y30" s="3262"/>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269"/>
      <c r="Q31" s="1809">
        <f t="shared" si="11"/>
        <v>111</v>
      </c>
      <c r="R31" s="774" t="s">
        <v>17</v>
      </c>
      <c r="S31" s="775">
        <f t="shared" si="12"/>
        <v>100</v>
      </c>
      <c r="T31" s="774" t="s">
        <v>17</v>
      </c>
      <c r="U31" s="775">
        <f t="shared" si="13"/>
        <v>100</v>
      </c>
      <c r="V31" s="774" t="s">
        <v>17</v>
      </c>
      <c r="W31" s="775">
        <f t="shared" si="14"/>
        <v>100</v>
      </c>
      <c r="X31" s="1812"/>
      <c r="Y31" s="3262"/>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269"/>
      <c r="Q32" s="1809">
        <f t="shared" si="11"/>
        <v>111</v>
      </c>
      <c r="R32" s="774" t="s">
        <v>17</v>
      </c>
      <c r="S32" s="775">
        <f t="shared" si="12"/>
        <v>100</v>
      </c>
      <c r="T32" s="774" t="s">
        <v>17</v>
      </c>
      <c r="U32" s="775">
        <f t="shared" si="13"/>
        <v>100</v>
      </c>
      <c r="V32" s="774" t="s">
        <v>17</v>
      </c>
      <c r="W32" s="775">
        <f t="shared" si="14"/>
        <v>100</v>
      </c>
      <c r="X32" s="1812"/>
      <c r="Y32" s="3262"/>
      <c r="Z32" s="1813">
        <f t="shared" si="15"/>
        <v>111</v>
      </c>
      <c r="AA32" s="1810">
        <f t="shared" si="3"/>
        <v>1</v>
      </c>
      <c r="AB32" s="1810">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9"/>
      <c r="M33" s="1130"/>
      <c r="N33" s="1130"/>
      <c r="O33" s="1130"/>
      <c r="P33" s="3263" t="s">
        <v>2561</v>
      </c>
      <c r="Q33" s="1809" t="str">
        <f t="shared" si="11"/>
        <v>建筑类型</v>
      </c>
      <c r="R33" s="774" t="s">
        <v>17</v>
      </c>
      <c r="S33" s="775">
        <f t="shared" si="12"/>
        <v>100</v>
      </c>
      <c r="T33" s="774" t="s">
        <v>17</v>
      </c>
      <c r="U33" s="775">
        <f t="shared" si="13"/>
        <v>100</v>
      </c>
      <c r="V33" s="774" t="s">
        <v>17</v>
      </c>
      <c r="W33" s="775">
        <f t="shared" si="14"/>
        <v>100</v>
      </c>
      <c r="X33" s="1812"/>
      <c r="Y33" s="3266" t="s">
        <v>2561</v>
      </c>
      <c r="Z33" s="1813" t="str">
        <f t="shared" si="15"/>
        <v>建筑类型</v>
      </c>
      <c r="AA33" s="1810">
        <f t="shared" si="3"/>
        <v>1</v>
      </c>
      <c r="AB33" s="1810">
        <f t="shared" si="4"/>
        <v>1</v>
      </c>
      <c r="AC33" s="2671">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64"/>
      <c r="Q34" s="776" t="str">
        <f t="shared" si="11"/>
        <v>项目建筑规模</v>
      </c>
      <c r="R34" s="777" t="s">
        <v>17</v>
      </c>
      <c r="S34" s="778" t="e">
        <f t="shared" si="12"/>
        <v>#N/A</v>
      </c>
      <c r="T34" s="777" t="s">
        <v>17</v>
      </c>
      <c r="U34" s="778" t="e">
        <f t="shared" si="13"/>
        <v>#N/A</v>
      </c>
      <c r="V34" s="777" t="s">
        <v>17</v>
      </c>
      <c r="W34" s="778" t="e">
        <f t="shared" si="14"/>
        <v>#N/A</v>
      </c>
      <c r="X34" s="779"/>
      <c r="Y34" s="3266"/>
      <c r="Z34" s="780" t="str">
        <f t="shared" si="15"/>
        <v>项目建筑规模</v>
      </c>
      <c r="AA34" s="1810" t="e">
        <f t="shared" si="3"/>
        <v>#N/A</v>
      </c>
      <c r="AB34" s="1810" t="e">
        <f t="shared" si="4"/>
        <v>#N/A</v>
      </c>
      <c r="AC34" s="2671"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64"/>
      <c r="Q35" s="1809" t="str">
        <f t="shared" si="11"/>
        <v>建筑结构</v>
      </c>
      <c r="R35" s="774" t="s">
        <v>17</v>
      </c>
      <c r="S35" s="775">
        <f t="shared" si="12"/>
        <v>100</v>
      </c>
      <c r="T35" s="774" t="s">
        <v>17</v>
      </c>
      <c r="U35" s="775">
        <f t="shared" si="13"/>
        <v>100</v>
      </c>
      <c r="V35" s="774" t="s">
        <v>17</v>
      </c>
      <c r="W35" s="775">
        <f t="shared" si="14"/>
        <v>100</v>
      </c>
      <c r="X35" s="1812"/>
      <c r="Y35" s="3266"/>
      <c r="Z35" s="1813" t="str">
        <f t="shared" si="15"/>
        <v>建筑结构</v>
      </c>
      <c r="AA35" s="1810">
        <f t="shared" si="3"/>
        <v>1</v>
      </c>
      <c r="AB35" s="1810">
        <f t="shared" si="4"/>
        <v>1</v>
      </c>
      <c r="AC35" s="267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64"/>
      <c r="Q36" s="1809" t="str">
        <f t="shared" si="11"/>
        <v>公共部分装修</v>
      </c>
      <c r="R36" s="774" t="s">
        <v>17</v>
      </c>
      <c r="S36" s="775">
        <f t="shared" si="12"/>
        <v>100</v>
      </c>
      <c r="T36" s="774" t="s">
        <v>17</v>
      </c>
      <c r="U36" s="775">
        <f t="shared" si="13"/>
        <v>100</v>
      </c>
      <c r="V36" s="774" t="s">
        <v>17</v>
      </c>
      <c r="W36" s="775">
        <f t="shared" si="14"/>
        <v>100</v>
      </c>
      <c r="X36" s="1812"/>
      <c r="Y36" s="3266"/>
      <c r="Z36" s="1813" t="str">
        <f t="shared" si="15"/>
        <v>公共部分装修</v>
      </c>
      <c r="AA36" s="1810">
        <f t="shared" si="3"/>
        <v>1</v>
      </c>
      <c r="AB36" s="1810">
        <f t="shared" si="4"/>
        <v>1</v>
      </c>
      <c r="AC36" s="2671">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64"/>
      <c r="Q37" s="1809" t="str">
        <f t="shared" si="11"/>
        <v>成新度</v>
      </c>
      <c r="R37" s="774" t="s">
        <v>17</v>
      </c>
      <c r="S37" s="775" t="e">
        <f t="shared" si="12"/>
        <v>#N/A</v>
      </c>
      <c r="T37" s="774" t="s">
        <v>17</v>
      </c>
      <c r="U37" s="775" t="e">
        <f t="shared" si="13"/>
        <v>#N/A</v>
      </c>
      <c r="V37" s="774" t="s">
        <v>17</v>
      </c>
      <c r="W37" s="775" t="e">
        <f t="shared" si="14"/>
        <v>#N/A</v>
      </c>
      <c r="X37" s="1812"/>
      <c r="Y37" s="3266"/>
      <c r="Z37" s="1813" t="str">
        <f t="shared" si="15"/>
        <v>成新度</v>
      </c>
      <c r="AA37" s="1810" t="e">
        <f t="shared" si="3"/>
        <v>#N/A</v>
      </c>
      <c r="AB37" s="1810" t="e">
        <f t="shared" si="4"/>
        <v>#N/A</v>
      </c>
      <c r="AC37" s="2671"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64"/>
      <c r="Q38" s="1794" t="str">
        <f t="shared" si="11"/>
        <v>写字楼等级</v>
      </c>
      <c r="R38" s="770" t="s">
        <v>17</v>
      </c>
      <c r="S38" s="771">
        <f t="shared" si="12"/>
        <v>100</v>
      </c>
      <c r="T38" s="770" t="s">
        <v>17</v>
      </c>
      <c r="U38" s="771">
        <f t="shared" si="13"/>
        <v>100</v>
      </c>
      <c r="V38" s="770" t="s">
        <v>17</v>
      </c>
      <c r="W38" s="771">
        <f t="shared" si="14"/>
        <v>100</v>
      </c>
      <c r="X38" s="772"/>
      <c r="Y38" s="3266"/>
      <c r="Z38" s="55" t="str">
        <f t="shared" si="15"/>
        <v>写字楼等级</v>
      </c>
      <c r="AA38" s="773">
        <f t="shared" si="3"/>
        <v>1</v>
      </c>
      <c r="AB38" s="773">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64" t="s">
        <v>2561</v>
      </c>
      <c r="Q39" s="1809" t="str">
        <f t="shared" si="11"/>
        <v>物业管理</v>
      </c>
      <c r="R39" s="774" t="s">
        <v>17</v>
      </c>
      <c r="S39" s="775">
        <f t="shared" si="12"/>
        <v>100</v>
      </c>
      <c r="T39" s="774" t="s">
        <v>17</v>
      </c>
      <c r="U39" s="775">
        <f t="shared" si="13"/>
        <v>100</v>
      </c>
      <c r="V39" s="774" t="s">
        <v>17</v>
      </c>
      <c r="W39" s="775">
        <f t="shared" si="14"/>
        <v>100</v>
      </c>
      <c r="X39" s="1812"/>
      <c r="Y39" s="3266" t="s">
        <v>2561</v>
      </c>
      <c r="Z39" s="1813" t="str">
        <f t="shared" si="15"/>
        <v>物业管理</v>
      </c>
      <c r="AA39" s="1810">
        <f t="shared" si="3"/>
        <v>1</v>
      </c>
      <c r="AB39" s="1810">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64"/>
      <c r="Q40" s="1809" t="str">
        <f t="shared" si="11"/>
        <v>市政基础设施</v>
      </c>
      <c r="R40" s="774" t="s">
        <v>17</v>
      </c>
      <c r="S40" s="775">
        <f t="shared" si="12"/>
        <v>100</v>
      </c>
      <c r="T40" s="774" t="s">
        <v>17</v>
      </c>
      <c r="U40" s="775">
        <f t="shared" si="13"/>
        <v>100</v>
      </c>
      <c r="V40" s="774" t="s">
        <v>17</v>
      </c>
      <c r="W40" s="775">
        <f t="shared" si="14"/>
        <v>100</v>
      </c>
      <c r="X40" s="1812"/>
      <c r="Y40" s="3266"/>
      <c r="Z40" s="1813" t="str">
        <f t="shared" si="15"/>
        <v>市政基础设施</v>
      </c>
      <c r="AA40" s="1810">
        <f t="shared" si="3"/>
        <v>1</v>
      </c>
      <c r="AB40" s="1810">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64"/>
      <c r="Q41" s="1809" t="str">
        <f t="shared" si="11"/>
        <v>层高</v>
      </c>
      <c r="R41" s="774" t="s">
        <v>17</v>
      </c>
      <c r="S41" s="775">
        <f t="shared" si="12"/>
        <v>100</v>
      </c>
      <c r="T41" s="774" t="s">
        <v>17</v>
      </c>
      <c r="U41" s="775">
        <f t="shared" si="13"/>
        <v>100</v>
      </c>
      <c r="V41" s="774" t="s">
        <v>17</v>
      </c>
      <c r="W41" s="775">
        <f t="shared" si="14"/>
        <v>100</v>
      </c>
      <c r="X41" s="1812"/>
      <c r="Y41" s="3266"/>
      <c r="Z41" s="1813" t="str">
        <f t="shared" si="15"/>
        <v>层高</v>
      </c>
      <c r="AA41" s="1810">
        <f t="shared" si="3"/>
        <v>1</v>
      </c>
      <c r="AB41" s="1810">
        <f t="shared" si="4"/>
        <v>1</v>
      </c>
      <c r="AC41" s="2671">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4"/>
      <c r="Q42" s="776" t="str">
        <f t="shared" si="11"/>
        <v>单套建筑面积</v>
      </c>
      <c r="R42" s="777" t="s">
        <v>17</v>
      </c>
      <c r="S42" s="778">
        <f t="shared" si="12"/>
        <v>100</v>
      </c>
      <c r="T42" s="777" t="s">
        <v>17</v>
      </c>
      <c r="U42" s="778">
        <f t="shared" si="13"/>
        <v>100</v>
      </c>
      <c r="V42" s="777" t="s">
        <v>17</v>
      </c>
      <c r="W42" s="778">
        <f t="shared" si="14"/>
        <v>100</v>
      </c>
      <c r="X42" s="779"/>
      <c r="Y42" s="3266"/>
      <c r="Z42" s="780" t="str">
        <f t="shared" si="15"/>
        <v>单套建筑面积</v>
      </c>
      <c r="AA42" s="1810">
        <f t="shared" si="3"/>
        <v>1</v>
      </c>
      <c r="AB42" s="1810">
        <f t="shared" si="4"/>
        <v>1</v>
      </c>
      <c r="AC42" s="267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64"/>
      <c r="Q43" s="1809" t="str">
        <f t="shared" si="11"/>
        <v>内部装修</v>
      </c>
      <c r="R43" s="774" t="s">
        <v>17</v>
      </c>
      <c r="S43" s="775">
        <f t="shared" si="12"/>
        <v>100</v>
      </c>
      <c r="T43" s="774" t="s">
        <v>17</v>
      </c>
      <c r="U43" s="775">
        <f t="shared" si="13"/>
        <v>100</v>
      </c>
      <c r="V43" s="774" t="s">
        <v>17</v>
      </c>
      <c r="W43" s="775">
        <f t="shared" si="14"/>
        <v>100</v>
      </c>
      <c r="X43" s="1812"/>
      <c r="Y43" s="3266"/>
      <c r="Z43" s="1813" t="str">
        <f t="shared" si="15"/>
        <v>内部装修</v>
      </c>
      <c r="AA43" s="1810">
        <f t="shared" si="3"/>
        <v>1</v>
      </c>
      <c r="AB43" s="1810">
        <f t="shared" si="4"/>
        <v>1</v>
      </c>
      <c r="AC43" s="2671">
        <f t="shared" si="5"/>
        <v>1</v>
      </c>
    </row>
    <row r="44" spans="1:29" ht="15">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9"/>
      <c r="M44" s="1130"/>
      <c r="N44" s="1130"/>
      <c r="O44" s="1130"/>
      <c r="P44" s="3264"/>
      <c r="Q44" s="1809" t="str">
        <f t="shared" si="11"/>
        <v>内部装修维护情况</v>
      </c>
      <c r="R44" s="774" t="s">
        <v>17</v>
      </c>
      <c r="S44" s="775">
        <f t="shared" si="12"/>
        <v>100</v>
      </c>
      <c r="T44" s="774" t="s">
        <v>17</v>
      </c>
      <c r="U44" s="775">
        <f t="shared" si="13"/>
        <v>100</v>
      </c>
      <c r="V44" s="774" t="s">
        <v>17</v>
      </c>
      <c r="W44" s="775">
        <f t="shared" si="14"/>
        <v>100</v>
      </c>
      <c r="X44" s="1812"/>
      <c r="Y44" s="3266"/>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4"/>
      <c r="Q45" s="1794">
        <f t="shared" si="11"/>
        <v>111</v>
      </c>
      <c r="R45" s="770" t="s">
        <v>17</v>
      </c>
      <c r="S45" s="771">
        <f t="shared" si="12"/>
        <v>100</v>
      </c>
      <c r="T45" s="770" t="s">
        <v>17</v>
      </c>
      <c r="U45" s="771">
        <f t="shared" si="13"/>
        <v>100</v>
      </c>
      <c r="V45" s="770" t="s">
        <v>17</v>
      </c>
      <c r="W45" s="771">
        <f t="shared" si="14"/>
        <v>100</v>
      </c>
      <c r="X45" s="772"/>
      <c r="Y45" s="3266"/>
      <c r="Z45" s="55">
        <f t="shared" si="15"/>
        <v>111</v>
      </c>
      <c r="AA45" s="773">
        <f t="shared" si="3"/>
        <v>1</v>
      </c>
      <c r="AB45" s="773">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4"/>
      <c r="Q46" s="1809">
        <f t="shared" si="11"/>
        <v>111</v>
      </c>
      <c r="R46" s="774" t="s">
        <v>17</v>
      </c>
      <c r="S46" s="775">
        <f t="shared" si="12"/>
        <v>100</v>
      </c>
      <c r="T46" s="774" t="s">
        <v>17</v>
      </c>
      <c r="U46" s="775">
        <f t="shared" si="13"/>
        <v>100</v>
      </c>
      <c r="V46" s="774" t="s">
        <v>17</v>
      </c>
      <c r="W46" s="775">
        <f t="shared" si="14"/>
        <v>100</v>
      </c>
      <c r="X46" s="1812"/>
      <c r="Y46" s="3266"/>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5"/>
      <c r="Q47" s="1809">
        <f t="shared" si="11"/>
        <v>111</v>
      </c>
      <c r="R47" s="774" t="s">
        <v>17</v>
      </c>
      <c r="S47" s="775">
        <f t="shared" si="12"/>
        <v>100</v>
      </c>
      <c r="T47" s="774" t="s">
        <v>17</v>
      </c>
      <c r="U47" s="775">
        <f t="shared" si="13"/>
        <v>100</v>
      </c>
      <c r="V47" s="774" t="s">
        <v>17</v>
      </c>
      <c r="W47" s="775">
        <f t="shared" si="14"/>
        <v>100</v>
      </c>
      <c r="X47" s="1812"/>
      <c r="Y47" s="3267"/>
      <c r="Z47" s="1813">
        <f t="shared" si="15"/>
        <v>111</v>
      </c>
      <c r="AA47" s="1810">
        <f t="shared" si="3"/>
        <v>1</v>
      </c>
      <c r="AB47" s="1810">
        <f t="shared" si="4"/>
        <v>1</v>
      </c>
      <c r="AC47" s="2671">
        <f t="shared" si="5"/>
        <v>1</v>
      </c>
    </row>
    <row r="48" spans="1:29" ht="15">
      <c r="A48" s="479" t="s">
        <v>2573</v>
      </c>
      <c r="B48" s="480"/>
      <c r="C48" s="1406" t="s">
        <v>1</v>
      </c>
      <c r="D48" s="1407"/>
      <c r="E48" s="1408"/>
      <c r="F48" s="1409"/>
      <c r="G48" s="1410"/>
      <c r="H48" s="1411"/>
      <c r="I48" s="1408"/>
      <c r="J48" s="485"/>
      <c r="K48" s="783"/>
      <c r="L48" s="1142"/>
      <c r="M48" s="1130"/>
      <c r="N48" s="1130"/>
      <c r="O48" s="1130"/>
      <c r="P48" s="3241" t="str">
        <f>A48</f>
        <v>成交单价（元/平方米）</v>
      </c>
      <c r="Q48" s="3259"/>
      <c r="R48" s="3260">
        <f>E48</f>
        <v>0</v>
      </c>
      <c r="S48" s="3260"/>
      <c r="T48" s="3260">
        <f>G48</f>
        <v>0</v>
      </c>
      <c r="U48" s="3260"/>
      <c r="V48" s="3260">
        <f>I48</f>
        <v>0</v>
      </c>
      <c r="W48" s="3260"/>
      <c r="X48" s="446"/>
      <c r="Y48" s="781"/>
      <c r="Z48" s="446"/>
      <c r="AA48" s="446"/>
      <c r="AB48" s="446"/>
      <c r="AC48" s="630"/>
    </row>
    <row r="49" spans="1:29" ht="15.75" thickBot="1">
      <c r="A49" s="486" t="s">
        <v>2665</v>
      </c>
      <c r="B49" s="487"/>
      <c r="C49" s="1412" t="e">
        <f>R50</f>
        <v>#DIV/0!</v>
      </c>
      <c r="D49" s="1413"/>
      <c r="E49" s="1414" t="e">
        <f>R49</f>
        <v>#DIV/0!</v>
      </c>
      <c r="F49" s="1414"/>
      <c r="G49" s="1412" t="e">
        <f>T49</f>
        <v>#DIV/0!</v>
      </c>
      <c r="H49" s="1413"/>
      <c r="I49" s="1414" t="e">
        <f>V49</f>
        <v>#DIV/0!</v>
      </c>
      <c r="J49" s="489"/>
      <c r="K49" s="784"/>
      <c r="L49" s="1142"/>
      <c r="M49" s="1130"/>
      <c r="N49" s="1130"/>
      <c r="O49" s="1130"/>
      <c r="P49" s="3241"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2666</v>
      </c>
      <c r="B50" s="493"/>
      <c r="C50" s="1416" t="e">
        <f>R50</f>
        <v>#DIV/0!</v>
      </c>
      <c r="D50" s="1416"/>
      <c r="E50" s="1416"/>
      <c r="F50" s="1416"/>
      <c r="G50" s="1416"/>
      <c r="H50" s="1416"/>
      <c r="I50" s="1416"/>
      <c r="J50" s="494"/>
      <c r="K50" s="785"/>
      <c r="L50" s="1142"/>
      <c r="M50" s="1130"/>
      <c r="N50" s="1130"/>
      <c r="O50" s="1130"/>
      <c r="P50" s="3284" t="str">
        <f>A50</f>
        <v>估价对象XX用房的比较价值（楼面单价，元/平方米）</v>
      </c>
      <c r="Q50" s="3285"/>
      <c r="R50" s="3286" t="e">
        <f>IF(F1="售价",ROUND(AVERAGE(R49:V49),0),ROUND(AVERAGE(R49:V49),1))</f>
        <v>#DIV/0!</v>
      </c>
      <c r="S50" s="3286"/>
      <c r="T50" s="3286"/>
      <c r="U50" s="3286"/>
      <c r="V50" s="3286"/>
      <c r="W50" s="3286"/>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3" t="s">
        <v>2670</v>
      </c>
      <c r="B58" s="759"/>
      <c r="C58" s="764"/>
      <c r="D58" s="764"/>
      <c r="E58" s="764"/>
      <c r="F58" s="765"/>
      <c r="G58" s="765"/>
      <c r="H58" s="764"/>
      <c r="I58" s="764"/>
      <c r="J58" s="764"/>
      <c r="K58" s="766"/>
      <c r="L58" s="1160"/>
      <c r="M58" s="1158"/>
      <c r="N58" s="1158"/>
      <c r="O58" s="1158"/>
      <c r="P58" s="2678"/>
      <c r="Q58" s="504"/>
    </row>
    <row r="59" spans="1:29" s="508" customFormat="1" ht="15">
      <c r="A59" s="505" t="s">
        <v>2544</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2581</v>
      </c>
      <c r="B61" s="516"/>
      <c r="C61" s="517"/>
      <c r="D61" s="518"/>
      <c r="E61" s="518"/>
      <c r="F61" s="518"/>
      <c r="G61" s="518"/>
      <c r="H61" s="518"/>
      <c r="I61" s="518"/>
      <c r="J61" s="518"/>
      <c r="K61" s="518"/>
      <c r="L61" s="518"/>
      <c r="M61" s="519"/>
      <c r="N61" s="518"/>
      <c r="O61" s="519"/>
      <c r="P61" s="2679"/>
      <c r="Q61" s="504"/>
    </row>
    <row r="62" spans="1:29" s="117" customFormat="1" ht="15">
      <c r="A62" s="521" t="s">
        <v>2546</v>
      </c>
      <c r="B62" s="510"/>
      <c r="C62" s="522" t="s">
        <v>2648</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2584</v>
      </c>
      <c r="B64" s="528" t="s">
        <v>2550</v>
      </c>
      <c r="C64" s="529">
        <f>C9</f>
        <v>0</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1"/>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c r="D69" s="549"/>
      <c r="E69" s="549"/>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1"/>
      <c r="O77" s="1151"/>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1"/>
      <c r="O79" s="1151"/>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1"/>
      <c r="O81" s="1151"/>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1"/>
      <c r="Q82" s="504"/>
    </row>
    <row r="83" spans="1:17" ht="15.75" thickTop="1">
      <c r="A83" s="534"/>
      <c r="B83" s="546" t="s">
        <v>2685</v>
      </c>
      <c r="C83" s="660" t="s">
        <v>2671</v>
      </c>
      <c r="D83" s="660" t="s">
        <v>2672</v>
      </c>
      <c r="E83" s="660" t="s">
        <v>2673</v>
      </c>
      <c r="F83" s="660" t="s">
        <v>2674</v>
      </c>
      <c r="G83" s="660" t="s">
        <v>2675</v>
      </c>
      <c r="H83" s="539"/>
      <c r="I83" s="539"/>
      <c r="J83" s="539"/>
      <c r="K83" s="539"/>
      <c r="L83" s="539"/>
      <c r="M83" s="1381"/>
      <c r="N83" s="1152"/>
      <c r="O83" s="1152"/>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1"/>
      <c r="O85" s="1151"/>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1"/>
      <c r="Q86" s="504"/>
    </row>
    <row r="87" spans="1:17" s="117" customFormat="1" ht="27.75" thickTop="1">
      <c r="A87" s="579"/>
      <c r="B87" s="538" t="s">
        <v>2695</v>
      </c>
      <c r="C87" s="554"/>
      <c r="D87" s="554"/>
      <c r="E87" s="554"/>
      <c r="F87" s="554"/>
      <c r="G87" s="554"/>
      <c r="H87" s="554"/>
      <c r="I87" s="554"/>
      <c r="J87" s="554"/>
      <c r="K87" s="554"/>
      <c r="L87" s="580"/>
      <c r="M87" s="581"/>
      <c r="N87" s="1150"/>
      <c r="O87" s="1150"/>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1"/>
      <c r="Q88" s="504"/>
    </row>
    <row r="89" spans="1:17" s="117" customFormat="1" ht="15.75" thickTop="1">
      <c r="A89" s="579"/>
      <c r="B89" s="538" t="str">
        <f>B27</f>
        <v>楼层</v>
      </c>
      <c r="C89" s="554"/>
      <c r="D89" s="554"/>
      <c r="E89" s="554"/>
      <c r="F89" s="2632"/>
      <c r="G89" s="554"/>
      <c r="H89" s="554"/>
      <c r="I89" s="554"/>
      <c r="J89" s="554"/>
      <c r="K89" s="554"/>
      <c r="L89" s="554"/>
      <c r="M89" s="581"/>
      <c r="N89" s="1150"/>
      <c r="O89" s="1150"/>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f>B29</f>
        <v>111</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111</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111</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111</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2559</v>
      </c>
      <c r="B101" s="528" t="s">
        <v>2608</v>
      </c>
      <c r="C101" s="530"/>
      <c r="D101" s="530"/>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1"/>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2"/>
      <c r="Q105" s="559"/>
    </row>
    <row r="106" spans="1:17" ht="15" thickTop="1">
      <c r="A106" s="599"/>
      <c r="B106" s="538" t="s">
        <v>2610</v>
      </c>
      <c r="C106" s="554"/>
      <c r="D106" s="554"/>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1"/>
      <c r="Q107" s="504"/>
    </row>
    <row r="108" spans="1:17" ht="15" thickTop="1">
      <c r="A108" s="599"/>
      <c r="B108" s="538" t="s">
        <v>2612</v>
      </c>
      <c r="C108" s="554"/>
      <c r="D108" s="554"/>
      <c r="E108" s="554"/>
      <c r="F108" s="583"/>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1"/>
      <c r="Q112" s="504"/>
    </row>
    <row r="113" spans="1:17" s="471" customFormat="1" ht="15" thickTop="1">
      <c r="A113" s="593"/>
      <c r="B113" s="538" t="s">
        <v>2696</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2613</v>
      </c>
      <c r="C115" s="554"/>
      <c r="D115" s="554"/>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1"/>
      <c r="Q116" s="504"/>
    </row>
    <row r="117" spans="1:17" ht="15" thickTop="1">
      <c r="A117" s="599"/>
      <c r="B117" s="538" t="s">
        <v>2614</v>
      </c>
      <c r="C117" s="554"/>
      <c r="D117" s="554"/>
      <c r="E117" s="554"/>
      <c r="F117" s="554"/>
      <c r="G117" s="554"/>
      <c r="H117" s="583"/>
      <c r="I117" s="583"/>
      <c r="J117" s="583"/>
      <c r="K117" s="584"/>
      <c r="L117" s="585"/>
      <c r="M117" s="586"/>
      <c r="N117" s="1151"/>
      <c r="O117" s="1151"/>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1"/>
      <c r="Q118" s="504"/>
    </row>
    <row r="119" spans="1:17" ht="15" thickTop="1">
      <c r="A119" s="599"/>
      <c r="B119" s="636" t="s">
        <v>2697</v>
      </c>
      <c r="C119" s="583"/>
      <c r="D119" s="583"/>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1"/>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2616</v>
      </c>
      <c r="C123" s="554"/>
      <c r="D123" s="554"/>
      <c r="E123" s="554"/>
      <c r="F123" s="583"/>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6" t="s">
        <v>2698</v>
      </c>
      <c r="C1" s="1619" t="s">
        <v>2526</v>
      </c>
      <c r="D1" s="1620"/>
      <c r="E1" s="1629"/>
      <c r="F1" s="2581"/>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IF(C2="——",ROUND(C43*D3/10000,0),ROUND(C43*D3/10000,0)-D2)</f>
        <v>#DIV/0!</v>
      </c>
      <c r="C2" s="2583"/>
      <c r="D2" s="1123" t="e">
        <f ca="1">SUMIF(INDIRECT("'"&amp;F2&amp;"'"&amp;"!A:A"),"承租人权益价值",INDIRECT("'"&amp;F2&amp;"'"&amp;"!c:c"))</f>
        <v>#REF!</v>
      </c>
      <c r="E2" s="2584" t="s">
        <v>2324</v>
      </c>
      <c r="F2" s="2585"/>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631.32000000000005</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242" t="s">
        <v>2642</v>
      </c>
      <c r="D4" s="3243"/>
      <c r="E4" s="3244" t="s">
        <v>2643</v>
      </c>
      <c r="F4" s="3245"/>
      <c r="G4" s="3242" t="s">
        <v>2644</v>
      </c>
      <c r="H4" s="3243"/>
      <c r="I4" s="3242" t="s">
        <v>2645</v>
      </c>
      <c r="J4" s="3243"/>
      <c r="K4" s="610" t="s">
        <v>2646</v>
      </c>
      <c r="L4" s="1129"/>
      <c r="M4" s="1130"/>
      <c r="N4" s="1130"/>
      <c r="O4" s="1130"/>
      <c r="P4" s="3246" t="s">
        <v>2647</v>
      </c>
      <c r="Q4" s="3247"/>
      <c r="R4" s="3229" t="s">
        <v>2643</v>
      </c>
      <c r="S4" s="3230"/>
      <c r="T4" s="3229" t="s">
        <v>2644</v>
      </c>
      <c r="U4" s="3230"/>
      <c r="V4" s="3254" t="s">
        <v>2645</v>
      </c>
      <c r="W4" s="3254"/>
      <c r="X4" s="1812"/>
      <c r="Y4" s="3229" t="s">
        <v>2647</v>
      </c>
      <c r="Z4" s="3230"/>
      <c r="AA4" s="3224" t="s">
        <v>2643</v>
      </c>
      <c r="AB4" s="3225" t="s">
        <v>2644</v>
      </c>
      <c r="AC4" s="3224" t="s">
        <v>2645</v>
      </c>
    </row>
    <row r="5" spans="1:29" ht="15">
      <c r="A5" s="404"/>
      <c r="B5" s="405"/>
      <c r="C5" s="3235" t="s">
        <v>2538</v>
      </c>
      <c r="D5" s="3236"/>
      <c r="E5" s="3233" t="s">
        <v>2539</v>
      </c>
      <c r="F5" s="3234"/>
      <c r="G5" s="3235" t="s">
        <v>2540</v>
      </c>
      <c r="H5" s="3236"/>
      <c r="I5" s="3235" t="s">
        <v>2541</v>
      </c>
      <c r="J5" s="3236"/>
      <c r="K5" s="610"/>
      <c r="L5" s="1129"/>
      <c r="M5" s="1130"/>
      <c r="N5" s="1130"/>
      <c r="O5" s="1130"/>
      <c r="P5" s="3248"/>
      <c r="Q5" s="3249"/>
      <c r="R5" s="3231"/>
      <c r="S5" s="3232"/>
      <c r="T5" s="3231"/>
      <c r="U5" s="3232"/>
      <c r="V5" s="3254"/>
      <c r="W5" s="3254"/>
      <c r="X5" s="1812"/>
      <c r="Y5" s="3231"/>
      <c r="Z5" s="3232"/>
      <c r="AA5" s="3225"/>
      <c r="AB5" s="3225"/>
      <c r="AC5" s="3225"/>
    </row>
    <row r="6" spans="1:29" ht="15.75" thickBot="1">
      <c r="A6" s="406"/>
      <c r="B6" s="407"/>
      <c r="C6" s="3237" t="s">
        <v>2542</v>
      </c>
      <c r="D6" s="3238"/>
      <c r="E6" s="3239" t="s">
        <v>2542</v>
      </c>
      <c r="F6" s="3240"/>
      <c r="G6" s="3237" t="s">
        <v>2542</v>
      </c>
      <c r="H6" s="3238"/>
      <c r="I6" s="3237" t="s">
        <v>2542</v>
      </c>
      <c r="J6" s="3238"/>
      <c r="K6" s="610" t="s">
        <v>2543</v>
      </c>
      <c r="L6" s="1129"/>
      <c r="M6" s="1130"/>
      <c r="N6" s="1130"/>
      <c r="O6" s="1130"/>
      <c r="P6" s="3250"/>
      <c r="Q6" s="3251"/>
      <c r="R6" s="3231"/>
      <c r="S6" s="3232"/>
      <c r="T6" s="3252"/>
      <c r="U6" s="3253"/>
      <c r="V6" s="3254"/>
      <c r="W6" s="3254"/>
      <c r="X6" s="1812"/>
      <c r="Y6" s="3252"/>
      <c r="Z6" s="3253"/>
      <c r="AA6" s="3226"/>
      <c r="AB6" s="3226"/>
      <c r="AC6" s="3226"/>
    </row>
    <row r="7" spans="1:29" s="117" customFormat="1" ht="15.75" thickBot="1">
      <c r="A7" s="408" t="s">
        <v>2544</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7" t="s">
        <v>2545</v>
      </c>
      <c r="Q7" s="3255"/>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7" t="s">
        <v>2548</v>
      </c>
      <c r="Q8" s="3228"/>
      <c r="R8" s="770" t="s">
        <v>17</v>
      </c>
      <c r="S8" s="771">
        <f t="shared" si="0"/>
        <v>0</v>
      </c>
      <c r="T8" s="770" t="s">
        <v>17</v>
      </c>
      <c r="U8" s="771">
        <f t="shared" si="1"/>
        <v>0</v>
      </c>
      <c r="V8" s="770" t="s">
        <v>17</v>
      </c>
      <c r="W8" s="771">
        <f t="shared" si="2"/>
        <v>0</v>
      </c>
      <c r="X8" s="772"/>
      <c r="Y8" s="3227" t="s">
        <v>2548</v>
      </c>
      <c r="Z8" s="3228"/>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9" t="s">
        <v>2551</v>
      </c>
      <c r="Q9" s="1794" t="str">
        <f t="shared" ref="Q9:Q15" si="6">B9</f>
        <v>用途</v>
      </c>
      <c r="R9" s="770" t="s">
        <v>17</v>
      </c>
      <c r="S9" s="771">
        <f t="shared" si="0"/>
        <v>100</v>
      </c>
      <c r="T9" s="770" t="s">
        <v>17</v>
      </c>
      <c r="U9" s="771">
        <f t="shared" si="1"/>
        <v>100</v>
      </c>
      <c r="V9" s="770" t="s">
        <v>17</v>
      </c>
      <c r="W9" s="771">
        <f t="shared" si="2"/>
        <v>100</v>
      </c>
      <c r="X9" s="772"/>
      <c r="Y9" s="307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9"/>
      <c r="Q10" s="1794"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9"/>
      <c r="Q11" s="1794"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259"/>
      <c r="Q12" s="1794">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259"/>
      <c r="Q13" s="1794">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259"/>
      <c r="Q14" s="1794">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57">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61" t="s">
        <v>2556</v>
      </c>
      <c r="Q15" s="1809" t="str">
        <f t="shared" si="6"/>
        <v>产业集聚程度</v>
      </c>
      <c r="R15" s="774" t="s">
        <v>17</v>
      </c>
      <c r="S15" s="775">
        <f t="shared" si="0"/>
        <v>100</v>
      </c>
      <c r="T15" s="774" t="s">
        <v>17</v>
      </c>
      <c r="U15" s="775">
        <f t="shared" si="1"/>
        <v>100</v>
      </c>
      <c r="V15" s="774" t="s">
        <v>17</v>
      </c>
      <c r="W15" s="775">
        <f t="shared" si="2"/>
        <v>100</v>
      </c>
      <c r="X15" s="1812"/>
      <c r="Y15" s="3261"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62"/>
      <c r="Q16" s="1809"/>
      <c r="R16" s="774"/>
      <c r="S16" s="775"/>
      <c r="T16" s="774"/>
      <c r="U16" s="775"/>
      <c r="V16" s="774"/>
      <c r="W16" s="775"/>
      <c r="X16" s="1812"/>
      <c r="Y16" s="3262"/>
      <c r="Z16" s="1813"/>
      <c r="AA16" s="1810">
        <v>1</v>
      </c>
      <c r="AB16" s="1810">
        <v>1</v>
      </c>
      <c r="AC16" s="1810">
        <v>1</v>
      </c>
    </row>
    <row r="17" spans="1:29" ht="85.5">
      <c r="A17" s="428"/>
      <c r="B17" s="451" t="s">
        <v>2095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62"/>
      <c r="Q17" s="1809" t="str">
        <f>B17</f>
        <v>交通便捷度</v>
      </c>
      <c r="R17" s="774" t="s">
        <v>17</v>
      </c>
      <c r="S17" s="775">
        <f>F17</f>
        <v>100</v>
      </c>
      <c r="T17" s="774" t="s">
        <v>17</v>
      </c>
      <c r="U17" s="775">
        <f>H17</f>
        <v>100</v>
      </c>
      <c r="V17" s="774" t="s">
        <v>17</v>
      </c>
      <c r="W17" s="775">
        <f>J17</f>
        <v>100</v>
      </c>
      <c r="X17" s="1812"/>
      <c r="Y17" s="326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262"/>
      <c r="Q18" s="1809"/>
      <c r="R18" s="774"/>
      <c r="S18" s="775"/>
      <c r="T18" s="774"/>
      <c r="U18" s="775"/>
      <c r="V18" s="774"/>
      <c r="W18" s="775"/>
      <c r="X18" s="1812"/>
      <c r="Y18" s="3262"/>
      <c r="Z18" s="1813"/>
      <c r="AA18" s="1810">
        <v>1</v>
      </c>
      <c r="AB18" s="1810">
        <v>1</v>
      </c>
      <c r="AC18" s="1810">
        <v>1</v>
      </c>
    </row>
    <row r="19" spans="1:29" ht="42.75">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62"/>
      <c r="Q19" s="1809" t="str">
        <f>B19</f>
        <v>公共配套设施</v>
      </c>
      <c r="R19" s="774" t="s">
        <v>17</v>
      </c>
      <c r="S19" s="775">
        <f>F19</f>
        <v>100</v>
      </c>
      <c r="T19" s="774" t="s">
        <v>17</v>
      </c>
      <c r="U19" s="775">
        <f>H19</f>
        <v>100</v>
      </c>
      <c r="V19" s="774" t="s">
        <v>17</v>
      </c>
      <c r="W19" s="775">
        <f>J19</f>
        <v>100</v>
      </c>
      <c r="X19" s="1812"/>
      <c r="Y19" s="326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262"/>
      <c r="Q20" s="1809"/>
      <c r="R20" s="774"/>
      <c r="S20" s="775"/>
      <c r="T20" s="774"/>
      <c r="U20" s="775"/>
      <c r="V20" s="774"/>
      <c r="W20" s="775"/>
      <c r="X20" s="1812"/>
      <c r="Y20" s="3262"/>
      <c r="Z20" s="1813"/>
      <c r="AA20" s="1810">
        <v>1</v>
      </c>
      <c r="AB20" s="1810">
        <v>1</v>
      </c>
      <c r="AC20" s="1810">
        <v>1</v>
      </c>
    </row>
    <row r="21" spans="1:29" ht="28.5">
      <c r="A21" s="428"/>
      <c r="B21" s="1383"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62"/>
      <c r="Q21" s="1809" t="str">
        <f>B21</f>
        <v>基础设施水平</v>
      </c>
      <c r="R21" s="774" t="s">
        <v>17</v>
      </c>
      <c r="S21" s="775">
        <f>F21</f>
        <v>100</v>
      </c>
      <c r="T21" s="774" t="s">
        <v>17</v>
      </c>
      <c r="U21" s="775">
        <f>H21</f>
        <v>100</v>
      </c>
      <c r="V21" s="774" t="s">
        <v>17</v>
      </c>
      <c r="W21" s="775">
        <f>J21</f>
        <v>100</v>
      </c>
      <c r="X21" s="1812"/>
      <c r="Y21" s="326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262"/>
      <c r="Q22" s="1809"/>
      <c r="R22" s="774"/>
      <c r="S22" s="775"/>
      <c r="T22" s="774"/>
      <c r="U22" s="775"/>
      <c r="V22" s="774"/>
      <c r="W22" s="775"/>
      <c r="X22" s="1812"/>
      <c r="Y22" s="3262"/>
      <c r="Z22" s="1813"/>
      <c r="AA22" s="1810">
        <v>1</v>
      </c>
      <c r="AB22" s="1810">
        <v>1</v>
      </c>
      <c r="AC22" s="1810">
        <v>1</v>
      </c>
    </row>
    <row r="23" spans="1:29" ht="71.25">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62"/>
      <c r="Q23" s="1809" t="str">
        <f>B23</f>
        <v>环境质量</v>
      </c>
      <c r="R23" s="774" t="s">
        <v>17</v>
      </c>
      <c r="S23" s="775">
        <f>F23</f>
        <v>100</v>
      </c>
      <c r="T23" s="774" t="s">
        <v>17</v>
      </c>
      <c r="U23" s="775">
        <f>H23</f>
        <v>100</v>
      </c>
      <c r="V23" s="774" t="s">
        <v>17</v>
      </c>
      <c r="W23" s="775">
        <f>J23</f>
        <v>100</v>
      </c>
      <c r="X23" s="1812"/>
      <c r="Y23" s="3262"/>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262"/>
      <c r="Q24" s="1809"/>
      <c r="R24" s="774"/>
      <c r="S24" s="775"/>
      <c r="T24" s="774"/>
      <c r="U24" s="775"/>
      <c r="V24" s="774"/>
      <c r="W24" s="775"/>
      <c r="X24" s="1812"/>
      <c r="Y24" s="326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62"/>
      <c r="Q25" s="1809">
        <f>B25</f>
        <v>111</v>
      </c>
      <c r="R25" s="774" t="s">
        <v>17</v>
      </c>
      <c r="S25" s="775">
        <f>F25</f>
        <v>100</v>
      </c>
      <c r="T25" s="774" t="s">
        <v>17</v>
      </c>
      <c r="U25" s="775">
        <f>H25</f>
        <v>100</v>
      </c>
      <c r="V25" s="774" t="s">
        <v>17</v>
      </c>
      <c r="W25" s="775">
        <f>J25</f>
        <v>100</v>
      </c>
      <c r="X25" s="1812"/>
      <c r="Y25" s="326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62"/>
      <c r="Q26" s="1809">
        <f t="shared" ref="Q26:Q40" si="11">B26</f>
        <v>111</v>
      </c>
      <c r="R26" s="774" t="s">
        <v>17</v>
      </c>
      <c r="S26" s="775">
        <f>F26</f>
        <v>100</v>
      </c>
      <c r="T26" s="774" t="s">
        <v>17</v>
      </c>
      <c r="U26" s="775">
        <f>H26</f>
        <v>100</v>
      </c>
      <c r="V26" s="774" t="s">
        <v>17</v>
      </c>
      <c r="W26" s="775">
        <f>J26</f>
        <v>100</v>
      </c>
      <c r="X26" s="1812"/>
      <c r="Y26" s="326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62"/>
      <c r="Q27" s="1794">
        <f t="shared" si="11"/>
        <v>111</v>
      </c>
      <c r="R27" s="770" t="s">
        <v>17</v>
      </c>
      <c r="S27" s="771">
        <f>F27</f>
        <v>100</v>
      </c>
      <c r="T27" s="770" t="s">
        <v>17</v>
      </c>
      <c r="U27" s="771">
        <f>H27</f>
        <v>100</v>
      </c>
      <c r="V27" s="770" t="s">
        <v>17</v>
      </c>
      <c r="W27" s="771">
        <f>J27</f>
        <v>100</v>
      </c>
      <c r="X27" s="772"/>
      <c r="Y27" s="3262"/>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62"/>
      <c r="Q28" s="1809">
        <f t="shared" si="11"/>
        <v>111</v>
      </c>
      <c r="R28" s="774" t="s">
        <v>17</v>
      </c>
      <c r="S28" s="775">
        <f t="shared" ref="S28:S40" si="12">F28</f>
        <v>100</v>
      </c>
      <c r="T28" s="774" t="s">
        <v>17</v>
      </c>
      <c r="U28" s="775">
        <f t="shared" ref="U28:U40" si="13">H28</f>
        <v>100</v>
      </c>
      <c r="V28" s="774" t="s">
        <v>17</v>
      </c>
      <c r="W28" s="775">
        <f t="shared" ref="W28:W40" si="14">J28</f>
        <v>100</v>
      </c>
      <c r="X28" s="1812"/>
      <c r="Y28" s="3262"/>
      <c r="Z28" s="1813">
        <f t="shared" ref="Z28:Z40" si="15">Q28</f>
        <v>111</v>
      </c>
      <c r="AA28" s="1810">
        <f t="shared" si="3"/>
        <v>1</v>
      </c>
      <c r="AB28" s="1810">
        <f t="shared" si="4"/>
        <v>1</v>
      </c>
      <c r="AC28" s="1810">
        <f t="shared" si="5"/>
        <v>1</v>
      </c>
    </row>
    <row r="29" spans="1:29" ht="28.5">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287" t="s">
        <v>2561</v>
      </c>
      <c r="Q29" s="1809" t="str">
        <f t="shared" si="11"/>
        <v>建筑类型</v>
      </c>
      <c r="R29" s="774" t="s">
        <v>17</v>
      </c>
      <c r="S29" s="775">
        <f t="shared" si="12"/>
        <v>100</v>
      </c>
      <c r="T29" s="774" t="s">
        <v>17</v>
      </c>
      <c r="U29" s="775">
        <f t="shared" si="13"/>
        <v>100</v>
      </c>
      <c r="V29" s="774" t="s">
        <v>17</v>
      </c>
      <c r="W29" s="775">
        <f t="shared" si="14"/>
        <v>100</v>
      </c>
      <c r="X29" s="1812"/>
      <c r="Y29" s="3266"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6"/>
      <c r="Q30" s="776" t="str">
        <f t="shared" si="11"/>
        <v>项目建筑规模</v>
      </c>
      <c r="R30" s="777" t="s">
        <v>17</v>
      </c>
      <c r="S30" s="778" t="e">
        <f t="shared" si="12"/>
        <v>#N/A</v>
      </c>
      <c r="T30" s="777" t="s">
        <v>17</v>
      </c>
      <c r="U30" s="778" t="e">
        <f t="shared" si="13"/>
        <v>#N/A</v>
      </c>
      <c r="V30" s="777" t="s">
        <v>17</v>
      </c>
      <c r="W30" s="778" t="e">
        <f t="shared" si="14"/>
        <v>#N/A</v>
      </c>
      <c r="X30" s="779"/>
      <c r="Y30" s="3266"/>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6"/>
      <c r="Q31" s="1809" t="str">
        <f t="shared" si="11"/>
        <v>建筑结构</v>
      </c>
      <c r="R31" s="774" t="s">
        <v>17</v>
      </c>
      <c r="S31" s="775">
        <f t="shared" si="12"/>
        <v>100</v>
      </c>
      <c r="T31" s="774" t="s">
        <v>17</v>
      </c>
      <c r="U31" s="775">
        <f t="shared" si="13"/>
        <v>100</v>
      </c>
      <c r="V31" s="774" t="s">
        <v>17</v>
      </c>
      <c r="W31" s="775">
        <f t="shared" si="14"/>
        <v>100</v>
      </c>
      <c r="X31" s="1812"/>
      <c r="Y31" s="3266"/>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6"/>
      <c r="Q32" s="1809" t="str">
        <f t="shared" si="11"/>
        <v>公共部分装修</v>
      </c>
      <c r="R32" s="774" t="s">
        <v>17</v>
      </c>
      <c r="S32" s="775">
        <f t="shared" si="12"/>
        <v>100</v>
      </c>
      <c r="T32" s="774" t="s">
        <v>17</v>
      </c>
      <c r="U32" s="775">
        <f t="shared" si="13"/>
        <v>100</v>
      </c>
      <c r="V32" s="774" t="s">
        <v>17</v>
      </c>
      <c r="W32" s="775">
        <f t="shared" si="14"/>
        <v>100</v>
      </c>
      <c r="X32" s="1812"/>
      <c r="Y32" s="3266"/>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6"/>
      <c r="Q33" s="1809" t="str">
        <f t="shared" si="11"/>
        <v>成新度</v>
      </c>
      <c r="R33" s="774" t="s">
        <v>17</v>
      </c>
      <c r="S33" s="775" t="e">
        <f t="shared" si="12"/>
        <v>#N/A</v>
      </c>
      <c r="T33" s="774" t="s">
        <v>17</v>
      </c>
      <c r="U33" s="775" t="e">
        <f t="shared" si="13"/>
        <v>#N/A</v>
      </c>
      <c r="V33" s="774" t="s">
        <v>17</v>
      </c>
      <c r="W33" s="775" t="e">
        <f t="shared" si="14"/>
        <v>#N/A</v>
      </c>
      <c r="X33" s="1812"/>
      <c r="Y33" s="3266"/>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6"/>
      <c r="Q34" s="1794" t="str">
        <f t="shared" si="11"/>
        <v>物业管理</v>
      </c>
      <c r="R34" s="770" t="s">
        <v>17</v>
      </c>
      <c r="S34" s="771">
        <f t="shared" si="12"/>
        <v>100</v>
      </c>
      <c r="T34" s="770" t="s">
        <v>17</v>
      </c>
      <c r="U34" s="771">
        <f t="shared" si="13"/>
        <v>100</v>
      </c>
      <c r="V34" s="770" t="s">
        <v>17</v>
      </c>
      <c r="W34" s="771">
        <f t="shared" si="14"/>
        <v>100</v>
      </c>
      <c r="X34" s="772"/>
      <c r="Y34" s="3266"/>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6" t="s">
        <v>2561</v>
      </c>
      <c r="Q35" s="1809" t="str">
        <f t="shared" si="11"/>
        <v>市政基础设施</v>
      </c>
      <c r="R35" s="774" t="s">
        <v>17</v>
      </c>
      <c r="S35" s="775">
        <f t="shared" si="12"/>
        <v>100</v>
      </c>
      <c r="T35" s="774" t="s">
        <v>17</v>
      </c>
      <c r="U35" s="775">
        <f t="shared" si="13"/>
        <v>100</v>
      </c>
      <c r="V35" s="774" t="s">
        <v>17</v>
      </c>
      <c r="W35" s="775">
        <f t="shared" si="14"/>
        <v>100</v>
      </c>
      <c r="X35" s="1812"/>
      <c r="Y35" s="3266"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6"/>
      <c r="Q36" s="1809" t="str">
        <f t="shared" si="11"/>
        <v>内部装修</v>
      </c>
      <c r="R36" s="774" t="s">
        <v>17</v>
      </c>
      <c r="S36" s="775">
        <f t="shared" si="12"/>
        <v>100</v>
      </c>
      <c r="T36" s="774" t="s">
        <v>17</v>
      </c>
      <c r="U36" s="775">
        <f t="shared" si="13"/>
        <v>100</v>
      </c>
      <c r="V36" s="774" t="s">
        <v>17</v>
      </c>
      <c r="W36" s="775">
        <f t="shared" si="14"/>
        <v>100</v>
      </c>
      <c r="X36" s="1812"/>
      <c r="Y36" s="3266"/>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6"/>
      <c r="Q37" s="1809" t="str">
        <f t="shared" si="11"/>
        <v>内部装修状况</v>
      </c>
      <c r="R37" s="774" t="s">
        <v>17</v>
      </c>
      <c r="S37" s="775">
        <f t="shared" si="12"/>
        <v>100</v>
      </c>
      <c r="T37" s="774" t="s">
        <v>17</v>
      </c>
      <c r="U37" s="775">
        <f t="shared" si="13"/>
        <v>100</v>
      </c>
      <c r="V37" s="774" t="s">
        <v>17</v>
      </c>
      <c r="W37" s="775">
        <f t="shared" si="14"/>
        <v>100</v>
      </c>
      <c r="X37" s="1812"/>
      <c r="Y37" s="326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6"/>
      <c r="Q38" s="776">
        <f t="shared" si="11"/>
        <v>111</v>
      </c>
      <c r="R38" s="777" t="s">
        <v>17</v>
      </c>
      <c r="S38" s="778">
        <f t="shared" si="12"/>
        <v>100</v>
      </c>
      <c r="T38" s="777" t="s">
        <v>17</v>
      </c>
      <c r="U38" s="778">
        <f t="shared" si="13"/>
        <v>100</v>
      </c>
      <c r="V38" s="777" t="s">
        <v>17</v>
      </c>
      <c r="W38" s="778">
        <f t="shared" si="14"/>
        <v>100</v>
      </c>
      <c r="X38" s="779"/>
      <c r="Y38" s="3266"/>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6"/>
      <c r="Q39" s="1809">
        <f t="shared" si="11"/>
        <v>111</v>
      </c>
      <c r="R39" s="774" t="s">
        <v>17</v>
      </c>
      <c r="S39" s="775">
        <f t="shared" si="12"/>
        <v>100</v>
      </c>
      <c r="T39" s="774" t="s">
        <v>17</v>
      </c>
      <c r="U39" s="775">
        <f t="shared" si="13"/>
        <v>100</v>
      </c>
      <c r="V39" s="774" t="s">
        <v>17</v>
      </c>
      <c r="W39" s="775">
        <f t="shared" si="14"/>
        <v>100</v>
      </c>
      <c r="X39" s="1812"/>
      <c r="Y39" s="3266"/>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7"/>
      <c r="Q40" s="1809">
        <f t="shared" si="11"/>
        <v>111</v>
      </c>
      <c r="R40" s="774" t="s">
        <v>17</v>
      </c>
      <c r="S40" s="775">
        <f t="shared" si="12"/>
        <v>100</v>
      </c>
      <c r="T40" s="774" t="s">
        <v>17</v>
      </c>
      <c r="U40" s="775">
        <f t="shared" si="13"/>
        <v>100</v>
      </c>
      <c r="V40" s="774" t="s">
        <v>17</v>
      </c>
      <c r="W40" s="775">
        <f t="shared" si="14"/>
        <v>100</v>
      </c>
      <c r="X40" s="1812"/>
      <c r="Y40" s="3267"/>
      <c r="Z40" s="1813">
        <f t="shared" si="15"/>
        <v>111</v>
      </c>
      <c r="AA40" s="1810">
        <f t="shared" si="3"/>
        <v>1</v>
      </c>
      <c r="AB40" s="1810">
        <f t="shared" si="4"/>
        <v>1</v>
      </c>
      <c r="AC40" s="1810">
        <f t="shared" si="5"/>
        <v>1</v>
      </c>
    </row>
    <row r="41" spans="1:29" ht="15">
      <c r="A41" s="479" t="s">
        <v>2573</v>
      </c>
      <c r="B41" s="480"/>
      <c r="C41" s="1406" t="s">
        <v>1</v>
      </c>
      <c r="D41" s="1407"/>
      <c r="E41" s="1408"/>
      <c r="F41" s="1409"/>
      <c r="G41" s="1410"/>
      <c r="H41" s="1411"/>
      <c r="I41" s="1408"/>
      <c r="J41" s="1411"/>
      <c r="K41" s="783"/>
      <c r="L41" s="1142"/>
      <c r="M41" s="1143"/>
      <c r="N41" s="1130"/>
      <c r="O41" s="1143"/>
      <c r="P41" s="3259" t="str">
        <f>A41</f>
        <v>成交单价（元/平方米）</v>
      </c>
      <c r="Q41" s="3259"/>
      <c r="R41" s="3260">
        <f>E41</f>
        <v>0</v>
      </c>
      <c r="S41" s="3260"/>
      <c r="T41" s="3260">
        <f>G41</f>
        <v>0</v>
      </c>
      <c r="U41" s="3260"/>
      <c r="V41" s="3260">
        <f>I41</f>
        <v>0</v>
      </c>
      <c r="W41" s="3260"/>
      <c r="X41" s="759"/>
      <c r="Y41" s="781"/>
      <c r="Z41" s="759"/>
      <c r="AA41" s="759"/>
      <c r="AB41" s="759"/>
      <c r="AC41" s="759"/>
    </row>
    <row r="42" spans="1:29" ht="15.75" thickBot="1">
      <c r="A42" s="486" t="s">
        <v>2665</v>
      </c>
      <c r="B42" s="487"/>
      <c r="C42" s="1412" t="e">
        <f>R43</f>
        <v>#DIV/0!</v>
      </c>
      <c r="D42" s="1413"/>
      <c r="E42" s="1414" t="e">
        <f>R42</f>
        <v>#DIV/0!</v>
      </c>
      <c r="F42" s="1414"/>
      <c r="G42" s="1412" t="e">
        <f>T42</f>
        <v>#DIV/0!</v>
      </c>
      <c r="H42" s="1413"/>
      <c r="I42" s="1414" t="e">
        <f>V42</f>
        <v>#DIV/0!</v>
      </c>
      <c r="J42" s="1413"/>
      <c r="K42" s="784"/>
      <c r="L42" s="1142"/>
      <c r="M42" s="1143"/>
      <c r="N42" s="1130"/>
      <c r="O42" s="1143"/>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2666</v>
      </c>
      <c r="B43" s="493"/>
      <c r="C43" s="1416" t="e">
        <f>R43</f>
        <v>#DIV/0!</v>
      </c>
      <c r="D43" s="1416"/>
      <c r="E43" s="1416"/>
      <c r="F43" s="1416"/>
      <c r="G43" s="1416"/>
      <c r="H43" s="1416"/>
      <c r="I43" s="1416"/>
      <c r="J43" s="1416"/>
      <c r="K43" s="785"/>
      <c r="L43" s="1142"/>
      <c r="M43" s="1143"/>
      <c r="N43" s="1143"/>
      <c r="O43" s="1143"/>
      <c r="P43" s="3256" t="str">
        <f>A43</f>
        <v>估价对象XX用房的比较价值（楼面单价，元/平方米）</v>
      </c>
      <c r="Q43" s="3257"/>
      <c r="R43" s="3258" t="e">
        <f>IF(F1="售价",ROUND(AVERAGE(R42:V42),0),ROUND(AVERAGE(R42:V42),1))</f>
        <v>#DIV/0!</v>
      </c>
      <c r="S43" s="3258"/>
      <c r="T43" s="3258"/>
      <c r="U43" s="3258"/>
      <c r="V43" s="3258"/>
      <c r="W43" s="325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2670</v>
      </c>
      <c r="B51" s="759"/>
      <c r="C51" s="764"/>
      <c r="D51" s="764"/>
      <c r="E51" s="764"/>
      <c r="F51" s="765"/>
      <c r="G51" s="765"/>
      <c r="H51" s="764"/>
      <c r="I51" s="764"/>
      <c r="J51" s="764"/>
      <c r="K51" s="1159"/>
      <c r="L51" s="1160"/>
      <c r="M51" s="1158"/>
      <c r="N51" s="1158"/>
      <c r="O51" s="1158"/>
      <c r="P51" s="503"/>
      <c r="Q51" s="504"/>
    </row>
    <row r="52" spans="1:17" s="508" customFormat="1" ht="15">
      <c r="A52" s="505" t="s">
        <v>2544</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2584</v>
      </c>
      <c r="B57" s="528" t="s">
        <v>2550</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2559</v>
      </c>
      <c r="B88" s="528" t="s">
        <v>2608</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2610</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2612</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2613</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2614</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2616</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1"/>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7" t="e">
        <f ca="1">IF(C2="——",IF(B37="元/平方米",ROUND(C39*D3/10000,0),ROUND(F3*C39/10000,0)),IF(B37="元/平方米",ROUND(C39*D3/10000,0),ROUND(F3*C39/10000,0))-D2)</f>
        <v>#DIV/0!</v>
      </c>
      <c r="C2" s="2583"/>
      <c r="D2" s="1123" t="e">
        <f ca="1">SUMIF(INDIRECT("'"&amp;F2&amp;"'"&amp;"!A:A"),"承租人权益价值",INDIRECT("'"&amp;F2&amp;"'"&amp;"!c:c"))</f>
        <v>#REF!</v>
      </c>
      <c r="E2" s="2584" t="s">
        <v>2324</v>
      </c>
      <c r="F2" s="2585"/>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2641</v>
      </c>
      <c r="B4" s="402"/>
      <c r="C4" s="3242" t="s">
        <v>2642</v>
      </c>
      <c r="D4" s="3243"/>
      <c r="E4" s="3244" t="s">
        <v>2643</v>
      </c>
      <c r="F4" s="3245"/>
      <c r="G4" s="3242" t="s">
        <v>2644</v>
      </c>
      <c r="H4" s="3243"/>
      <c r="I4" s="3242" t="s">
        <v>2645</v>
      </c>
      <c r="J4" s="3243"/>
      <c r="K4" s="610" t="s">
        <v>2646</v>
      </c>
      <c r="L4" s="1129"/>
      <c r="M4" s="1130"/>
      <c r="N4" s="1130"/>
      <c r="O4" s="1130"/>
      <c r="P4" s="3246" t="s">
        <v>2647</v>
      </c>
      <c r="Q4" s="3247"/>
      <c r="R4" s="3229" t="s">
        <v>2643</v>
      </c>
      <c r="S4" s="3230"/>
      <c r="T4" s="3229" t="s">
        <v>2644</v>
      </c>
      <c r="U4" s="3230"/>
      <c r="V4" s="3254" t="s">
        <v>2645</v>
      </c>
      <c r="W4" s="3254"/>
      <c r="X4" s="1812"/>
      <c r="Y4" s="3229" t="s">
        <v>2647</v>
      </c>
      <c r="Z4" s="3230"/>
      <c r="AA4" s="3224" t="s">
        <v>2643</v>
      </c>
      <c r="AB4" s="3225" t="s">
        <v>2644</v>
      </c>
      <c r="AC4" s="3224" t="s">
        <v>2645</v>
      </c>
    </row>
    <row r="5" spans="1:29" ht="15">
      <c r="A5" s="404"/>
      <c r="B5" s="405"/>
      <c r="C5" s="3235" t="s">
        <v>2538</v>
      </c>
      <c r="D5" s="3236"/>
      <c r="E5" s="3233" t="s">
        <v>2539</v>
      </c>
      <c r="F5" s="3234"/>
      <c r="G5" s="3235" t="s">
        <v>2540</v>
      </c>
      <c r="H5" s="3236"/>
      <c r="I5" s="3235" t="s">
        <v>2541</v>
      </c>
      <c r="J5" s="3236"/>
      <c r="K5" s="610"/>
      <c r="L5" s="1129"/>
      <c r="M5" s="1130"/>
      <c r="N5" s="1130"/>
      <c r="O5" s="1130"/>
      <c r="P5" s="3248"/>
      <c r="Q5" s="3249"/>
      <c r="R5" s="3231"/>
      <c r="S5" s="3232"/>
      <c r="T5" s="3231"/>
      <c r="U5" s="3232"/>
      <c r="V5" s="3254"/>
      <c r="W5" s="3254"/>
      <c r="X5" s="1812"/>
      <c r="Y5" s="3231"/>
      <c r="Z5" s="3232"/>
      <c r="AA5" s="3225"/>
      <c r="AB5" s="3225"/>
      <c r="AC5" s="3225"/>
    </row>
    <row r="6" spans="1:29" ht="15.75" thickBot="1">
      <c r="A6" s="406"/>
      <c r="B6" s="407"/>
      <c r="C6" s="3237" t="s">
        <v>2542</v>
      </c>
      <c r="D6" s="3238"/>
      <c r="E6" s="3239" t="s">
        <v>2542</v>
      </c>
      <c r="F6" s="3240"/>
      <c r="G6" s="3237" t="s">
        <v>2542</v>
      </c>
      <c r="H6" s="3238"/>
      <c r="I6" s="3237" t="s">
        <v>2542</v>
      </c>
      <c r="J6" s="3238"/>
      <c r="K6" s="610" t="s">
        <v>2543</v>
      </c>
      <c r="L6" s="1129"/>
      <c r="M6" s="1130"/>
      <c r="N6" s="1130"/>
      <c r="O6" s="1130"/>
      <c r="P6" s="3250"/>
      <c r="Q6" s="3251"/>
      <c r="R6" s="3231"/>
      <c r="S6" s="3232"/>
      <c r="T6" s="3252"/>
      <c r="U6" s="3253"/>
      <c r="V6" s="3254"/>
      <c r="W6" s="3254"/>
      <c r="X6" s="1812"/>
      <c r="Y6" s="3252"/>
      <c r="Z6" s="3253"/>
      <c r="AA6" s="3226"/>
      <c r="AB6" s="3226"/>
      <c r="AC6" s="3226"/>
    </row>
    <row r="7" spans="1:29" s="117" customFormat="1" ht="15.75" thickBot="1">
      <c r="A7" s="408" t="s">
        <v>2544</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7" t="s">
        <v>2545</v>
      </c>
      <c r="Q7" s="3255"/>
      <c r="R7" s="770" t="s">
        <v>17</v>
      </c>
      <c r="S7" s="771">
        <f t="shared" ref="S7:S14" si="0">F7</f>
        <v>0</v>
      </c>
      <c r="T7" s="770" t="s">
        <v>17</v>
      </c>
      <c r="U7" s="771">
        <f t="shared" ref="U7:U14" si="1">H7</f>
        <v>0</v>
      </c>
      <c r="V7" s="770" t="s">
        <v>17</v>
      </c>
      <c r="W7" s="771">
        <f t="shared" ref="W7:W14" si="2">J7</f>
        <v>0</v>
      </c>
      <c r="X7" s="772"/>
      <c r="Y7" s="3227" t="s">
        <v>2545</v>
      </c>
      <c r="Z7" s="3228"/>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7" t="s">
        <v>2548</v>
      </c>
      <c r="Q8" s="3228"/>
      <c r="R8" s="770" t="s">
        <v>17</v>
      </c>
      <c r="S8" s="771">
        <f t="shared" si="0"/>
        <v>0</v>
      </c>
      <c r="T8" s="770" t="s">
        <v>17</v>
      </c>
      <c r="U8" s="771">
        <f t="shared" si="1"/>
        <v>0</v>
      </c>
      <c r="V8" s="770" t="s">
        <v>17</v>
      </c>
      <c r="W8" s="771">
        <f t="shared" si="2"/>
        <v>0</v>
      </c>
      <c r="X8" s="772"/>
      <c r="Y8" s="3227" t="s">
        <v>2548</v>
      </c>
      <c r="Z8" s="3228"/>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9" t="s">
        <v>2551</v>
      </c>
      <c r="Q9" s="1794" t="str">
        <f t="shared" ref="Q9:Q14" si="6">B9</f>
        <v>用途</v>
      </c>
      <c r="R9" s="770" t="s">
        <v>17</v>
      </c>
      <c r="S9" s="771">
        <f t="shared" si="0"/>
        <v>100</v>
      </c>
      <c r="T9" s="770" t="s">
        <v>17</v>
      </c>
      <c r="U9" s="771">
        <f t="shared" si="1"/>
        <v>100</v>
      </c>
      <c r="V9" s="770" t="s">
        <v>17</v>
      </c>
      <c r="W9" s="771">
        <f t="shared" si="2"/>
        <v>100</v>
      </c>
      <c r="X9" s="772"/>
      <c r="Y9" s="307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9"/>
      <c r="Q10" s="1794"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9"/>
      <c r="Q11" s="1794">
        <f t="shared" si="6"/>
        <v>111</v>
      </c>
      <c r="R11" s="770" t="s">
        <v>17</v>
      </c>
      <c r="S11" s="771">
        <f t="shared" si="0"/>
        <v>100</v>
      </c>
      <c r="T11" s="770" t="s">
        <v>17</v>
      </c>
      <c r="U11" s="771">
        <f t="shared" si="1"/>
        <v>100</v>
      </c>
      <c r="V11" s="770" t="s">
        <v>17</v>
      </c>
      <c r="W11" s="771">
        <f t="shared" si="2"/>
        <v>100</v>
      </c>
      <c r="X11" s="772"/>
      <c r="Y11" s="307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9"/>
      <c r="Q12" s="1794">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9"/>
      <c r="Q13" s="1794">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85.5">
      <c r="A14" s="401" t="s">
        <v>2555</v>
      </c>
      <c r="B14" s="629" t="s">
        <v>2705</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61" t="s">
        <v>2556</v>
      </c>
      <c r="Q14" s="1809" t="str">
        <f t="shared" si="6"/>
        <v>交通便捷度</v>
      </c>
      <c r="R14" s="774" t="s">
        <v>17</v>
      </c>
      <c r="S14" s="775">
        <f t="shared" si="0"/>
        <v>100</v>
      </c>
      <c r="T14" s="774" t="s">
        <v>17</v>
      </c>
      <c r="U14" s="775">
        <f t="shared" si="1"/>
        <v>100</v>
      </c>
      <c r="V14" s="774" t="s">
        <v>17</v>
      </c>
      <c r="W14" s="775">
        <f t="shared" si="2"/>
        <v>100</v>
      </c>
      <c r="X14" s="1812"/>
      <c r="Y14" s="3261"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62"/>
      <c r="Q15" s="1809"/>
      <c r="R15" s="774"/>
      <c r="S15" s="775"/>
      <c r="T15" s="774"/>
      <c r="U15" s="775"/>
      <c r="V15" s="774"/>
      <c r="W15" s="775"/>
      <c r="X15" s="1812"/>
      <c r="Y15" s="3262"/>
      <c r="Z15" s="1813"/>
      <c r="AA15" s="1810">
        <v>1</v>
      </c>
      <c r="AB15" s="1810">
        <v>1</v>
      </c>
      <c r="AC15" s="1810">
        <v>1</v>
      </c>
    </row>
    <row r="16" spans="1:29" ht="42.75">
      <c r="A16" s="404"/>
      <c r="B16" s="631" t="s">
        <v>2684</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62"/>
      <c r="Q16" s="1809" t="str">
        <f>B16</f>
        <v>公共配套设施</v>
      </c>
      <c r="R16" s="774" t="s">
        <v>17</v>
      </c>
      <c r="S16" s="775">
        <f>F16</f>
        <v>100</v>
      </c>
      <c r="T16" s="774" t="s">
        <v>17</v>
      </c>
      <c r="U16" s="775">
        <f>H16</f>
        <v>100</v>
      </c>
      <c r="V16" s="774" t="s">
        <v>17</v>
      </c>
      <c r="W16" s="775">
        <f>J16</f>
        <v>100</v>
      </c>
      <c r="X16" s="1812"/>
      <c r="Y16" s="3262"/>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39"/>
      <c r="M17" s="1130"/>
      <c r="N17" s="1130"/>
      <c r="O17" s="1130"/>
      <c r="P17" s="3262"/>
      <c r="Q17" s="1809"/>
      <c r="R17" s="774"/>
      <c r="S17" s="775"/>
      <c r="T17" s="774"/>
      <c r="U17" s="775"/>
      <c r="V17" s="774"/>
      <c r="W17" s="775"/>
      <c r="X17" s="1812"/>
      <c r="Y17" s="3262"/>
      <c r="Z17" s="1813"/>
      <c r="AA17" s="1810">
        <v>1</v>
      </c>
      <c r="AB17" s="1810">
        <v>1</v>
      </c>
      <c r="AC17" s="1810">
        <v>1</v>
      </c>
    </row>
    <row r="18" spans="1:29" ht="28.5">
      <c r="A18" s="404"/>
      <c r="B18" s="633" t="s">
        <v>2685</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62"/>
      <c r="Q18" s="1809" t="str">
        <f>B18</f>
        <v>基础设施水平</v>
      </c>
      <c r="R18" s="774" t="s">
        <v>17</v>
      </c>
      <c r="S18" s="775">
        <f>F18</f>
        <v>100</v>
      </c>
      <c r="T18" s="774" t="s">
        <v>17</v>
      </c>
      <c r="U18" s="775">
        <f>H18</f>
        <v>100</v>
      </c>
      <c r="V18" s="774" t="s">
        <v>17</v>
      </c>
      <c r="W18" s="775">
        <f>J18</f>
        <v>100</v>
      </c>
      <c r="X18" s="1812"/>
      <c r="Y18" s="3262"/>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2"/>
      <c r="L19" s="1139"/>
      <c r="M19" s="1130"/>
      <c r="N19" s="1130"/>
      <c r="O19" s="1130"/>
      <c r="P19" s="3262"/>
      <c r="Q19" s="1809"/>
      <c r="R19" s="774"/>
      <c r="S19" s="775"/>
      <c r="T19" s="774"/>
      <c r="U19" s="775"/>
      <c r="V19" s="774"/>
      <c r="W19" s="775"/>
      <c r="X19" s="1812"/>
      <c r="Y19" s="3262"/>
      <c r="Z19" s="1813"/>
      <c r="AA19" s="1810">
        <v>1</v>
      </c>
      <c r="AB19" s="1810">
        <v>1</v>
      </c>
      <c r="AC19" s="1810">
        <v>1</v>
      </c>
    </row>
    <row r="20" spans="1:29" ht="57">
      <c r="A20" s="404"/>
      <c r="B20" s="631" t="s">
        <v>2706</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62"/>
      <c r="Q20" s="1809" t="str">
        <f>B20</f>
        <v>自然及人文环境</v>
      </c>
      <c r="R20" s="774" t="s">
        <v>17</v>
      </c>
      <c r="S20" s="775">
        <f>F20</f>
        <v>100</v>
      </c>
      <c r="T20" s="774" t="s">
        <v>17</v>
      </c>
      <c r="U20" s="775">
        <f>H20</f>
        <v>100</v>
      </c>
      <c r="V20" s="774" t="s">
        <v>17</v>
      </c>
      <c r="W20" s="775">
        <f>J20</f>
        <v>100</v>
      </c>
      <c r="X20" s="1812"/>
      <c r="Y20" s="326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62"/>
      <c r="Q21" s="1809"/>
      <c r="R21" s="774"/>
      <c r="S21" s="775"/>
      <c r="T21" s="774"/>
      <c r="U21" s="775"/>
      <c r="V21" s="774"/>
      <c r="W21" s="775"/>
      <c r="X21" s="1812"/>
      <c r="Y21" s="3262"/>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62"/>
      <c r="Q22" s="1809" t="str">
        <f>B22</f>
        <v>楼层</v>
      </c>
      <c r="R22" s="774" t="s">
        <v>17</v>
      </c>
      <c r="S22" s="775">
        <f>F22</f>
        <v>100</v>
      </c>
      <c r="T22" s="774" t="s">
        <v>17</v>
      </c>
      <c r="U22" s="775">
        <f>H22</f>
        <v>100</v>
      </c>
      <c r="V22" s="774" t="s">
        <v>17</v>
      </c>
      <c r="W22" s="775">
        <f>J22</f>
        <v>100</v>
      </c>
      <c r="X22" s="1812"/>
      <c r="Y22" s="326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62"/>
      <c r="Q23" s="1809">
        <f>B23</f>
        <v>111</v>
      </c>
      <c r="R23" s="774" t="s">
        <v>17</v>
      </c>
      <c r="S23" s="775">
        <f>F23</f>
        <v>100</v>
      </c>
      <c r="T23" s="774" t="s">
        <v>17</v>
      </c>
      <c r="U23" s="775">
        <f>H23</f>
        <v>100</v>
      </c>
      <c r="V23" s="774" t="s">
        <v>17</v>
      </c>
      <c r="W23" s="775">
        <f>J23</f>
        <v>100</v>
      </c>
      <c r="X23" s="1812"/>
      <c r="Y23" s="326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62"/>
      <c r="Q24" s="1809">
        <f t="shared" ref="Q24:Q36" si="11">B24</f>
        <v>111</v>
      </c>
      <c r="R24" s="774" t="s">
        <v>17</v>
      </c>
      <c r="S24" s="775">
        <f>F24</f>
        <v>100</v>
      </c>
      <c r="T24" s="774" t="s">
        <v>17</v>
      </c>
      <c r="U24" s="775">
        <f>H24</f>
        <v>100</v>
      </c>
      <c r="V24" s="774" t="s">
        <v>17</v>
      </c>
      <c r="W24" s="775">
        <f>J24</f>
        <v>100</v>
      </c>
      <c r="X24" s="1812"/>
      <c r="Y24" s="3262"/>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62"/>
      <c r="Q25" s="1794">
        <f t="shared" si="11"/>
        <v>111</v>
      </c>
      <c r="R25" s="770" t="s">
        <v>17</v>
      </c>
      <c r="S25" s="771">
        <f>F25</f>
        <v>100</v>
      </c>
      <c r="T25" s="770" t="s">
        <v>17</v>
      </c>
      <c r="U25" s="771">
        <f>H25</f>
        <v>100</v>
      </c>
      <c r="V25" s="770" t="s">
        <v>17</v>
      </c>
      <c r="W25" s="771">
        <f>J25</f>
        <v>100</v>
      </c>
      <c r="X25" s="772"/>
      <c r="Y25" s="3262"/>
      <c r="Z25" s="55">
        <f>Q25</f>
        <v>111</v>
      </c>
      <c r="AA25" s="1810">
        <f>D25/F25</f>
        <v>1</v>
      </c>
      <c r="AB25" s="1810">
        <f>D25/H25</f>
        <v>1</v>
      </c>
      <c r="AC25" s="1810">
        <f>D25/J25</f>
        <v>1</v>
      </c>
    </row>
    <row r="26" spans="1:29" ht="28.5">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7"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6"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6"/>
      <c r="Q27" s="776" t="str">
        <f t="shared" si="11"/>
        <v>项目停车位配比</v>
      </c>
      <c r="R27" s="777" t="s">
        <v>17</v>
      </c>
      <c r="S27" s="778">
        <f t="shared" si="12"/>
        <v>100</v>
      </c>
      <c r="T27" s="777" t="s">
        <v>17</v>
      </c>
      <c r="U27" s="778">
        <f t="shared" si="13"/>
        <v>100</v>
      </c>
      <c r="V27" s="777" t="s">
        <v>17</v>
      </c>
      <c r="W27" s="778">
        <f t="shared" si="14"/>
        <v>100</v>
      </c>
      <c r="X27" s="779"/>
      <c r="Y27" s="3266"/>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6"/>
      <c r="Q28" s="1809" t="str">
        <f t="shared" si="11"/>
        <v>公共部分装修</v>
      </c>
      <c r="R28" s="774" t="s">
        <v>17</v>
      </c>
      <c r="S28" s="775">
        <f t="shared" si="12"/>
        <v>100</v>
      </c>
      <c r="T28" s="774" t="s">
        <v>17</v>
      </c>
      <c r="U28" s="775">
        <f t="shared" si="13"/>
        <v>100</v>
      </c>
      <c r="V28" s="774" t="s">
        <v>17</v>
      </c>
      <c r="W28" s="775">
        <f t="shared" si="14"/>
        <v>100</v>
      </c>
      <c r="X28" s="1812"/>
      <c r="Y28" s="3266"/>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6"/>
      <c r="Q29" s="1809" t="str">
        <f t="shared" si="11"/>
        <v>成新率</v>
      </c>
      <c r="R29" s="774" t="s">
        <v>17</v>
      </c>
      <c r="S29" s="775" t="e">
        <f t="shared" si="12"/>
        <v>#N/A</v>
      </c>
      <c r="T29" s="774" t="s">
        <v>17</v>
      </c>
      <c r="U29" s="775" t="e">
        <f t="shared" si="13"/>
        <v>#N/A</v>
      </c>
      <c r="V29" s="774" t="s">
        <v>17</v>
      </c>
      <c r="W29" s="775" t="e">
        <f t="shared" si="14"/>
        <v>#N/A</v>
      </c>
      <c r="X29" s="1812"/>
      <c r="Y29" s="3266"/>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6"/>
      <c r="Q30" s="1809" t="str">
        <f t="shared" si="11"/>
        <v>物业等级</v>
      </c>
      <c r="R30" s="774" t="s">
        <v>17</v>
      </c>
      <c r="S30" s="775">
        <f t="shared" si="12"/>
        <v>100</v>
      </c>
      <c r="T30" s="774" t="s">
        <v>17</v>
      </c>
      <c r="U30" s="775">
        <f t="shared" si="13"/>
        <v>100</v>
      </c>
      <c r="V30" s="774" t="s">
        <v>17</v>
      </c>
      <c r="W30" s="775">
        <f t="shared" si="14"/>
        <v>100</v>
      </c>
      <c r="X30" s="1812"/>
      <c r="Y30" s="3266"/>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6"/>
      <c r="Q31" s="1794" t="str">
        <f t="shared" si="11"/>
        <v>停车位面积</v>
      </c>
      <c r="R31" s="770" t="s">
        <v>17</v>
      </c>
      <c r="S31" s="771" t="e">
        <f t="shared" si="12"/>
        <v>#N/A</v>
      </c>
      <c r="T31" s="770" t="s">
        <v>17</v>
      </c>
      <c r="U31" s="771" t="e">
        <f t="shared" si="13"/>
        <v>#N/A</v>
      </c>
      <c r="V31" s="770" t="s">
        <v>17</v>
      </c>
      <c r="W31" s="771" t="e">
        <f t="shared" si="14"/>
        <v>#N/A</v>
      </c>
      <c r="X31" s="772"/>
      <c r="Y31" s="3266"/>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6" t="s">
        <v>2561</v>
      </c>
      <c r="Q32" s="1809" t="str">
        <f t="shared" si="11"/>
        <v>车位类型</v>
      </c>
      <c r="R32" s="774" t="s">
        <v>17</v>
      </c>
      <c r="S32" s="775">
        <f t="shared" si="12"/>
        <v>100</v>
      </c>
      <c r="T32" s="774" t="s">
        <v>17</v>
      </c>
      <c r="U32" s="775">
        <f t="shared" si="13"/>
        <v>100</v>
      </c>
      <c r="V32" s="774" t="s">
        <v>17</v>
      </c>
      <c r="W32" s="775">
        <f t="shared" si="14"/>
        <v>100</v>
      </c>
      <c r="X32" s="1812"/>
      <c r="Y32" s="3266"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6"/>
      <c r="Q33" s="1809" t="str">
        <f t="shared" si="11"/>
        <v>是否直接入户</v>
      </c>
      <c r="R33" s="774" t="s">
        <v>17</v>
      </c>
      <c r="S33" s="775">
        <f t="shared" si="12"/>
        <v>100</v>
      </c>
      <c r="T33" s="774" t="s">
        <v>17</v>
      </c>
      <c r="U33" s="775">
        <f t="shared" si="13"/>
        <v>100</v>
      </c>
      <c r="V33" s="774" t="s">
        <v>17</v>
      </c>
      <c r="W33" s="775">
        <f t="shared" si="14"/>
        <v>100</v>
      </c>
      <c r="X33" s="1812"/>
      <c r="Y33" s="326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6"/>
      <c r="Q34" s="1809">
        <f t="shared" si="11"/>
        <v>111</v>
      </c>
      <c r="R34" s="774" t="s">
        <v>17</v>
      </c>
      <c r="S34" s="775">
        <f t="shared" si="12"/>
        <v>100</v>
      </c>
      <c r="T34" s="774" t="s">
        <v>17</v>
      </c>
      <c r="U34" s="775">
        <f t="shared" si="13"/>
        <v>100</v>
      </c>
      <c r="V34" s="774" t="s">
        <v>17</v>
      </c>
      <c r="W34" s="775">
        <f t="shared" si="14"/>
        <v>100</v>
      </c>
      <c r="X34" s="1812"/>
      <c r="Y34" s="326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6"/>
      <c r="Q35" s="776">
        <f t="shared" si="11"/>
        <v>111</v>
      </c>
      <c r="R35" s="777" t="s">
        <v>17</v>
      </c>
      <c r="S35" s="778">
        <f t="shared" si="12"/>
        <v>100</v>
      </c>
      <c r="T35" s="777" t="s">
        <v>17</v>
      </c>
      <c r="U35" s="778">
        <f t="shared" si="13"/>
        <v>100</v>
      </c>
      <c r="V35" s="777" t="s">
        <v>17</v>
      </c>
      <c r="W35" s="778">
        <f t="shared" si="14"/>
        <v>100</v>
      </c>
      <c r="X35" s="779"/>
      <c r="Y35" s="3266"/>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6"/>
      <c r="Q36" s="1809">
        <f t="shared" si="11"/>
        <v>111</v>
      </c>
      <c r="R36" s="774" t="s">
        <v>17</v>
      </c>
      <c r="S36" s="775">
        <f t="shared" si="12"/>
        <v>100</v>
      </c>
      <c r="T36" s="774" t="s">
        <v>17</v>
      </c>
      <c r="U36" s="775">
        <f t="shared" si="13"/>
        <v>100</v>
      </c>
      <c r="V36" s="774" t="s">
        <v>17</v>
      </c>
      <c r="W36" s="775">
        <f t="shared" si="14"/>
        <v>100</v>
      </c>
      <c r="X36" s="1812"/>
      <c r="Y36" s="3266"/>
      <c r="Z36" s="1813">
        <f t="shared" si="15"/>
        <v>111</v>
      </c>
      <c r="AA36" s="1810">
        <f t="shared" si="3"/>
        <v>1</v>
      </c>
      <c r="AB36" s="1810">
        <f t="shared" si="4"/>
        <v>1</v>
      </c>
      <c r="AC36" s="1810">
        <f t="shared" si="5"/>
        <v>1</v>
      </c>
    </row>
    <row r="37" spans="1:29" ht="15">
      <c r="A37" s="479" t="s">
        <v>2716</v>
      </c>
      <c r="B37" s="2692" t="s">
        <v>2717</v>
      </c>
      <c r="C37" s="1406" t="s">
        <v>1</v>
      </c>
      <c r="D37" s="1407"/>
      <c r="E37" s="1408"/>
      <c r="F37" s="1409"/>
      <c r="G37" s="1410"/>
      <c r="H37" s="1411"/>
      <c r="I37" s="1408"/>
      <c r="J37" s="1411"/>
      <c r="K37" s="619"/>
      <c r="L37" s="1142"/>
      <c r="M37" s="1143"/>
      <c r="N37" s="1130"/>
      <c r="O37" s="1143"/>
      <c r="P37" s="3259" t="str">
        <f>A37</f>
        <v>成交单价</v>
      </c>
      <c r="Q37" s="3259"/>
      <c r="R37" s="3260">
        <f>E37</f>
        <v>0</v>
      </c>
      <c r="S37" s="3260"/>
      <c r="T37" s="3260">
        <f>G37</f>
        <v>0</v>
      </c>
      <c r="U37" s="3260"/>
      <c r="V37" s="3260">
        <f>I37</f>
        <v>0</v>
      </c>
      <c r="W37" s="3260"/>
      <c r="X37" s="759"/>
      <c r="Y37" s="781"/>
      <c r="Z37" s="759"/>
      <c r="AA37" s="759"/>
      <c r="AB37" s="759"/>
      <c r="AC37" s="759"/>
    </row>
    <row r="38" spans="1:29" ht="15.75" thickBot="1">
      <c r="A38" s="486" t="s">
        <v>2718</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2719</v>
      </c>
      <c r="B39" s="493"/>
      <c r="C39" s="1416" t="e">
        <f>R39</f>
        <v>#DIV/0!</v>
      </c>
      <c r="D39" s="1416"/>
      <c r="E39" s="1416"/>
      <c r="F39" s="1416"/>
      <c r="G39" s="1416"/>
      <c r="H39" s="1416"/>
      <c r="I39" s="1416"/>
      <c r="J39" s="1416"/>
      <c r="K39" s="621"/>
      <c r="L39" s="1142"/>
      <c r="M39" s="1143"/>
      <c r="N39" s="1143"/>
      <c r="O39" s="1143"/>
      <c r="P39" s="3256" t="str">
        <f>A39</f>
        <v>估价对象XX用房的比较价值（楼面单价，元/平方米）</v>
      </c>
      <c r="Q39" s="3257"/>
      <c r="R39" s="3258" t="e">
        <f>IF(F1="售价",ROUND(AVERAGE(R38:V38),0),ROUND(AVERAGE(R38:V38),1))</f>
        <v>#DIV/0!</v>
      </c>
      <c r="S39" s="3258"/>
      <c r="T39" s="3258"/>
      <c r="U39" s="3258"/>
      <c r="V39" s="3258"/>
      <c r="W39" s="325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2724</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2581</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2546</v>
      </c>
      <c r="B51" s="510"/>
      <c r="C51" s="522" t="s">
        <v>2648</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2584</v>
      </c>
      <c r="B53" s="528" t="s">
        <v>2550</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2599</v>
      </c>
      <c r="C65" s="578" t="s">
        <v>2593</v>
      </c>
      <c r="D65" s="578" t="s">
        <v>2594</v>
      </c>
      <c r="E65" s="578" t="s">
        <v>2595</v>
      </c>
      <c r="F65" s="578" t="s">
        <v>2596</v>
      </c>
      <c r="G65" s="578" t="s">
        <v>2597</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2685</v>
      </c>
      <c r="C67" s="660" t="s">
        <v>2671</v>
      </c>
      <c r="D67" s="660" t="s">
        <v>2672</v>
      </c>
      <c r="E67" s="660" t="s">
        <v>2673</v>
      </c>
      <c r="F67" s="660" t="s">
        <v>2674</v>
      </c>
      <c r="G67" s="660" t="s">
        <v>2675</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2605</v>
      </c>
      <c r="C69" s="578" t="s">
        <v>2593</v>
      </c>
      <c r="D69" s="578" t="s">
        <v>2594</v>
      </c>
      <c r="E69" s="578" t="s">
        <v>2595</v>
      </c>
      <c r="F69" s="578" t="s">
        <v>2596</v>
      </c>
      <c r="G69" s="578" t="s">
        <v>2597</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2725</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2559</v>
      </c>
      <c r="B79" s="528" t="s">
        <v>2726</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2727</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2612</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2729</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2731</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2732</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1"/>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IF(C2="——",ROUND(C37*D3/10000,0),ROUND(C37*D3/10000,0)-D2)</f>
        <v>#DIV/0!</v>
      </c>
      <c r="C2" s="2583"/>
      <c r="D2" s="1123" t="e">
        <f ca="1">SUMIF(INDIRECT("'"&amp;F2&amp;"'"&amp;"!A:A"),"承租人权益价值",INDIRECT("'"&amp;F2&amp;"'"&amp;"!c:c"))</f>
        <v>#REF!</v>
      </c>
      <c r="E2" s="2584" t="s">
        <v>2324</v>
      </c>
      <c r="F2" s="258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242" t="s">
        <v>2642</v>
      </c>
      <c r="D4" s="3243"/>
      <c r="E4" s="3244" t="s">
        <v>2643</v>
      </c>
      <c r="F4" s="3245"/>
      <c r="G4" s="3242" t="s">
        <v>2644</v>
      </c>
      <c r="H4" s="3243"/>
      <c r="I4" s="3242" t="s">
        <v>2645</v>
      </c>
      <c r="J4" s="3243"/>
      <c r="K4" s="610" t="s">
        <v>2646</v>
      </c>
      <c r="L4" s="1129"/>
      <c r="M4" s="1130"/>
      <c r="N4" s="1130"/>
      <c r="O4" s="1130"/>
      <c r="P4" s="3246" t="s">
        <v>2647</v>
      </c>
      <c r="Q4" s="3247"/>
      <c r="R4" s="3229" t="s">
        <v>2643</v>
      </c>
      <c r="S4" s="3230"/>
      <c r="T4" s="3229" t="s">
        <v>2644</v>
      </c>
      <c r="U4" s="3230"/>
      <c r="V4" s="3254" t="s">
        <v>2645</v>
      </c>
      <c r="W4" s="3254"/>
      <c r="X4" s="1812"/>
      <c r="Y4" s="3229" t="s">
        <v>2647</v>
      </c>
      <c r="Z4" s="3230"/>
      <c r="AA4" s="3224" t="s">
        <v>2643</v>
      </c>
      <c r="AB4" s="3225" t="s">
        <v>2644</v>
      </c>
      <c r="AC4" s="3224" t="s">
        <v>2645</v>
      </c>
    </row>
    <row r="5" spans="1:29" ht="15">
      <c r="A5" s="404"/>
      <c r="B5" s="405"/>
      <c r="C5" s="3235" t="s">
        <v>2538</v>
      </c>
      <c r="D5" s="3236"/>
      <c r="E5" s="3233" t="s">
        <v>2539</v>
      </c>
      <c r="F5" s="3234"/>
      <c r="G5" s="3235" t="s">
        <v>2540</v>
      </c>
      <c r="H5" s="3236"/>
      <c r="I5" s="3235" t="s">
        <v>2541</v>
      </c>
      <c r="J5" s="3236"/>
      <c r="K5" s="610"/>
      <c r="L5" s="1129"/>
      <c r="M5" s="1130"/>
      <c r="N5" s="1130"/>
      <c r="O5" s="1130"/>
      <c r="P5" s="3248"/>
      <c r="Q5" s="3249"/>
      <c r="R5" s="3231"/>
      <c r="S5" s="3232"/>
      <c r="T5" s="3231"/>
      <c r="U5" s="3232"/>
      <c r="V5" s="3254"/>
      <c r="W5" s="3254"/>
      <c r="X5" s="1812"/>
      <c r="Y5" s="3231"/>
      <c r="Z5" s="3232"/>
      <c r="AA5" s="3225"/>
      <c r="AB5" s="3225"/>
      <c r="AC5" s="3225"/>
    </row>
    <row r="6" spans="1:29" ht="15.75" thickBot="1">
      <c r="A6" s="406"/>
      <c r="B6" s="407"/>
      <c r="C6" s="3237" t="s">
        <v>2542</v>
      </c>
      <c r="D6" s="3238"/>
      <c r="E6" s="3239" t="s">
        <v>2542</v>
      </c>
      <c r="F6" s="3240"/>
      <c r="G6" s="3237" t="s">
        <v>2542</v>
      </c>
      <c r="H6" s="3238"/>
      <c r="I6" s="3237" t="s">
        <v>2542</v>
      </c>
      <c r="J6" s="3238"/>
      <c r="K6" s="610" t="s">
        <v>2543</v>
      </c>
      <c r="L6" s="1129"/>
      <c r="M6" s="1130"/>
      <c r="N6" s="1130"/>
      <c r="O6" s="1130"/>
      <c r="P6" s="3250"/>
      <c r="Q6" s="3251"/>
      <c r="R6" s="3231"/>
      <c r="S6" s="3232"/>
      <c r="T6" s="3252"/>
      <c r="U6" s="3253"/>
      <c r="V6" s="3254"/>
      <c r="W6" s="3254"/>
      <c r="X6" s="1812"/>
      <c r="Y6" s="3252"/>
      <c r="Z6" s="3253"/>
      <c r="AA6" s="3226"/>
      <c r="AB6" s="3226"/>
      <c r="AC6" s="3226"/>
    </row>
    <row r="7" spans="1:29" s="117" customFormat="1" ht="15.75" thickBot="1">
      <c r="A7" s="408" t="s">
        <v>2544</v>
      </c>
      <c r="B7" s="409"/>
      <c r="C7" s="410">
        <f>'数据-取费表'!B2</f>
        <v>43914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227" t="s">
        <v>2545</v>
      </c>
      <c r="Q7" s="3255"/>
      <c r="R7" s="770" t="s">
        <v>17</v>
      </c>
      <c r="S7" s="771">
        <f t="shared" ref="S7:S14" si="0">F7</f>
        <v>0</v>
      </c>
      <c r="T7" s="770" t="s">
        <v>17</v>
      </c>
      <c r="U7" s="771">
        <f t="shared" ref="U7:U14" si="1">H7</f>
        <v>0</v>
      </c>
      <c r="V7" s="770" t="s">
        <v>17</v>
      </c>
      <c r="W7" s="771">
        <f t="shared" ref="W7:W14" si="2">J7</f>
        <v>0</v>
      </c>
      <c r="X7" s="772"/>
      <c r="Y7" s="3227" t="s">
        <v>2545</v>
      </c>
      <c r="Z7" s="3228"/>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7" t="s">
        <v>2548</v>
      </c>
      <c r="Q8" s="3228"/>
      <c r="R8" s="770" t="s">
        <v>17</v>
      </c>
      <c r="S8" s="771">
        <f t="shared" si="0"/>
        <v>0</v>
      </c>
      <c r="T8" s="770" t="s">
        <v>17</v>
      </c>
      <c r="U8" s="771">
        <f t="shared" si="1"/>
        <v>0</v>
      </c>
      <c r="V8" s="770" t="s">
        <v>17</v>
      </c>
      <c r="W8" s="771">
        <f t="shared" si="2"/>
        <v>0</v>
      </c>
      <c r="X8" s="772"/>
      <c r="Y8" s="3227" t="s">
        <v>2548</v>
      </c>
      <c r="Z8" s="3228"/>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9" t="s">
        <v>2551</v>
      </c>
      <c r="Q9" s="1794" t="str">
        <f t="shared" ref="Q9:Q14" si="6">B9</f>
        <v>用途</v>
      </c>
      <c r="R9" s="770" t="s">
        <v>17</v>
      </c>
      <c r="S9" s="771">
        <f t="shared" si="0"/>
        <v>100</v>
      </c>
      <c r="T9" s="770" t="s">
        <v>17</v>
      </c>
      <c r="U9" s="771">
        <f t="shared" si="1"/>
        <v>100</v>
      </c>
      <c r="V9" s="770" t="s">
        <v>17</v>
      </c>
      <c r="W9" s="771">
        <f t="shared" si="2"/>
        <v>100</v>
      </c>
      <c r="X9" s="772"/>
      <c r="Y9" s="307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9"/>
      <c r="Q10" s="1794" t="str">
        <f t="shared" si="6"/>
        <v>土地使用年限（年）</v>
      </c>
      <c r="R10" s="770" t="s">
        <v>17</v>
      </c>
      <c r="S10" s="771">
        <f t="shared" si="0"/>
        <v>100</v>
      </c>
      <c r="T10" s="770" t="s">
        <v>17</v>
      </c>
      <c r="U10" s="771">
        <f t="shared" si="1"/>
        <v>100</v>
      </c>
      <c r="V10" s="770" t="s">
        <v>17</v>
      </c>
      <c r="W10" s="771">
        <f t="shared" si="2"/>
        <v>100</v>
      </c>
      <c r="X10" s="772"/>
      <c r="Y10" s="3074"/>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9"/>
      <c r="Q11" s="1794">
        <f t="shared" si="6"/>
        <v>111</v>
      </c>
      <c r="R11" s="770" t="s">
        <v>17</v>
      </c>
      <c r="S11" s="771">
        <f t="shared" si="0"/>
        <v>100</v>
      </c>
      <c r="T11" s="770" t="s">
        <v>17</v>
      </c>
      <c r="U11" s="771">
        <f t="shared" si="1"/>
        <v>100</v>
      </c>
      <c r="V11" s="770" t="s">
        <v>17</v>
      </c>
      <c r="W11" s="771">
        <f t="shared" si="2"/>
        <v>100</v>
      </c>
      <c r="X11" s="772"/>
      <c r="Y11" s="3074"/>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9"/>
      <c r="Q12" s="1794">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259"/>
      <c r="Q13" s="1794">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85.5">
      <c r="A14" s="440" t="s">
        <v>2555</v>
      </c>
      <c r="B14" s="69" t="s">
        <v>2705</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61" t="s">
        <v>2556</v>
      </c>
      <c r="Q14" s="1809" t="str">
        <f t="shared" si="6"/>
        <v>交通便捷度</v>
      </c>
      <c r="R14" s="774" t="s">
        <v>17</v>
      </c>
      <c r="S14" s="775">
        <f t="shared" si="0"/>
        <v>100</v>
      </c>
      <c r="T14" s="774" t="s">
        <v>17</v>
      </c>
      <c r="U14" s="775">
        <f t="shared" si="1"/>
        <v>100</v>
      </c>
      <c r="V14" s="774" t="s">
        <v>17</v>
      </c>
      <c r="W14" s="775">
        <f t="shared" si="2"/>
        <v>100</v>
      </c>
      <c r="X14" s="1812"/>
      <c r="Y14" s="3261"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62"/>
      <c r="Q15" s="1809"/>
      <c r="R15" s="774"/>
      <c r="S15" s="775"/>
      <c r="T15" s="774"/>
      <c r="U15" s="775"/>
      <c r="V15" s="774"/>
      <c r="W15" s="775"/>
      <c r="X15" s="1812"/>
      <c r="Y15" s="3262"/>
      <c r="Z15" s="1813"/>
      <c r="AA15" s="1810">
        <v>1</v>
      </c>
      <c r="AB15" s="1810">
        <v>1</v>
      </c>
      <c r="AC15" s="1810">
        <v>1</v>
      </c>
    </row>
    <row r="16" spans="1:29" ht="42.75">
      <c r="A16" s="428"/>
      <c r="B16" s="451" t="s">
        <v>2684</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62"/>
      <c r="Q16" s="1809" t="str">
        <f>B16</f>
        <v>公共配套设施</v>
      </c>
      <c r="R16" s="774" t="s">
        <v>17</v>
      </c>
      <c r="S16" s="775">
        <f>F16</f>
        <v>100</v>
      </c>
      <c r="T16" s="774" t="s">
        <v>17</v>
      </c>
      <c r="U16" s="775">
        <f>H16</f>
        <v>100</v>
      </c>
      <c r="V16" s="774" t="s">
        <v>17</v>
      </c>
      <c r="W16" s="775">
        <f>J16</f>
        <v>100</v>
      </c>
      <c r="X16" s="1812"/>
      <c r="Y16" s="3262"/>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262"/>
      <c r="Q17" s="1809"/>
      <c r="R17" s="774"/>
      <c r="S17" s="775"/>
      <c r="T17" s="774"/>
      <c r="U17" s="775"/>
      <c r="V17" s="774"/>
      <c r="W17" s="775"/>
      <c r="X17" s="1812"/>
      <c r="Y17" s="3262"/>
      <c r="Z17" s="1813"/>
      <c r="AA17" s="1810">
        <v>1</v>
      </c>
      <c r="AB17" s="1810">
        <v>1</v>
      </c>
      <c r="AC17" s="1810">
        <v>1</v>
      </c>
    </row>
    <row r="18" spans="1:29" ht="28.5">
      <c r="A18" s="428"/>
      <c r="B18" s="1383" t="s">
        <v>2685</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62"/>
      <c r="Q18" s="1809" t="str">
        <f>B18</f>
        <v>基础设施水平</v>
      </c>
      <c r="R18" s="774" t="s">
        <v>17</v>
      </c>
      <c r="S18" s="775">
        <f>F18</f>
        <v>100</v>
      </c>
      <c r="T18" s="774" t="s">
        <v>17</v>
      </c>
      <c r="U18" s="775">
        <f>H18</f>
        <v>100</v>
      </c>
      <c r="V18" s="774" t="s">
        <v>17</v>
      </c>
      <c r="W18" s="775">
        <f>J18</f>
        <v>100</v>
      </c>
      <c r="X18" s="1812"/>
      <c r="Y18" s="3262"/>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262"/>
      <c r="Q19" s="1809"/>
      <c r="R19" s="774"/>
      <c r="S19" s="775"/>
      <c r="T19" s="774"/>
      <c r="U19" s="775"/>
      <c r="V19" s="774"/>
      <c r="W19" s="775"/>
      <c r="X19" s="1812"/>
      <c r="Y19" s="3262"/>
      <c r="Z19" s="1813"/>
      <c r="AA19" s="1810">
        <v>1</v>
      </c>
      <c r="AB19" s="1810">
        <v>1</v>
      </c>
      <c r="AC19" s="1810">
        <v>1</v>
      </c>
    </row>
    <row r="20" spans="1:29" ht="57">
      <c r="A20" s="428"/>
      <c r="B20" s="451" t="s">
        <v>2706</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62"/>
      <c r="Q20" s="1809" t="str">
        <f>B20</f>
        <v>自然及人文环境</v>
      </c>
      <c r="R20" s="774" t="s">
        <v>17</v>
      </c>
      <c r="S20" s="775">
        <f>F20</f>
        <v>100</v>
      </c>
      <c r="T20" s="774" t="s">
        <v>17</v>
      </c>
      <c r="U20" s="775">
        <f>H20</f>
        <v>100</v>
      </c>
      <c r="V20" s="774" t="s">
        <v>17</v>
      </c>
      <c r="W20" s="775">
        <f>J20</f>
        <v>100</v>
      </c>
      <c r="X20" s="1812"/>
      <c r="Y20" s="326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62"/>
      <c r="Q21" s="1809"/>
      <c r="R21" s="774"/>
      <c r="S21" s="775"/>
      <c r="T21" s="774"/>
      <c r="U21" s="775"/>
      <c r="V21" s="774"/>
      <c r="W21" s="775"/>
      <c r="X21" s="1812"/>
      <c r="Y21" s="3262"/>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62"/>
      <c r="Q22" s="1809" t="str">
        <f>B22</f>
        <v>楼层</v>
      </c>
      <c r="R22" s="774" t="s">
        <v>17</v>
      </c>
      <c r="S22" s="775">
        <f>F22</f>
        <v>100</v>
      </c>
      <c r="T22" s="774" t="s">
        <v>17</v>
      </c>
      <c r="U22" s="775">
        <f>H22</f>
        <v>100</v>
      </c>
      <c r="V22" s="774" t="s">
        <v>17</v>
      </c>
      <c r="W22" s="775">
        <f>J22</f>
        <v>100</v>
      </c>
      <c r="X22" s="1812"/>
      <c r="Y22" s="3262"/>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62"/>
      <c r="Q23" s="1809">
        <f>B23</f>
        <v>111</v>
      </c>
      <c r="R23" s="774" t="s">
        <v>17</v>
      </c>
      <c r="S23" s="775">
        <f>F23</f>
        <v>100</v>
      </c>
      <c r="T23" s="774" t="s">
        <v>17</v>
      </c>
      <c r="U23" s="775">
        <f>H23</f>
        <v>100</v>
      </c>
      <c r="V23" s="774" t="s">
        <v>17</v>
      </c>
      <c r="W23" s="775">
        <f>J23</f>
        <v>100</v>
      </c>
      <c r="X23" s="1812"/>
      <c r="Y23" s="3262"/>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62"/>
      <c r="Q24" s="1809">
        <f t="shared" ref="Q24:Q34" si="11">B24</f>
        <v>111</v>
      </c>
      <c r="R24" s="774" t="s">
        <v>17</v>
      </c>
      <c r="S24" s="775">
        <f>F24</f>
        <v>100</v>
      </c>
      <c r="T24" s="774" t="s">
        <v>17</v>
      </c>
      <c r="U24" s="775">
        <f>H24</f>
        <v>100</v>
      </c>
      <c r="V24" s="774" t="s">
        <v>17</v>
      </c>
      <c r="W24" s="775">
        <f>J24</f>
        <v>100</v>
      </c>
      <c r="X24" s="1812"/>
      <c r="Y24" s="3262"/>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262"/>
      <c r="Q25" s="1794">
        <f t="shared" si="11"/>
        <v>111</v>
      </c>
      <c r="R25" s="770" t="s">
        <v>17</v>
      </c>
      <c r="S25" s="771">
        <f>F25</f>
        <v>100</v>
      </c>
      <c r="T25" s="770" t="s">
        <v>17</v>
      </c>
      <c r="U25" s="771">
        <f>H25</f>
        <v>100</v>
      </c>
      <c r="V25" s="770" t="s">
        <v>17</v>
      </c>
      <c r="W25" s="771">
        <f>J25</f>
        <v>100</v>
      </c>
      <c r="X25" s="772"/>
      <c r="Y25" s="3262"/>
      <c r="Z25" s="55">
        <f>Q25</f>
        <v>111</v>
      </c>
      <c r="AA25" s="1810">
        <f>D25/F25</f>
        <v>1</v>
      </c>
      <c r="AB25" s="1810">
        <f>D25/H25</f>
        <v>1</v>
      </c>
      <c r="AC25" s="1810">
        <f>D25/J25</f>
        <v>1</v>
      </c>
    </row>
    <row r="26" spans="1:29" ht="28.5">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287"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6"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6"/>
      <c r="Q27" s="776" t="str">
        <f t="shared" si="11"/>
        <v>成新率</v>
      </c>
      <c r="R27" s="777" t="s">
        <v>17</v>
      </c>
      <c r="S27" s="778" t="e">
        <f t="shared" si="12"/>
        <v>#N/A</v>
      </c>
      <c r="T27" s="777" t="s">
        <v>17</v>
      </c>
      <c r="U27" s="778" t="e">
        <f t="shared" si="13"/>
        <v>#N/A</v>
      </c>
      <c r="V27" s="777" t="s">
        <v>17</v>
      </c>
      <c r="W27" s="778" t="e">
        <f t="shared" si="14"/>
        <v>#N/A</v>
      </c>
      <c r="X27" s="779"/>
      <c r="Y27" s="3266"/>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6"/>
      <c r="Q28" s="1809" t="str">
        <f t="shared" si="11"/>
        <v>物业等级</v>
      </c>
      <c r="R28" s="774" t="s">
        <v>17</v>
      </c>
      <c r="S28" s="775">
        <f t="shared" si="12"/>
        <v>100</v>
      </c>
      <c r="T28" s="774" t="s">
        <v>17</v>
      </c>
      <c r="U28" s="775">
        <f t="shared" si="13"/>
        <v>100</v>
      </c>
      <c r="V28" s="774" t="s">
        <v>17</v>
      </c>
      <c r="W28" s="775">
        <f t="shared" si="14"/>
        <v>100</v>
      </c>
      <c r="X28" s="1812"/>
      <c r="Y28" s="3266"/>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6"/>
      <c r="Q29" s="1809" t="str">
        <f t="shared" si="11"/>
        <v>有无电梯</v>
      </c>
      <c r="R29" s="774" t="s">
        <v>17</v>
      </c>
      <c r="S29" s="775">
        <f t="shared" si="12"/>
        <v>100</v>
      </c>
      <c r="T29" s="774" t="s">
        <v>17</v>
      </c>
      <c r="U29" s="775">
        <f t="shared" si="13"/>
        <v>100</v>
      </c>
      <c r="V29" s="774" t="s">
        <v>17</v>
      </c>
      <c r="W29" s="775">
        <f t="shared" si="14"/>
        <v>100</v>
      </c>
      <c r="X29" s="1812"/>
      <c r="Y29" s="3266"/>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6"/>
      <c r="Q30" s="1809" t="str">
        <f t="shared" si="11"/>
        <v>建筑面积</v>
      </c>
      <c r="R30" s="774" t="s">
        <v>17</v>
      </c>
      <c r="S30" s="775" t="e">
        <f t="shared" si="12"/>
        <v>#N/A</v>
      </c>
      <c r="T30" s="774" t="s">
        <v>17</v>
      </c>
      <c r="U30" s="775" t="e">
        <f t="shared" si="13"/>
        <v>#N/A</v>
      </c>
      <c r="V30" s="774" t="s">
        <v>17</v>
      </c>
      <c r="W30" s="775" t="e">
        <f t="shared" si="14"/>
        <v>#N/A</v>
      </c>
      <c r="X30" s="1812"/>
      <c r="Y30" s="3266"/>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6"/>
      <c r="Q31" s="1794" t="str">
        <f t="shared" si="11"/>
        <v>是否封闭</v>
      </c>
      <c r="R31" s="770" t="s">
        <v>17</v>
      </c>
      <c r="S31" s="771">
        <f t="shared" si="12"/>
        <v>100</v>
      </c>
      <c r="T31" s="770" t="s">
        <v>17</v>
      </c>
      <c r="U31" s="771">
        <f t="shared" si="13"/>
        <v>100</v>
      </c>
      <c r="V31" s="770" t="s">
        <v>17</v>
      </c>
      <c r="W31" s="771">
        <f t="shared" si="14"/>
        <v>100</v>
      </c>
      <c r="X31" s="772"/>
      <c r="Y31" s="3266"/>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6" t="s">
        <v>2561</v>
      </c>
      <c r="Q32" s="1809">
        <f t="shared" si="11"/>
        <v>111</v>
      </c>
      <c r="R32" s="774" t="s">
        <v>17</v>
      </c>
      <c r="S32" s="775">
        <f t="shared" si="12"/>
        <v>100</v>
      </c>
      <c r="T32" s="774" t="s">
        <v>17</v>
      </c>
      <c r="U32" s="775">
        <f t="shared" si="13"/>
        <v>100</v>
      </c>
      <c r="V32" s="774" t="s">
        <v>17</v>
      </c>
      <c r="W32" s="775">
        <f t="shared" si="14"/>
        <v>100</v>
      </c>
      <c r="X32" s="1812"/>
      <c r="Y32" s="3266" t="s">
        <v>2561</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6"/>
      <c r="Q33" s="1809">
        <f t="shared" si="11"/>
        <v>111</v>
      </c>
      <c r="R33" s="774" t="s">
        <v>17</v>
      </c>
      <c r="S33" s="775">
        <f t="shared" si="12"/>
        <v>100</v>
      </c>
      <c r="T33" s="774" t="s">
        <v>17</v>
      </c>
      <c r="U33" s="775">
        <f t="shared" si="13"/>
        <v>100</v>
      </c>
      <c r="V33" s="774" t="s">
        <v>17</v>
      </c>
      <c r="W33" s="775">
        <f t="shared" si="14"/>
        <v>100</v>
      </c>
      <c r="X33" s="1812"/>
      <c r="Y33" s="3266"/>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266"/>
      <c r="Q34" s="1809">
        <f t="shared" si="11"/>
        <v>111</v>
      </c>
      <c r="R34" s="774" t="s">
        <v>17</v>
      </c>
      <c r="S34" s="775">
        <f t="shared" si="12"/>
        <v>100</v>
      </c>
      <c r="T34" s="774" t="s">
        <v>17</v>
      </c>
      <c r="U34" s="775">
        <f t="shared" si="13"/>
        <v>100</v>
      </c>
      <c r="V34" s="774" t="s">
        <v>17</v>
      </c>
      <c r="W34" s="775">
        <f t="shared" si="14"/>
        <v>100</v>
      </c>
      <c r="X34" s="1812"/>
      <c r="Y34" s="3266"/>
      <c r="Z34" s="1813">
        <f t="shared" si="15"/>
        <v>111</v>
      </c>
      <c r="AA34" s="1810">
        <f t="shared" si="3"/>
        <v>1</v>
      </c>
      <c r="AB34" s="1810">
        <f t="shared" si="4"/>
        <v>1</v>
      </c>
      <c r="AC34" s="1810">
        <f t="shared" si="5"/>
        <v>1</v>
      </c>
    </row>
    <row r="35" spans="1:29" ht="15">
      <c r="A35" s="479" t="s">
        <v>2573</v>
      </c>
      <c r="B35" s="480"/>
      <c r="C35" s="1406" t="s">
        <v>1</v>
      </c>
      <c r="D35" s="1407"/>
      <c r="E35" s="1408"/>
      <c r="F35" s="1409"/>
      <c r="G35" s="1410"/>
      <c r="H35" s="1411"/>
      <c r="I35" s="1408"/>
      <c r="J35" s="1411"/>
      <c r="K35" s="783"/>
      <c r="L35" s="1142"/>
      <c r="M35" s="1143"/>
      <c r="N35" s="1130"/>
      <c r="O35" s="1143"/>
      <c r="P35" s="3259" t="str">
        <f>A35</f>
        <v>成交单价（元/平方米）</v>
      </c>
      <c r="Q35" s="3259"/>
      <c r="R35" s="3260">
        <f>E35</f>
        <v>0</v>
      </c>
      <c r="S35" s="3260"/>
      <c r="T35" s="3260">
        <f>G35</f>
        <v>0</v>
      </c>
      <c r="U35" s="3260"/>
      <c r="V35" s="3260">
        <f>I35</f>
        <v>0</v>
      </c>
      <c r="W35" s="3260"/>
      <c r="X35" s="759"/>
      <c r="Y35" s="781"/>
      <c r="Z35" s="759"/>
      <c r="AA35" s="759"/>
      <c r="AB35" s="759"/>
      <c r="AC35" s="759"/>
    </row>
    <row r="36" spans="1:29" ht="15.75" thickBot="1">
      <c r="A36" s="486" t="s">
        <v>2665</v>
      </c>
      <c r="B36" s="487"/>
      <c r="C36" s="1412" t="e">
        <f>R37</f>
        <v>#DIV/0!</v>
      </c>
      <c r="D36" s="1413"/>
      <c r="E36" s="1414" t="e">
        <f>R36</f>
        <v>#DIV/0!</v>
      </c>
      <c r="F36" s="1414"/>
      <c r="G36" s="1412" t="e">
        <f>T36</f>
        <v>#DIV/0!</v>
      </c>
      <c r="H36" s="1413"/>
      <c r="I36" s="1414" t="e">
        <f>V36</f>
        <v>#DIV/0!</v>
      </c>
      <c r="J36" s="1413"/>
      <c r="K36" s="784"/>
      <c r="L36" s="1142"/>
      <c r="M36" s="1143"/>
      <c r="N36" s="1130"/>
      <c r="O36" s="1143"/>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2666</v>
      </c>
      <c r="B37" s="493"/>
      <c r="C37" s="1416" t="e">
        <f>R37</f>
        <v>#DIV/0!</v>
      </c>
      <c r="D37" s="1416"/>
      <c r="E37" s="1416"/>
      <c r="F37" s="1416"/>
      <c r="G37" s="1416"/>
      <c r="H37" s="1416"/>
      <c r="I37" s="1416"/>
      <c r="J37" s="1416"/>
      <c r="K37" s="785"/>
      <c r="L37" s="1142"/>
      <c r="M37" s="1143"/>
      <c r="N37" s="1143"/>
      <c r="O37" s="1143"/>
      <c r="P37" s="3256" t="str">
        <f>A37</f>
        <v>估价对象XX用房的比较价值（楼面单价，元/平方米）</v>
      </c>
      <c r="Q37" s="3257"/>
      <c r="R37" s="3258" t="e">
        <f>IF(F1="售价",ROUND(AVERAGE(R36:V36),0),ROUND(AVERAGE(R36:V36),1))</f>
        <v>#DIV/0!</v>
      </c>
      <c r="S37" s="3258"/>
      <c r="T37" s="3258"/>
      <c r="U37" s="3258"/>
      <c r="V37" s="3258"/>
      <c r="W37" s="325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2584</v>
      </c>
      <c r="B51" s="528" t="s">
        <v>2550</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2725</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2559</v>
      </c>
      <c r="B77" s="528" t="s">
        <v>2612</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2729</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2737</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2739</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2641</v>
      </c>
      <c r="B4" s="402"/>
      <c r="C4" s="3242" t="s">
        <v>2642</v>
      </c>
      <c r="D4" s="3243"/>
      <c r="E4" s="3244" t="s">
        <v>2643</v>
      </c>
      <c r="F4" s="3245"/>
      <c r="G4" s="3242" t="s">
        <v>2644</v>
      </c>
      <c r="H4" s="3243"/>
      <c r="I4" s="3242" t="s">
        <v>2645</v>
      </c>
      <c r="J4" s="3243"/>
      <c r="K4" s="610" t="s">
        <v>2646</v>
      </c>
      <c r="L4" s="1129"/>
      <c r="M4" s="1130"/>
      <c r="N4" s="1130"/>
      <c r="O4" s="1130"/>
      <c r="P4" s="3246" t="s">
        <v>2647</v>
      </c>
      <c r="Q4" s="3247"/>
      <c r="R4" s="3229" t="s">
        <v>2643</v>
      </c>
      <c r="S4" s="3230"/>
      <c r="T4" s="3229" t="s">
        <v>2644</v>
      </c>
      <c r="U4" s="3230"/>
      <c r="V4" s="3254" t="s">
        <v>2645</v>
      </c>
      <c r="W4" s="3254"/>
      <c r="X4" s="1812"/>
      <c r="Y4" s="3229" t="s">
        <v>2647</v>
      </c>
      <c r="Z4" s="3230"/>
      <c r="AA4" s="3224" t="s">
        <v>2643</v>
      </c>
      <c r="AB4" s="3225" t="s">
        <v>2644</v>
      </c>
      <c r="AC4" s="3224" t="s">
        <v>2645</v>
      </c>
    </row>
    <row r="5" spans="1:30" ht="15">
      <c r="A5" s="404"/>
      <c r="B5" s="405"/>
      <c r="C5" s="3235" t="s">
        <v>2538</v>
      </c>
      <c r="D5" s="3236"/>
      <c r="E5" s="3233" t="s">
        <v>2539</v>
      </c>
      <c r="F5" s="3234"/>
      <c r="G5" s="3235" t="s">
        <v>2540</v>
      </c>
      <c r="H5" s="3236"/>
      <c r="I5" s="3235" t="s">
        <v>2541</v>
      </c>
      <c r="J5" s="3236"/>
      <c r="K5" s="610"/>
      <c r="L5" s="1129"/>
      <c r="M5" s="1130"/>
      <c r="N5" s="1130"/>
      <c r="O5" s="1130"/>
      <c r="P5" s="3248"/>
      <c r="Q5" s="3249"/>
      <c r="R5" s="3231"/>
      <c r="S5" s="3232"/>
      <c r="T5" s="3231"/>
      <c r="U5" s="3232"/>
      <c r="V5" s="3254"/>
      <c r="W5" s="3254"/>
      <c r="X5" s="1812"/>
      <c r="Y5" s="3231"/>
      <c r="Z5" s="3232"/>
      <c r="AA5" s="3225"/>
      <c r="AB5" s="3225"/>
      <c r="AC5" s="3225"/>
    </row>
    <row r="6" spans="1:30" ht="15.75" thickBot="1">
      <c r="A6" s="406"/>
      <c r="B6" s="407"/>
      <c r="C6" s="3237" t="s">
        <v>2542</v>
      </c>
      <c r="D6" s="3238"/>
      <c r="E6" s="3239" t="s">
        <v>2542</v>
      </c>
      <c r="F6" s="3240"/>
      <c r="G6" s="3237" t="s">
        <v>2542</v>
      </c>
      <c r="H6" s="3238"/>
      <c r="I6" s="3237" t="s">
        <v>2542</v>
      </c>
      <c r="J6" s="3238"/>
      <c r="K6" s="610" t="s">
        <v>2543</v>
      </c>
      <c r="L6" s="1129"/>
      <c r="M6" s="1130"/>
      <c r="N6" s="1130"/>
      <c r="O6" s="1130"/>
      <c r="P6" s="3250"/>
      <c r="Q6" s="3251"/>
      <c r="R6" s="3231"/>
      <c r="S6" s="3232"/>
      <c r="T6" s="3252"/>
      <c r="U6" s="3253"/>
      <c r="V6" s="3254"/>
      <c r="W6" s="3254"/>
      <c r="X6" s="1812"/>
      <c r="Y6" s="3252"/>
      <c r="Z6" s="3253"/>
      <c r="AA6" s="3226"/>
      <c r="AB6" s="3226"/>
      <c r="AC6" s="3226"/>
    </row>
    <row r="7" spans="1:30" s="117" customFormat="1" ht="15.75" thickBot="1">
      <c r="A7" s="408" t="s">
        <v>2544</v>
      </c>
      <c r="B7" s="409"/>
      <c r="C7" s="410">
        <f>'数据-取费表'!B2</f>
        <v>43914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227" t="s">
        <v>2545</v>
      </c>
      <c r="Q7" s="3255"/>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7" t="s">
        <v>2548</v>
      </c>
      <c r="Q8" s="3228"/>
      <c r="R8" s="770" t="s">
        <v>17</v>
      </c>
      <c r="S8" s="771">
        <f t="shared" si="0"/>
        <v>0</v>
      </c>
      <c r="T8" s="770" t="s">
        <v>17</v>
      </c>
      <c r="U8" s="771">
        <f t="shared" si="1"/>
        <v>0</v>
      </c>
      <c r="V8" s="770" t="s">
        <v>17</v>
      </c>
      <c r="W8" s="771">
        <f t="shared" si="2"/>
        <v>0</v>
      </c>
      <c r="X8" s="772"/>
      <c r="Y8" s="3227" t="s">
        <v>2548</v>
      </c>
      <c r="Z8" s="3228"/>
      <c r="AA8" s="773" t="e">
        <f t="shared" ref="AA8:AA45" si="3">D8/F8</f>
        <v>#DIV/0!</v>
      </c>
      <c r="AB8" s="773" t="e">
        <f t="shared" ref="AB8:AB45" si="4">D8/H8</f>
        <v>#DIV/0!</v>
      </c>
      <c r="AC8" s="773" t="e">
        <f t="shared" ref="AC8:AC45" si="5">D8/J8</f>
        <v>#DIV/0!</v>
      </c>
    </row>
    <row r="9" spans="1:30" s="117" customFormat="1">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259" t="s">
        <v>2551</v>
      </c>
      <c r="Q9" s="1794" t="str">
        <f t="shared" ref="Q9:Q15" si="6">B9</f>
        <v>用途</v>
      </c>
      <c r="R9" s="770" t="s">
        <v>17</v>
      </c>
      <c r="S9" s="771">
        <f t="shared" si="0"/>
        <v>100</v>
      </c>
      <c r="T9" s="770" t="s">
        <v>17</v>
      </c>
      <c r="U9" s="771">
        <f t="shared" si="1"/>
        <v>100</v>
      </c>
      <c r="V9" s="770" t="s">
        <v>17</v>
      </c>
      <c r="W9" s="771">
        <f t="shared" si="2"/>
        <v>100</v>
      </c>
      <c r="X9" s="772"/>
      <c r="Y9" s="3074"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259"/>
      <c r="Q10" s="1794" t="str">
        <f t="shared" si="6"/>
        <v>土地使用年限（年）</v>
      </c>
      <c r="R10" s="770" t="s">
        <v>17</v>
      </c>
      <c r="S10" s="771">
        <f t="shared" si="0"/>
        <v>113</v>
      </c>
      <c r="T10" s="770" t="s">
        <v>17</v>
      </c>
      <c r="U10" s="771">
        <f t="shared" si="1"/>
        <v>113</v>
      </c>
      <c r="V10" s="770" t="s">
        <v>17</v>
      </c>
      <c r="W10" s="771">
        <f t="shared" si="2"/>
        <v>113</v>
      </c>
      <c r="X10" s="772"/>
      <c r="Y10" s="3074"/>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9"/>
      <c r="Q11" s="1794"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9"/>
      <c r="Q12" s="1794" t="str">
        <f t="shared" si="6"/>
        <v>配建</v>
      </c>
      <c r="R12" s="770" t="s">
        <v>17</v>
      </c>
      <c r="S12" s="771">
        <f t="shared" si="0"/>
        <v>100</v>
      </c>
      <c r="T12" s="770" t="s">
        <v>17</v>
      </c>
      <c r="U12" s="771">
        <f t="shared" si="1"/>
        <v>100</v>
      </c>
      <c r="V12" s="770" t="s">
        <v>17</v>
      </c>
      <c r="W12" s="771">
        <f t="shared" si="2"/>
        <v>100</v>
      </c>
      <c r="X12" s="772"/>
      <c r="Y12" s="3074"/>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9"/>
      <c r="Q13" s="1794">
        <f t="shared" si="6"/>
        <v>111</v>
      </c>
      <c r="R13" s="770" t="s">
        <v>17</v>
      </c>
      <c r="S13" s="771">
        <f t="shared" si="0"/>
        <v>100</v>
      </c>
      <c r="T13" s="770" t="s">
        <v>17</v>
      </c>
      <c r="U13" s="771">
        <f t="shared" si="1"/>
        <v>100</v>
      </c>
      <c r="V13" s="770" t="s">
        <v>17</v>
      </c>
      <c r="W13" s="771">
        <f t="shared" si="2"/>
        <v>100</v>
      </c>
      <c r="X13" s="772"/>
      <c r="Y13" s="3074"/>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9"/>
      <c r="Q14" s="1794">
        <f t="shared" si="6"/>
        <v>111</v>
      </c>
      <c r="R14" s="770" t="s">
        <v>17</v>
      </c>
      <c r="S14" s="771">
        <f t="shared" si="0"/>
        <v>100</v>
      </c>
      <c r="T14" s="770" t="s">
        <v>17</v>
      </c>
      <c r="U14" s="771">
        <f t="shared" si="1"/>
        <v>100</v>
      </c>
      <c r="V14" s="770" t="s">
        <v>17</v>
      </c>
      <c r="W14" s="771">
        <f t="shared" si="2"/>
        <v>100</v>
      </c>
      <c r="X14" s="772"/>
      <c r="Y14" s="3074"/>
      <c r="Z14" s="55">
        <f t="shared" si="7"/>
        <v>111</v>
      </c>
      <c r="AA14" s="773">
        <f>D14/F14</f>
        <v>1</v>
      </c>
      <c r="AB14" s="773">
        <f>D14/H14</f>
        <v>1</v>
      </c>
      <c r="AC14" s="773">
        <f>D14/J14</f>
        <v>1</v>
      </c>
    </row>
    <row r="15" spans="1:30" ht="99.75">
      <c r="A15" s="440" t="s">
        <v>2555</v>
      </c>
      <c r="B15" s="69" t="s">
        <v>2083</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61" t="s">
        <v>2556</v>
      </c>
      <c r="Q15" s="1809" t="str">
        <f t="shared" si="6"/>
        <v>居住社区成熟度</v>
      </c>
      <c r="R15" s="774" t="s">
        <v>17</v>
      </c>
      <c r="S15" s="775">
        <f t="shared" si="0"/>
        <v>100</v>
      </c>
      <c r="T15" s="774" t="s">
        <v>17</v>
      </c>
      <c r="U15" s="775">
        <f t="shared" si="1"/>
        <v>100</v>
      </c>
      <c r="V15" s="774" t="s">
        <v>17</v>
      </c>
      <c r="W15" s="775">
        <f t="shared" si="2"/>
        <v>100</v>
      </c>
      <c r="X15" s="1812"/>
      <c r="Y15" s="3261" t="s">
        <v>2556</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2"/>
      <c r="L16" s="1139"/>
      <c r="M16" s="1130"/>
      <c r="N16" s="1130"/>
      <c r="O16" s="1138"/>
      <c r="P16" s="3262"/>
      <c r="Q16" s="1809"/>
      <c r="R16" s="774"/>
      <c r="S16" s="775"/>
      <c r="T16" s="774"/>
      <c r="U16" s="775"/>
      <c r="V16" s="774"/>
      <c r="W16" s="775"/>
      <c r="X16" s="1812"/>
      <c r="Y16" s="3262"/>
      <c r="Z16" s="1813"/>
      <c r="AA16" s="1810">
        <v>1</v>
      </c>
      <c r="AB16" s="1810">
        <v>1</v>
      </c>
      <c r="AC16" s="1810">
        <v>1</v>
      </c>
    </row>
    <row r="17" spans="1:29" ht="71.25">
      <c r="A17" s="428"/>
      <c r="B17" s="451" t="s">
        <v>2649</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62"/>
      <c r="Q17" s="1809" t="str">
        <f>B17</f>
        <v>商业繁华度</v>
      </c>
      <c r="R17" s="774" t="s">
        <v>17</v>
      </c>
      <c r="S17" s="775">
        <f>F17</f>
        <v>100</v>
      </c>
      <c r="T17" s="774" t="s">
        <v>17</v>
      </c>
      <c r="U17" s="775">
        <f>H17</f>
        <v>100</v>
      </c>
      <c r="V17" s="774" t="s">
        <v>17</v>
      </c>
      <c r="W17" s="775">
        <f>J17</f>
        <v>100</v>
      </c>
      <c r="X17" s="1812"/>
      <c r="Y17" s="3262"/>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2"/>
      <c r="L18" s="1139"/>
      <c r="M18" s="1130"/>
      <c r="N18" s="1130"/>
      <c r="O18" s="1138"/>
      <c r="P18" s="3262"/>
      <c r="Q18" s="1809"/>
      <c r="R18" s="774"/>
      <c r="S18" s="775"/>
      <c r="T18" s="774"/>
      <c r="U18" s="775"/>
      <c r="V18" s="774"/>
      <c r="W18" s="775"/>
      <c r="X18" s="1812"/>
      <c r="Y18" s="3262"/>
      <c r="Z18" s="1813"/>
      <c r="AA18" s="1810">
        <v>1</v>
      </c>
      <c r="AB18" s="1810">
        <v>1</v>
      </c>
      <c r="AC18" s="1810">
        <v>1</v>
      </c>
    </row>
    <row r="19" spans="1:29" ht="71.25">
      <c r="A19" s="428"/>
      <c r="B19" s="451" t="s">
        <v>2683</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62"/>
      <c r="Q19" s="1809" t="str">
        <f>B19</f>
        <v>办公集聚程度</v>
      </c>
      <c r="R19" s="774" t="s">
        <v>17</v>
      </c>
      <c r="S19" s="775">
        <f>F19</f>
        <v>100</v>
      </c>
      <c r="T19" s="774" t="s">
        <v>17</v>
      </c>
      <c r="U19" s="775">
        <f>H19</f>
        <v>100</v>
      </c>
      <c r="V19" s="774" t="s">
        <v>17</v>
      </c>
      <c r="W19" s="775">
        <f>J19</f>
        <v>100</v>
      </c>
      <c r="X19" s="1812"/>
      <c r="Y19" s="3262"/>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2"/>
      <c r="L20" s="1139"/>
      <c r="M20" s="1130"/>
      <c r="N20" s="1130"/>
      <c r="O20" s="1138"/>
      <c r="P20" s="3262"/>
      <c r="Q20" s="1809"/>
      <c r="R20" s="774"/>
      <c r="S20" s="775"/>
      <c r="T20" s="774"/>
      <c r="U20" s="775"/>
      <c r="V20" s="774"/>
      <c r="W20" s="775"/>
      <c r="X20" s="1812"/>
      <c r="Y20" s="3262"/>
      <c r="Z20" s="1813"/>
      <c r="AA20" s="1810">
        <v>1</v>
      </c>
      <c r="AB20" s="1810">
        <v>1</v>
      </c>
      <c r="AC20" s="1810">
        <v>1</v>
      </c>
    </row>
    <row r="21" spans="1:29" ht="85.5">
      <c r="A21" s="428"/>
      <c r="B21" s="451" t="s">
        <v>2705</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62"/>
      <c r="Q21" s="1809" t="str">
        <f>B21</f>
        <v>交通便捷度</v>
      </c>
      <c r="R21" s="774" t="s">
        <v>17</v>
      </c>
      <c r="S21" s="775">
        <f>F21</f>
        <v>100</v>
      </c>
      <c r="T21" s="774" t="s">
        <v>17</v>
      </c>
      <c r="U21" s="775">
        <f>H21</f>
        <v>100</v>
      </c>
      <c r="V21" s="774" t="s">
        <v>17</v>
      </c>
      <c r="W21" s="775">
        <f>J21</f>
        <v>100</v>
      </c>
      <c r="X21" s="1812"/>
      <c r="Y21" s="3262"/>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2"/>
      <c r="L22" s="1139"/>
      <c r="M22" s="1130"/>
      <c r="N22" s="1130"/>
      <c r="O22" s="1138"/>
      <c r="P22" s="3262"/>
      <c r="Q22" s="1809"/>
      <c r="R22" s="774"/>
      <c r="S22" s="775"/>
      <c r="T22" s="774"/>
      <c r="U22" s="775"/>
      <c r="V22" s="774"/>
      <c r="W22" s="775"/>
      <c r="X22" s="1812"/>
      <c r="Y22" s="3262"/>
      <c r="Z22" s="1813"/>
      <c r="AA22" s="1810">
        <v>1</v>
      </c>
      <c r="AB22" s="1810">
        <v>1</v>
      </c>
      <c r="AC22" s="1810">
        <v>1</v>
      </c>
    </row>
    <row r="23" spans="1:29" ht="15">
      <c r="A23" s="404"/>
      <c r="B23" s="451" t="s">
        <v>2744</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62"/>
      <c r="Q23" s="1809" t="str">
        <f t="shared" ref="Q23:Q37" si="8">B23</f>
        <v>区域土地利用方向</v>
      </c>
      <c r="R23" s="774" t="s">
        <v>17</v>
      </c>
      <c r="S23" s="775">
        <f>F23</f>
        <v>100</v>
      </c>
      <c r="T23" s="774" t="s">
        <v>17</v>
      </c>
      <c r="U23" s="775">
        <f>H23</f>
        <v>100</v>
      </c>
      <c r="V23" s="774" t="s">
        <v>17</v>
      </c>
      <c r="W23" s="775">
        <f>J23</f>
        <v>100</v>
      </c>
      <c r="X23" s="1812"/>
      <c r="Y23" s="3262"/>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2"/>
      <c r="L24" s="1139"/>
      <c r="M24" s="1130"/>
      <c r="N24" s="1130"/>
      <c r="O24" s="1138"/>
      <c r="P24" s="3262"/>
      <c r="Q24" s="1809"/>
      <c r="R24" s="774"/>
      <c r="S24" s="775"/>
      <c r="T24" s="774"/>
      <c r="U24" s="775"/>
      <c r="V24" s="774"/>
      <c r="W24" s="775"/>
      <c r="X24" s="1812"/>
      <c r="Y24" s="3262"/>
      <c r="Z24" s="1813"/>
      <c r="AA24" s="1810"/>
      <c r="AB24" s="1810"/>
      <c r="AC24" s="1810"/>
    </row>
    <row r="25" spans="1:29" ht="57">
      <c r="A25" s="404"/>
      <c r="B25" s="1383" t="s">
        <v>2745</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62"/>
      <c r="Q25" s="1809" t="str">
        <f t="shared" si="8"/>
        <v>自然及人文环境状况</v>
      </c>
      <c r="R25" s="774" t="s">
        <v>17</v>
      </c>
      <c r="S25" s="775">
        <f>F25</f>
        <v>100</v>
      </c>
      <c r="T25" s="774" t="s">
        <v>17</v>
      </c>
      <c r="U25" s="775">
        <f>H25</f>
        <v>100</v>
      </c>
      <c r="V25" s="774" t="s">
        <v>17</v>
      </c>
      <c r="W25" s="775">
        <f>J25</f>
        <v>100</v>
      </c>
      <c r="X25" s="1812"/>
      <c r="Y25" s="3262"/>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2"/>
      <c r="L26" s="1139"/>
      <c r="M26" s="1130"/>
      <c r="N26" s="1130"/>
      <c r="O26" s="1138"/>
      <c r="P26" s="3262"/>
      <c r="Q26" s="1809"/>
      <c r="R26" s="774"/>
      <c r="S26" s="775"/>
      <c r="T26" s="774"/>
      <c r="U26" s="775"/>
      <c r="V26" s="774"/>
      <c r="W26" s="775"/>
      <c r="X26" s="1812"/>
      <c r="Y26" s="3262"/>
      <c r="Z26" s="1813"/>
      <c r="AA26" s="1810">
        <v>1</v>
      </c>
      <c r="AB26" s="1810">
        <v>1</v>
      </c>
      <c r="AC26" s="1810">
        <v>1</v>
      </c>
    </row>
    <row r="27" spans="1:29" s="117" customFormat="1" ht="42.75">
      <c r="A27" s="649"/>
      <c r="B27" s="1383" t="s">
        <v>2650</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62"/>
      <c r="Q27" s="1794" t="str">
        <f t="shared" si="8"/>
        <v>公共配套设施</v>
      </c>
      <c r="R27" s="770" t="s">
        <v>17</v>
      </c>
      <c r="S27" s="771">
        <f>F27</f>
        <v>100</v>
      </c>
      <c r="T27" s="770" t="s">
        <v>17</v>
      </c>
      <c r="U27" s="771">
        <f>H27</f>
        <v>100</v>
      </c>
      <c r="V27" s="770" t="s">
        <v>17</v>
      </c>
      <c r="W27" s="771">
        <f>J27</f>
        <v>100</v>
      </c>
      <c r="X27" s="772"/>
      <c r="Y27" s="3262"/>
      <c r="Z27" s="55" t="str">
        <f>Q27</f>
        <v>公共配套设施</v>
      </c>
      <c r="AA27" s="1810">
        <f>D27/F27</f>
        <v>1</v>
      </c>
      <c r="AB27" s="1810">
        <f>D27/H27</f>
        <v>1</v>
      </c>
      <c r="AC27" s="1810">
        <f>D27/J27</f>
        <v>1</v>
      </c>
    </row>
    <row r="28" spans="1:29" s="117" customFormat="1" ht="15">
      <c r="A28" s="649"/>
      <c r="B28" s="456"/>
      <c r="C28" s="2697"/>
      <c r="D28" s="448"/>
      <c r="E28" s="2608"/>
      <c r="F28" s="448"/>
      <c r="G28" s="2608"/>
      <c r="H28" s="448"/>
      <c r="I28" s="447"/>
      <c r="J28" s="448"/>
      <c r="K28" s="672"/>
      <c r="L28" s="1131"/>
      <c r="M28" s="1132"/>
      <c r="N28" s="1132"/>
      <c r="O28" s="1133"/>
      <c r="P28" s="3262"/>
      <c r="Q28" s="1794"/>
      <c r="R28" s="770"/>
      <c r="S28" s="771"/>
      <c r="T28" s="770"/>
      <c r="U28" s="771"/>
      <c r="V28" s="770"/>
      <c r="W28" s="771"/>
      <c r="X28" s="772"/>
      <c r="Y28" s="3262"/>
      <c r="Z28" s="55"/>
      <c r="AA28" s="1810">
        <v>1</v>
      </c>
      <c r="AB28" s="1810">
        <v>1</v>
      </c>
      <c r="AC28" s="1810">
        <v>1</v>
      </c>
    </row>
    <row r="29" spans="1:29" s="117" customFormat="1" ht="28.5">
      <c r="A29" s="649"/>
      <c r="B29" s="1383" t="s">
        <v>2651</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62"/>
      <c r="Q29" s="1794" t="str">
        <f t="shared" ref="Q29" si="9">B29</f>
        <v>基础设施水平</v>
      </c>
      <c r="R29" s="770" t="s">
        <v>17</v>
      </c>
      <c r="S29" s="771">
        <f>F29</f>
        <v>100</v>
      </c>
      <c r="T29" s="770" t="s">
        <v>17</v>
      </c>
      <c r="U29" s="771">
        <f>H29</f>
        <v>100</v>
      </c>
      <c r="V29" s="770" t="s">
        <v>17</v>
      </c>
      <c r="W29" s="771">
        <f>J29</f>
        <v>100</v>
      </c>
      <c r="X29" s="772"/>
      <c r="Y29" s="3262"/>
      <c r="Z29" s="55" t="str">
        <f>Q29</f>
        <v>基础设施水平</v>
      </c>
      <c r="AA29" s="1810">
        <f>D29/F29</f>
        <v>1</v>
      </c>
      <c r="AB29" s="1810">
        <f>D29/H29</f>
        <v>1</v>
      </c>
      <c r="AC29" s="1810">
        <f>D29/J29</f>
        <v>1</v>
      </c>
    </row>
    <row r="30" spans="1:29" s="117" customFormat="1" ht="15">
      <c r="A30" s="649"/>
      <c r="B30" s="456"/>
      <c r="C30" s="2697"/>
      <c r="D30" s="448"/>
      <c r="E30" s="2698"/>
      <c r="F30" s="448"/>
      <c r="G30" s="2698"/>
      <c r="H30" s="448"/>
      <c r="I30" s="2698"/>
      <c r="J30" s="448"/>
      <c r="K30" s="672"/>
      <c r="L30" s="1131"/>
      <c r="M30" s="1132"/>
      <c r="N30" s="1132"/>
      <c r="O30" s="1133"/>
      <c r="P30" s="3262"/>
      <c r="Q30" s="1794"/>
      <c r="R30" s="770"/>
      <c r="S30" s="771"/>
      <c r="T30" s="770"/>
      <c r="U30" s="771"/>
      <c r="V30" s="770"/>
      <c r="W30" s="771"/>
      <c r="X30" s="772"/>
      <c r="Y30" s="3262"/>
      <c r="Z30" s="55"/>
      <c r="AA30" s="1810">
        <v>1</v>
      </c>
      <c r="AB30" s="1810">
        <v>1</v>
      </c>
      <c r="AC30" s="1810">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6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2"/>
      <c r="Z31" s="1813" t="str">
        <f t="shared" ref="Z31:Z45" si="13">Q31</f>
        <v>临街状况</v>
      </c>
      <c r="AA31" s="1810">
        <f t="shared" si="3"/>
        <v>1</v>
      </c>
      <c r="AB31" s="1810">
        <f t="shared" si="4"/>
        <v>1</v>
      </c>
      <c r="AC31" s="1810">
        <f t="shared" si="5"/>
        <v>1</v>
      </c>
    </row>
    <row r="32" spans="1:29" ht="27">
      <c r="A32" s="428"/>
      <c r="B32" s="1383"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62"/>
      <c r="Q32" s="1809" t="str">
        <f t="shared" si="8"/>
        <v>毗邻道路的类型与等级</v>
      </c>
      <c r="R32" s="774" t="s">
        <v>17</v>
      </c>
      <c r="S32" s="775">
        <f t="shared" si="10"/>
        <v>100</v>
      </c>
      <c r="T32" s="774" t="s">
        <v>17</v>
      </c>
      <c r="U32" s="775">
        <f t="shared" si="11"/>
        <v>100</v>
      </c>
      <c r="V32" s="774" t="s">
        <v>17</v>
      </c>
      <c r="W32" s="775">
        <f t="shared" si="12"/>
        <v>100</v>
      </c>
      <c r="X32" s="1812"/>
      <c r="Y32" s="3262"/>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262"/>
      <c r="Q33" s="1809"/>
      <c r="R33" s="774"/>
      <c r="S33" s="775"/>
      <c r="T33" s="774"/>
      <c r="U33" s="775"/>
      <c r="V33" s="774"/>
      <c r="W33" s="775"/>
      <c r="X33" s="1812"/>
      <c r="Y33" s="3262"/>
      <c r="Z33" s="1813"/>
      <c r="AA33" s="1810">
        <v>1</v>
      </c>
      <c r="AB33" s="1810">
        <v>1</v>
      </c>
      <c r="AC33" s="1810">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62"/>
      <c r="Q34" s="1809" t="str">
        <f t="shared" si="8"/>
        <v>土地级别</v>
      </c>
      <c r="R34" s="774" t="s">
        <v>17</v>
      </c>
      <c r="S34" s="775">
        <f t="shared" si="10"/>
        <v>100</v>
      </c>
      <c r="T34" s="774" t="s">
        <v>17</v>
      </c>
      <c r="U34" s="775">
        <f t="shared" si="11"/>
        <v>100</v>
      </c>
      <c r="V34" s="774" t="s">
        <v>17</v>
      </c>
      <c r="W34" s="775">
        <f t="shared" si="12"/>
        <v>100</v>
      </c>
      <c r="X34" s="1812"/>
      <c r="Y34" s="3262"/>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62"/>
      <c r="Q35" s="1809">
        <f t="shared" si="8"/>
        <v>111</v>
      </c>
      <c r="R35" s="774" t="s">
        <v>17</v>
      </c>
      <c r="S35" s="775">
        <f t="shared" si="10"/>
        <v>100</v>
      </c>
      <c r="T35" s="774" t="s">
        <v>17</v>
      </c>
      <c r="U35" s="775">
        <f t="shared" si="11"/>
        <v>100</v>
      </c>
      <c r="V35" s="774" t="s">
        <v>17</v>
      </c>
      <c r="W35" s="775">
        <f t="shared" si="12"/>
        <v>100</v>
      </c>
      <c r="X35" s="1812"/>
      <c r="Y35" s="3262"/>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7" t="s">
        <v>2561</v>
      </c>
      <c r="Q36" s="1809">
        <f t="shared" si="8"/>
        <v>111</v>
      </c>
      <c r="R36" s="774" t="s">
        <v>17</v>
      </c>
      <c r="S36" s="775">
        <f t="shared" si="10"/>
        <v>100</v>
      </c>
      <c r="T36" s="774" t="s">
        <v>17</v>
      </c>
      <c r="U36" s="775">
        <f t="shared" si="11"/>
        <v>100</v>
      </c>
      <c r="V36" s="774" t="s">
        <v>17</v>
      </c>
      <c r="W36" s="775">
        <f t="shared" si="12"/>
        <v>100</v>
      </c>
      <c r="X36" s="1812"/>
      <c r="Y36" s="3266" t="s">
        <v>2561</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6"/>
      <c r="Q37" s="1809">
        <f t="shared" si="8"/>
        <v>111</v>
      </c>
      <c r="R37" s="777" t="s">
        <v>17</v>
      </c>
      <c r="S37" s="778">
        <f t="shared" si="10"/>
        <v>100</v>
      </c>
      <c r="T37" s="777" t="s">
        <v>17</v>
      </c>
      <c r="U37" s="778">
        <f t="shared" si="11"/>
        <v>100</v>
      </c>
      <c r="V37" s="777" t="s">
        <v>17</v>
      </c>
      <c r="W37" s="778">
        <f t="shared" si="12"/>
        <v>100</v>
      </c>
      <c r="X37" s="779"/>
      <c r="Y37" s="3266"/>
      <c r="Z37" s="780">
        <f t="shared" si="13"/>
        <v>111</v>
      </c>
      <c r="AA37" s="1810">
        <f t="shared" si="3"/>
        <v>1</v>
      </c>
      <c r="AB37" s="1810">
        <f t="shared" si="4"/>
        <v>1</v>
      </c>
      <c r="AC37" s="1810">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6"/>
      <c r="Q38" s="1809" t="str">
        <f>B38</f>
        <v>宗地面积</v>
      </c>
      <c r="R38" s="774" t="s">
        <v>17</v>
      </c>
      <c r="S38" s="775" t="e">
        <f t="shared" si="10"/>
        <v>#N/A</v>
      </c>
      <c r="T38" s="774" t="s">
        <v>17</v>
      </c>
      <c r="U38" s="775" t="e">
        <f t="shared" si="11"/>
        <v>#N/A</v>
      </c>
      <c r="V38" s="774" t="s">
        <v>17</v>
      </c>
      <c r="W38" s="775" t="e">
        <f t="shared" si="12"/>
        <v>#N/A</v>
      </c>
      <c r="X38" s="1812"/>
      <c r="Y38" s="3266"/>
      <c r="Z38" s="1813" t="str">
        <f t="shared" si="13"/>
        <v>宗地面积</v>
      </c>
      <c r="AA38" s="1810" t="e">
        <f t="shared" si="3"/>
        <v>#N/A</v>
      </c>
      <c r="AB38" s="1810" t="e">
        <f t="shared" si="4"/>
        <v>#N/A</v>
      </c>
      <c r="AC38" s="1810"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266"/>
      <c r="Q39" s="1809" t="str">
        <f t="shared" ref="Q39:Q45" si="14">B39</f>
        <v>宗地形状</v>
      </c>
      <c r="R39" s="774" t="s">
        <v>17</v>
      </c>
      <c r="S39" s="775">
        <f t="shared" si="10"/>
        <v>100</v>
      </c>
      <c r="T39" s="774" t="s">
        <v>17</v>
      </c>
      <c r="U39" s="775">
        <f t="shared" si="11"/>
        <v>100</v>
      </c>
      <c r="V39" s="774" t="s">
        <v>17</v>
      </c>
      <c r="W39" s="775">
        <f t="shared" si="12"/>
        <v>100</v>
      </c>
      <c r="X39" s="1812"/>
      <c r="Y39" s="3266"/>
      <c r="Z39" s="1813" t="str">
        <f t="shared" si="13"/>
        <v>宗地形状</v>
      </c>
      <c r="AA39" s="1810">
        <f t="shared" si="3"/>
        <v>1</v>
      </c>
      <c r="AB39" s="1810">
        <f t="shared" si="4"/>
        <v>1</v>
      </c>
      <c r="AC39" s="1810">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266"/>
      <c r="Q40" s="1809" t="str">
        <f t="shared" si="14"/>
        <v>临街宽度及深度</v>
      </c>
      <c r="R40" s="774" t="s">
        <v>17</v>
      </c>
      <c r="S40" s="775">
        <f t="shared" si="10"/>
        <v>100</v>
      </c>
      <c r="T40" s="774" t="s">
        <v>17</v>
      </c>
      <c r="U40" s="775">
        <f t="shared" si="11"/>
        <v>100</v>
      </c>
      <c r="V40" s="774" t="s">
        <v>17</v>
      </c>
      <c r="W40" s="775">
        <f t="shared" si="12"/>
        <v>100</v>
      </c>
      <c r="X40" s="1812"/>
      <c r="Y40" s="3266"/>
      <c r="Z40" s="1813" t="str">
        <f t="shared" si="13"/>
        <v>临街宽度及深度</v>
      </c>
      <c r="AA40" s="1810">
        <f t="shared" si="3"/>
        <v>1</v>
      </c>
      <c r="AB40" s="1810">
        <f t="shared" si="4"/>
        <v>1</v>
      </c>
      <c r="AC40" s="1810">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266"/>
      <c r="Q41" s="1809" t="str">
        <f t="shared" si="14"/>
        <v>宗地开发程度</v>
      </c>
      <c r="R41" s="770" t="s">
        <v>17</v>
      </c>
      <c r="S41" s="771">
        <f t="shared" si="10"/>
        <v>100</v>
      </c>
      <c r="T41" s="770" t="s">
        <v>17</v>
      </c>
      <c r="U41" s="771">
        <f t="shared" si="11"/>
        <v>100</v>
      </c>
      <c r="V41" s="770" t="s">
        <v>17</v>
      </c>
      <c r="W41" s="771">
        <f t="shared" si="12"/>
        <v>100</v>
      </c>
      <c r="X41" s="772"/>
      <c r="Y41" s="3266"/>
      <c r="Z41" s="55" t="str">
        <f t="shared" si="13"/>
        <v>宗地开发程度</v>
      </c>
      <c r="AA41" s="773">
        <f t="shared" si="3"/>
        <v>1</v>
      </c>
      <c r="AB41" s="773">
        <f t="shared" si="4"/>
        <v>1</v>
      </c>
      <c r="AC41" s="773">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266" t="s">
        <v>2561</v>
      </c>
      <c r="Q42" s="1809" t="str">
        <f t="shared" si="14"/>
        <v>工程地质条件</v>
      </c>
      <c r="R42" s="774" t="s">
        <v>17</v>
      </c>
      <c r="S42" s="775">
        <f t="shared" si="10"/>
        <v>100</v>
      </c>
      <c r="T42" s="774" t="s">
        <v>17</v>
      </c>
      <c r="U42" s="775">
        <f t="shared" si="11"/>
        <v>100</v>
      </c>
      <c r="V42" s="774" t="s">
        <v>17</v>
      </c>
      <c r="W42" s="775">
        <f t="shared" si="12"/>
        <v>100</v>
      </c>
      <c r="X42" s="1812"/>
      <c r="Y42" s="3266" t="s">
        <v>2561</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6"/>
      <c r="Q43" s="1809">
        <f t="shared" si="14"/>
        <v>111</v>
      </c>
      <c r="R43" s="774" t="s">
        <v>17</v>
      </c>
      <c r="S43" s="775">
        <f t="shared" si="10"/>
        <v>100</v>
      </c>
      <c r="T43" s="774" t="s">
        <v>17</v>
      </c>
      <c r="U43" s="775">
        <f t="shared" si="11"/>
        <v>100</v>
      </c>
      <c r="V43" s="774" t="s">
        <v>17</v>
      </c>
      <c r="W43" s="775">
        <f t="shared" si="12"/>
        <v>100</v>
      </c>
      <c r="X43" s="1812"/>
      <c r="Y43" s="3266"/>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6"/>
      <c r="Q44" s="1809">
        <f t="shared" si="14"/>
        <v>111</v>
      </c>
      <c r="R44" s="774" t="s">
        <v>17</v>
      </c>
      <c r="S44" s="775">
        <f t="shared" si="10"/>
        <v>100</v>
      </c>
      <c r="T44" s="774" t="s">
        <v>17</v>
      </c>
      <c r="U44" s="775">
        <f t="shared" si="11"/>
        <v>100</v>
      </c>
      <c r="V44" s="774" t="s">
        <v>17</v>
      </c>
      <c r="W44" s="775">
        <f t="shared" si="12"/>
        <v>100</v>
      </c>
      <c r="X44" s="1812"/>
      <c r="Y44" s="3266"/>
      <c r="Z44" s="1813">
        <f t="shared" si="13"/>
        <v>111</v>
      </c>
      <c r="AA44" s="1810">
        <f t="shared" si="3"/>
        <v>1</v>
      </c>
      <c r="AB44" s="1810">
        <f t="shared" si="4"/>
        <v>1</v>
      </c>
      <c r="AC44" s="1810">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6"/>
      <c r="Q45" s="1809">
        <f t="shared" si="14"/>
        <v>111</v>
      </c>
      <c r="R45" s="777" t="s">
        <v>17</v>
      </c>
      <c r="S45" s="778">
        <f t="shared" si="10"/>
        <v>100</v>
      </c>
      <c r="T45" s="777" t="s">
        <v>17</v>
      </c>
      <c r="U45" s="778">
        <f t="shared" si="11"/>
        <v>100</v>
      </c>
      <c r="V45" s="777" t="s">
        <v>17</v>
      </c>
      <c r="W45" s="778">
        <f t="shared" si="12"/>
        <v>100</v>
      </c>
      <c r="X45" s="779"/>
      <c r="Y45" s="3266"/>
      <c r="Z45" s="780">
        <f t="shared" si="13"/>
        <v>111</v>
      </c>
      <c r="AA45" s="1810">
        <f t="shared" si="3"/>
        <v>1</v>
      </c>
      <c r="AB45" s="1810">
        <f t="shared" si="4"/>
        <v>1</v>
      </c>
      <c r="AC45" s="1810">
        <f t="shared" si="5"/>
        <v>1</v>
      </c>
    </row>
    <row r="46" spans="1:29" ht="15">
      <c r="A46" s="479" t="s">
        <v>2716</v>
      </c>
      <c r="B46" s="2701" t="s">
        <v>2752</v>
      </c>
      <c r="C46" s="682" t="s">
        <v>1</v>
      </c>
      <c r="D46" s="481"/>
      <c r="E46" s="482"/>
      <c r="F46" s="483"/>
      <c r="G46" s="484"/>
      <c r="H46" s="485"/>
      <c r="I46" s="482"/>
      <c r="J46" s="485"/>
      <c r="K46" s="783"/>
      <c r="L46" s="1142"/>
      <c r="M46" s="1143"/>
      <c r="N46" s="1130"/>
      <c r="O46" s="1143"/>
      <c r="P46" s="3259" t="str">
        <f>A46</f>
        <v>成交单价</v>
      </c>
      <c r="Q46" s="3259"/>
      <c r="R46" s="3254">
        <f>E46</f>
        <v>0</v>
      </c>
      <c r="S46" s="3254"/>
      <c r="T46" s="3254">
        <f>G46</f>
        <v>0</v>
      </c>
      <c r="U46" s="3254"/>
      <c r="V46" s="3254">
        <f>I46</f>
        <v>0</v>
      </c>
      <c r="W46" s="3254"/>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2"/>
      <c r="M47" s="1143"/>
      <c r="N47" s="1143"/>
      <c r="O47" s="1143"/>
      <c r="P47" s="3259" t="str">
        <f>A47</f>
        <v>比较价值（元/平方米）</v>
      </c>
      <c r="Q47" s="3259"/>
      <c r="R47" s="3288" t="e">
        <f>ROUND(PRODUCT(R46,AA7:AA45),0)</f>
        <v>#DIV/0!</v>
      </c>
      <c r="S47" s="3288"/>
      <c r="T47" s="3288" t="e">
        <f>ROUND(PRODUCT(T46,AB7:AB45),0)</f>
        <v>#DIV/0!</v>
      </c>
      <c r="U47" s="3288"/>
      <c r="V47" s="3288" t="e">
        <f>ROUND(PRODUCT(V46,AC7:AC45),0)</f>
        <v>#DIV/0!</v>
      </c>
      <c r="W47" s="3288"/>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2"/>
      <c r="M48" s="1143"/>
      <c r="N48" s="1143"/>
      <c r="O48" s="1143"/>
      <c r="P48" s="3256" t="str">
        <f>A48</f>
        <v>估价对象XX用房的比较价值（楼面单价，元/平方米）</v>
      </c>
      <c r="Q48" s="3257"/>
      <c r="R48" s="3289" t="e">
        <f>ROUND(AVERAGE(R47:V47),0)</f>
        <v>#DIV/0!</v>
      </c>
      <c r="S48" s="3289"/>
      <c r="T48" s="3289"/>
      <c r="U48" s="3289"/>
      <c r="V48" s="3289"/>
      <c r="W48" s="328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2754</v>
      </c>
      <c r="B55" s="685" t="s">
        <v>2755</v>
      </c>
      <c r="C55" s="2702" t="s">
        <v>2756</v>
      </c>
      <c r="D55" s="2703" t="s">
        <v>2757</v>
      </c>
      <c r="E55" s="686" t="s">
        <v>2758</v>
      </c>
      <c r="F55" s="1106" t="s">
        <v>2759</v>
      </c>
      <c r="G55" s="3242" t="s">
        <v>2760</v>
      </c>
      <c r="H55" s="3290"/>
      <c r="I55" s="144" t="s">
        <v>2761</v>
      </c>
      <c r="J55" s="2704">
        <f>项目基本情况!F35</f>
        <v>0</v>
      </c>
      <c r="K55" s="2705" t="s">
        <v>2762</v>
      </c>
      <c r="L55" s="1105"/>
      <c r="M55" s="1143"/>
      <c r="N55" s="1143"/>
      <c r="O55" s="1143"/>
    </row>
    <row r="56" spans="1:15" s="692" customFormat="1">
      <c r="A56" s="688" t="s">
        <v>2763</v>
      </c>
      <c r="B56" s="689" t="e">
        <f>C48</f>
        <v>#DIV/0!</v>
      </c>
      <c r="C56" s="690">
        <v>1</v>
      </c>
      <c r="D56" s="1162">
        <v>1</v>
      </c>
      <c r="E56" s="690">
        <f>'数据-汇总表'!E8+'数据-汇总表'!E9</f>
        <v>631.32000000000005</v>
      </c>
      <c r="F56" s="1102" t="e">
        <f t="shared" ref="F56:F65" si="15">ROUND(B56*E56/10000,0)</f>
        <v>#DIV/0!</v>
      </c>
      <c r="G56" s="3241"/>
      <c r="H56" s="3259"/>
      <c r="I56" s="1107">
        <v>1</v>
      </c>
      <c r="J56" s="1110">
        <v>1</v>
      </c>
      <c r="K56" s="1144"/>
      <c r="L56" s="941"/>
      <c r="M56" s="941"/>
      <c r="N56" s="941"/>
      <c r="O56" s="941"/>
    </row>
    <row r="57" spans="1:15" s="692" customFormat="1">
      <c r="A57" s="693" t="s">
        <v>2764</v>
      </c>
      <c r="B57" s="262" t="e">
        <f>ROUND($C$48*C57*D57,0)</f>
        <v>#DIV/0!</v>
      </c>
      <c r="C57" s="200">
        <f t="shared" ref="C57:C65" si="16">IF($C$55="北京市系数",I57,J57)</f>
        <v>0</v>
      </c>
      <c r="D57" s="1163">
        <v>0.25</v>
      </c>
      <c r="E57" s="694"/>
      <c r="F57" s="1102" t="e">
        <f t="shared" si="15"/>
        <v>#DIV/0!</v>
      </c>
      <c r="G57" s="3291" t="s">
        <v>2765</v>
      </c>
      <c r="H57" s="1103">
        <f>项目基本情况!B37</f>
        <v>0</v>
      </c>
      <c r="I57" s="1107">
        <f>SUMIF(修正!A45:A56,H57,修正!B45:B56)</f>
        <v>0</v>
      </c>
      <c r="J57" s="1111"/>
      <c r="K57" s="1143"/>
      <c r="L57" s="941"/>
      <c r="M57" s="941"/>
      <c r="N57" s="941"/>
      <c r="O57" s="941"/>
    </row>
    <row r="58" spans="1:15" s="692" customFormat="1">
      <c r="A58" s="693" t="s">
        <v>2766</v>
      </c>
      <c r="B58" s="262" t="e">
        <f t="shared" ref="B58:B65" si="17">ROUND($C$48*C58*D58,0)</f>
        <v>#DIV/0!</v>
      </c>
      <c r="C58" s="200">
        <f t="shared" si="16"/>
        <v>0</v>
      </c>
      <c r="D58" s="1163">
        <v>0.25</v>
      </c>
      <c r="E58" s="694"/>
      <c r="F58" s="1102" t="e">
        <f t="shared" si="15"/>
        <v>#DIV/0!</v>
      </c>
      <c r="G58" s="3291"/>
      <c r="H58" s="1103">
        <f>项目基本情况!B37</f>
        <v>0</v>
      </c>
      <c r="I58" s="1107">
        <f>SUMIF(修正!A45:A56,H58,修正!C45:C56)</f>
        <v>0</v>
      </c>
      <c r="J58" s="1111"/>
      <c r="K58" s="1144"/>
      <c r="L58" s="941"/>
      <c r="M58" s="941"/>
      <c r="N58" s="941"/>
      <c r="O58" s="941"/>
    </row>
    <row r="59" spans="1:15" s="692" customFormat="1">
      <c r="A59" s="693" t="s">
        <v>2767</v>
      </c>
      <c r="B59" s="262" t="e">
        <f t="shared" si="17"/>
        <v>#DIV/0!</v>
      </c>
      <c r="C59" s="200">
        <f t="shared" si="16"/>
        <v>0</v>
      </c>
      <c r="D59" s="1163">
        <v>0.25</v>
      </c>
      <c r="E59" s="694"/>
      <c r="F59" s="1102" t="e">
        <f t="shared" si="15"/>
        <v>#DIV/0!</v>
      </c>
      <c r="G59" s="3291"/>
      <c r="H59" s="1103">
        <f>项目基本情况!B37</f>
        <v>0</v>
      </c>
      <c r="I59" s="1107">
        <f>SUMIF(修正!A45:A56,H59,修正!D45:D56)</f>
        <v>0</v>
      </c>
      <c r="J59" s="1111"/>
      <c r="K59" s="1143"/>
      <c r="L59" s="941"/>
      <c r="M59" s="941"/>
      <c r="N59" s="941"/>
      <c r="O59" s="941"/>
    </row>
    <row r="60" spans="1:15" s="692" customFormat="1">
      <c r="A60" s="693" t="s">
        <v>2768</v>
      </c>
      <c r="B60" s="262" t="e">
        <f t="shared" si="17"/>
        <v>#DIV/0!</v>
      </c>
      <c r="C60" s="200">
        <f t="shared" si="16"/>
        <v>0</v>
      </c>
      <c r="D60" s="1163">
        <v>0.25</v>
      </c>
      <c r="E60" s="694"/>
      <c r="F60" s="1102" t="e">
        <f t="shared" si="15"/>
        <v>#DIV/0!</v>
      </c>
      <c r="G60" s="3291"/>
      <c r="H60" s="1103">
        <f>项目基本情况!B37</f>
        <v>0</v>
      </c>
      <c r="I60" s="1107">
        <f>SUMIF(修正!A45:A56,H60,修正!E45:E56)</f>
        <v>0</v>
      </c>
      <c r="J60" s="1111"/>
      <c r="K60" s="1144"/>
      <c r="L60" s="941"/>
      <c r="M60" s="941"/>
      <c r="N60" s="941"/>
      <c r="O60" s="941"/>
    </row>
    <row r="61" spans="1:15" s="692" customFormat="1">
      <c r="A61" s="693" t="s">
        <v>2769</v>
      </c>
      <c r="B61" s="262" t="e">
        <f t="shared" si="17"/>
        <v>#DIV/0!</v>
      </c>
      <c r="C61" s="200">
        <f t="shared" si="16"/>
        <v>0</v>
      </c>
      <c r="D61" s="1163">
        <v>0.25</v>
      </c>
      <c r="E61" s="261">
        <f>'数据-汇总表'!E11</f>
        <v>0</v>
      </c>
      <c r="F61" s="1102" t="e">
        <f t="shared" si="15"/>
        <v>#DIV/0!</v>
      </c>
      <c r="G61" s="2706" t="s">
        <v>2770</v>
      </c>
      <c r="H61" s="1103">
        <f>项目基本情况!C37</f>
        <v>0</v>
      </c>
      <c r="I61" s="1107">
        <f>SUMIF(修正!A45:A56,H61,修正!F45:F56)</f>
        <v>0</v>
      </c>
      <c r="J61" s="1111"/>
      <c r="K61" s="1143"/>
      <c r="L61" s="941"/>
      <c r="M61" s="941"/>
      <c r="N61" s="941"/>
      <c r="O61" s="941"/>
    </row>
    <row r="62" spans="1:15" s="692" customFormat="1">
      <c r="A62" s="693" t="s">
        <v>2771</v>
      </c>
      <c r="B62" s="262" t="e">
        <f t="shared" si="17"/>
        <v>#DIV/0!</v>
      </c>
      <c r="C62" s="200">
        <f t="shared" si="16"/>
        <v>0</v>
      </c>
      <c r="D62" s="1163">
        <v>0.25</v>
      </c>
      <c r="E62" s="261">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2773</v>
      </c>
      <c r="B63" s="262" t="e">
        <f t="shared" si="17"/>
        <v>#DIV/0!</v>
      </c>
      <c r="C63" s="200">
        <f t="shared" si="16"/>
        <v>0</v>
      </c>
      <c r="D63" s="1163">
        <v>0.25</v>
      </c>
      <c r="E63" s="261">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2775</v>
      </c>
      <c r="B64" s="262" t="e">
        <f t="shared" si="17"/>
        <v>#DIV/0!</v>
      </c>
      <c r="C64" s="200">
        <f t="shared" si="16"/>
        <v>0</v>
      </c>
      <c r="D64" s="1163">
        <v>0.25</v>
      </c>
      <c r="E64" s="261">
        <f>'数据-汇总表'!E14</f>
        <v>0</v>
      </c>
      <c r="F64" s="1102" t="e">
        <f t="shared" si="15"/>
        <v>#DIV/0!</v>
      </c>
      <c r="G64" s="2706" t="s">
        <v>2765</v>
      </c>
      <c r="H64" s="1103">
        <f>项目基本情况!B37</f>
        <v>0</v>
      </c>
      <c r="I64" s="1107">
        <f>SUMIF(修正!A45:A56,H64,修正!H45:H56)</f>
        <v>0</v>
      </c>
      <c r="J64" s="1111"/>
      <c r="K64" s="1144"/>
      <c r="L64" s="941"/>
      <c r="M64" s="941"/>
      <c r="N64" s="941"/>
      <c r="O64" s="941"/>
    </row>
    <row r="65" spans="1:17" s="692" customFormat="1" ht="15" thickBot="1">
      <c r="A65" s="693" t="s">
        <v>2776</v>
      </c>
      <c r="B65" s="262" t="e">
        <f t="shared" si="17"/>
        <v>#DIV/0!</v>
      </c>
      <c r="C65" s="200">
        <f t="shared" si="16"/>
        <v>0</v>
      </c>
      <c r="D65" s="1163">
        <v>0.25</v>
      </c>
      <c r="E65" s="261">
        <f>'数据-汇总表'!E15</f>
        <v>0</v>
      </c>
      <c r="F65" s="1102" t="e">
        <f t="shared" si="15"/>
        <v>#DIV/0!</v>
      </c>
      <c r="G65" s="2707" t="s">
        <v>2770</v>
      </c>
      <c r="H65" s="1113">
        <f>项目基本情况!C37</f>
        <v>0</v>
      </c>
      <c r="I65" s="1109">
        <f>SUMIF(修正!A45:A56,H65,修正!H45:H56)</f>
        <v>0</v>
      </c>
      <c r="J65" s="1112"/>
      <c r="K65" s="1143"/>
      <c r="L65" s="941"/>
      <c r="M65" s="941"/>
      <c r="N65" s="941"/>
      <c r="O65" s="941"/>
    </row>
    <row r="66" spans="1:17" s="692" customFormat="1" ht="13.5" thickBot="1">
      <c r="A66" s="695" t="s">
        <v>2777</v>
      </c>
      <c r="B66" s="696" t="s">
        <v>28</v>
      </c>
      <c r="C66" s="696" t="s">
        <v>29</v>
      </c>
      <c r="D66" s="696" t="s">
        <v>1025</v>
      </c>
      <c r="E66" s="696">
        <f>IF(B46="楼面地价",SUM(E56:E65),'数据-汇总表'!D3)</f>
        <v>631.32000000000005</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2670</v>
      </c>
      <c r="B69" s="759"/>
      <c r="C69" s="764"/>
      <c r="D69" s="764"/>
      <c r="E69" s="764"/>
      <c r="F69" s="765"/>
      <c r="G69" s="765"/>
      <c r="H69" s="764"/>
      <c r="I69" s="764"/>
      <c r="J69" s="1158"/>
      <c r="K69" s="1159"/>
      <c r="L69" s="1160"/>
      <c r="M69" s="1158"/>
      <c r="N69" s="1158"/>
      <c r="O69" s="1158"/>
      <c r="P69" s="503"/>
      <c r="Q69" s="504"/>
    </row>
    <row r="70" spans="1:17" s="508" customFormat="1" ht="15">
      <c r="A70" s="2708" t="s">
        <v>2778</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09"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6"/>
      <c r="N71" s="595"/>
      <c r="O71" s="1567"/>
      <c r="P71" s="504"/>
    </row>
    <row r="72" spans="1:17" s="117" customFormat="1" ht="15.75" thickBot="1">
      <c r="A72" s="515" t="s">
        <v>2581</v>
      </c>
      <c r="B72" s="516"/>
      <c r="C72" s="517"/>
      <c r="D72" s="518"/>
      <c r="E72" s="518"/>
      <c r="F72" s="518"/>
      <c r="G72" s="518"/>
      <c r="H72" s="518"/>
      <c r="I72" s="518"/>
      <c r="J72" s="518"/>
      <c r="K72" s="518"/>
      <c r="L72" s="518"/>
      <c r="M72" s="519"/>
      <c r="N72" s="518"/>
      <c r="O72" s="1161"/>
      <c r="P72" s="504"/>
      <c r="Q72" s="504"/>
    </row>
    <row r="73" spans="1:17" s="117" customFormat="1" ht="15">
      <c r="A73" s="521" t="s">
        <v>2546</v>
      </c>
      <c r="B73" s="510"/>
      <c r="C73" s="522" t="s">
        <v>2648</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2584</v>
      </c>
      <c r="B75" s="528" t="s">
        <v>2550</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2553</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2687</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2746</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2788</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2790</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2791</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242" t="s">
        <v>2642</v>
      </c>
      <c r="D4" s="3243"/>
      <c r="E4" s="3244" t="s">
        <v>2643</v>
      </c>
      <c r="F4" s="3245"/>
      <c r="G4" s="3242" t="s">
        <v>2644</v>
      </c>
      <c r="H4" s="3243"/>
      <c r="I4" s="3242" t="s">
        <v>2645</v>
      </c>
      <c r="J4" s="3243"/>
      <c r="K4" s="610" t="s">
        <v>2646</v>
      </c>
      <c r="L4" s="1129"/>
      <c r="M4" s="1130"/>
      <c r="N4" s="1130"/>
      <c r="O4" s="1130"/>
      <c r="P4" s="3246" t="s">
        <v>2647</v>
      </c>
      <c r="Q4" s="3247"/>
      <c r="R4" s="3229" t="s">
        <v>2643</v>
      </c>
      <c r="S4" s="3230"/>
      <c r="T4" s="3229" t="s">
        <v>2644</v>
      </c>
      <c r="U4" s="3230"/>
      <c r="V4" s="3254" t="s">
        <v>2645</v>
      </c>
      <c r="W4" s="3254"/>
      <c r="X4" s="1812"/>
      <c r="Y4" s="3229" t="s">
        <v>2647</v>
      </c>
      <c r="Z4" s="3230"/>
      <c r="AA4" s="3224" t="s">
        <v>2643</v>
      </c>
      <c r="AB4" s="3225" t="s">
        <v>2644</v>
      </c>
      <c r="AC4" s="3224" t="s">
        <v>2645</v>
      </c>
    </row>
    <row r="5" spans="1:29" ht="15">
      <c r="A5" s="404"/>
      <c r="B5" s="405"/>
      <c r="C5" s="3235" t="s">
        <v>2538</v>
      </c>
      <c r="D5" s="3236"/>
      <c r="E5" s="3233" t="s">
        <v>2539</v>
      </c>
      <c r="F5" s="3234"/>
      <c r="G5" s="3235" t="s">
        <v>2540</v>
      </c>
      <c r="H5" s="3236"/>
      <c r="I5" s="3235" t="s">
        <v>2541</v>
      </c>
      <c r="J5" s="3236"/>
      <c r="K5" s="610"/>
      <c r="L5" s="1129"/>
      <c r="M5" s="1130"/>
      <c r="N5" s="1130"/>
      <c r="O5" s="1130"/>
      <c r="P5" s="3248"/>
      <c r="Q5" s="3249"/>
      <c r="R5" s="3231"/>
      <c r="S5" s="3232"/>
      <c r="T5" s="3231"/>
      <c r="U5" s="3232"/>
      <c r="V5" s="3254"/>
      <c r="W5" s="3254"/>
      <c r="X5" s="1812"/>
      <c r="Y5" s="3231"/>
      <c r="Z5" s="3232"/>
      <c r="AA5" s="3225"/>
      <c r="AB5" s="3225"/>
      <c r="AC5" s="3225"/>
    </row>
    <row r="6" spans="1:29" ht="15.75" thickBot="1">
      <c r="A6" s="406"/>
      <c r="B6" s="407"/>
      <c r="C6" s="3292" t="s">
        <v>2793</v>
      </c>
      <c r="D6" s="3293"/>
      <c r="E6" s="3294" t="s">
        <v>2793</v>
      </c>
      <c r="F6" s="3295"/>
      <c r="G6" s="3292" t="s">
        <v>2793</v>
      </c>
      <c r="H6" s="3293"/>
      <c r="I6" s="3292" t="s">
        <v>2793</v>
      </c>
      <c r="J6" s="3293"/>
      <c r="K6" s="610" t="s">
        <v>2543</v>
      </c>
      <c r="L6" s="1129"/>
      <c r="M6" s="1130"/>
      <c r="N6" s="1130"/>
      <c r="O6" s="1130"/>
      <c r="P6" s="3250"/>
      <c r="Q6" s="3251"/>
      <c r="R6" s="3231"/>
      <c r="S6" s="3232"/>
      <c r="T6" s="3252"/>
      <c r="U6" s="3253"/>
      <c r="V6" s="3254"/>
      <c r="W6" s="3254"/>
      <c r="X6" s="1812"/>
      <c r="Y6" s="3252"/>
      <c r="Z6" s="3253"/>
      <c r="AA6" s="3226"/>
      <c r="AB6" s="3226"/>
      <c r="AC6" s="3226"/>
    </row>
    <row r="7" spans="1:29" s="117" customFormat="1" ht="15.75" thickBot="1">
      <c r="A7" s="408" t="s">
        <v>2544</v>
      </c>
      <c r="B7" s="409"/>
      <c r="C7" s="410">
        <f>'数据-取费表'!B2</f>
        <v>43914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227" t="s">
        <v>2545</v>
      </c>
      <c r="Q7" s="3255"/>
      <c r="R7" s="770" t="s">
        <v>17</v>
      </c>
      <c r="S7" s="771">
        <f t="shared" ref="S7:S15" si="0">F7</f>
        <v>0</v>
      </c>
      <c r="T7" s="770" t="s">
        <v>17</v>
      </c>
      <c r="U7" s="771">
        <f t="shared" ref="U7:U15" si="1">H7</f>
        <v>0</v>
      </c>
      <c r="V7" s="770" t="s">
        <v>17</v>
      </c>
      <c r="W7" s="771">
        <f t="shared" ref="W7:W15" si="2">J7</f>
        <v>0</v>
      </c>
      <c r="X7" s="772"/>
      <c r="Y7" s="3227" t="s">
        <v>2545</v>
      </c>
      <c r="Z7" s="3228"/>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7" t="s">
        <v>2548</v>
      </c>
      <c r="Q8" s="3228"/>
      <c r="R8" s="770" t="s">
        <v>17</v>
      </c>
      <c r="S8" s="771">
        <f t="shared" si="0"/>
        <v>0</v>
      </c>
      <c r="T8" s="770" t="s">
        <v>17</v>
      </c>
      <c r="U8" s="771">
        <f t="shared" si="1"/>
        <v>0</v>
      </c>
      <c r="V8" s="770" t="s">
        <v>17</v>
      </c>
      <c r="W8" s="771">
        <f t="shared" si="2"/>
        <v>0</v>
      </c>
      <c r="X8" s="772"/>
      <c r="Y8" s="3227" t="s">
        <v>2548</v>
      </c>
      <c r="Z8" s="3228"/>
      <c r="AA8" s="773" t="e">
        <f t="shared" ref="AA8:AA40" si="3">D8/F8</f>
        <v>#DIV/0!</v>
      </c>
      <c r="AB8" s="773" t="e">
        <f t="shared" ref="AB8:AB40" si="4">D8/H8</f>
        <v>#DIV/0!</v>
      </c>
      <c r="AC8" s="773" t="e">
        <f t="shared" ref="AC8:AC40" si="5">D8/J8</f>
        <v>#DIV/0!</v>
      </c>
    </row>
    <row r="9" spans="1:29" s="117" customFormat="1">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259" t="s">
        <v>2551</v>
      </c>
      <c r="Q9" s="1794" t="str">
        <f t="shared" ref="Q9:Q15" si="6">B9</f>
        <v>用途</v>
      </c>
      <c r="R9" s="770" t="s">
        <v>17</v>
      </c>
      <c r="S9" s="771">
        <f t="shared" si="0"/>
        <v>100</v>
      </c>
      <c r="T9" s="770" t="s">
        <v>17</v>
      </c>
      <c r="U9" s="771">
        <f t="shared" si="1"/>
        <v>100</v>
      </c>
      <c r="V9" s="770" t="s">
        <v>17</v>
      </c>
      <c r="W9" s="771">
        <f t="shared" si="2"/>
        <v>100</v>
      </c>
      <c r="X9" s="772"/>
      <c r="Y9" s="3074"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259"/>
      <c r="Q10" s="1794" t="str">
        <f t="shared" si="6"/>
        <v>土地使用年限（年）</v>
      </c>
      <c r="R10" s="770" t="s">
        <v>17</v>
      </c>
      <c r="S10" s="771">
        <f t="shared" si="0"/>
        <v>113</v>
      </c>
      <c r="T10" s="770" t="s">
        <v>17</v>
      </c>
      <c r="U10" s="771">
        <f t="shared" si="1"/>
        <v>113</v>
      </c>
      <c r="V10" s="770" t="s">
        <v>17</v>
      </c>
      <c r="W10" s="771">
        <f t="shared" si="2"/>
        <v>113</v>
      </c>
      <c r="X10" s="772"/>
      <c r="Y10" s="3074"/>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9"/>
      <c r="Q11" s="1794" t="str">
        <f t="shared" si="6"/>
        <v>容积率</v>
      </c>
      <c r="R11" s="770" t="s">
        <v>17</v>
      </c>
      <c r="S11" s="771" t="e">
        <f t="shared" si="0"/>
        <v>#N/A</v>
      </c>
      <c r="T11" s="770" t="s">
        <v>17</v>
      </c>
      <c r="U11" s="771" t="e">
        <f t="shared" si="1"/>
        <v>#N/A</v>
      </c>
      <c r="V11" s="770" t="s">
        <v>17</v>
      </c>
      <c r="W11" s="771" t="e">
        <f t="shared" si="2"/>
        <v>#N/A</v>
      </c>
      <c r="X11" s="772"/>
      <c r="Y11" s="3074"/>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9"/>
      <c r="Q12" s="1794">
        <f t="shared" si="6"/>
        <v>111</v>
      </c>
      <c r="R12" s="770" t="s">
        <v>17</v>
      </c>
      <c r="S12" s="771">
        <f t="shared" si="0"/>
        <v>100</v>
      </c>
      <c r="T12" s="770" t="s">
        <v>17</v>
      </c>
      <c r="U12" s="771">
        <f t="shared" si="1"/>
        <v>100</v>
      </c>
      <c r="V12" s="770" t="s">
        <v>17</v>
      </c>
      <c r="W12" s="771">
        <f t="shared" si="2"/>
        <v>100</v>
      </c>
      <c r="X12" s="772"/>
      <c r="Y12" s="3074"/>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9"/>
      <c r="Q13" s="1794">
        <f t="shared" si="6"/>
        <v>111</v>
      </c>
      <c r="R13" s="770" t="s">
        <v>17</v>
      </c>
      <c r="S13" s="771">
        <f t="shared" si="0"/>
        <v>100</v>
      </c>
      <c r="T13" s="770" t="s">
        <v>17</v>
      </c>
      <c r="U13" s="771">
        <f t="shared" si="1"/>
        <v>100</v>
      </c>
      <c r="V13" s="770" t="s">
        <v>17</v>
      </c>
      <c r="W13" s="771">
        <f t="shared" si="2"/>
        <v>100</v>
      </c>
      <c r="X13" s="772"/>
      <c r="Y13" s="3074"/>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9"/>
      <c r="Q14" s="1794">
        <f t="shared" si="6"/>
        <v>111</v>
      </c>
      <c r="R14" s="770" t="s">
        <v>17</v>
      </c>
      <c r="S14" s="771">
        <f t="shared" si="0"/>
        <v>100</v>
      </c>
      <c r="T14" s="770" t="s">
        <v>17</v>
      </c>
      <c r="U14" s="771">
        <f t="shared" si="1"/>
        <v>100</v>
      </c>
      <c r="V14" s="770" t="s">
        <v>17</v>
      </c>
      <c r="W14" s="771">
        <f t="shared" si="2"/>
        <v>100</v>
      </c>
      <c r="X14" s="772"/>
      <c r="Y14" s="3074"/>
      <c r="Z14" s="55">
        <f t="shared" si="7"/>
        <v>111</v>
      </c>
      <c r="AA14" s="773">
        <f t="shared" si="3"/>
        <v>1</v>
      </c>
      <c r="AB14" s="773">
        <f t="shared" si="4"/>
        <v>1</v>
      </c>
      <c r="AC14" s="773">
        <f t="shared" si="5"/>
        <v>1</v>
      </c>
    </row>
    <row r="15" spans="1:29" ht="57">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61" t="s">
        <v>2556</v>
      </c>
      <c r="Q15" s="1809" t="str">
        <f t="shared" si="6"/>
        <v>产业集聚程度</v>
      </c>
      <c r="R15" s="774" t="s">
        <v>17</v>
      </c>
      <c r="S15" s="775">
        <f t="shared" si="0"/>
        <v>100</v>
      </c>
      <c r="T15" s="774" t="s">
        <v>17</v>
      </c>
      <c r="U15" s="775">
        <f t="shared" si="1"/>
        <v>100</v>
      </c>
      <c r="V15" s="774" t="s">
        <v>17</v>
      </c>
      <c r="W15" s="775">
        <f t="shared" si="2"/>
        <v>100</v>
      </c>
      <c r="X15" s="1812"/>
      <c r="Y15" s="3261" t="s">
        <v>2556</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39"/>
      <c r="M16" s="1130"/>
      <c r="N16" s="1130"/>
      <c r="O16" s="1138"/>
      <c r="P16" s="3262"/>
      <c r="Q16" s="1809"/>
      <c r="R16" s="774"/>
      <c r="S16" s="775"/>
      <c r="T16" s="774"/>
      <c r="U16" s="775"/>
      <c r="V16" s="774"/>
      <c r="W16" s="775"/>
      <c r="X16" s="1812"/>
      <c r="Y16" s="3262"/>
      <c r="Z16" s="1813"/>
      <c r="AA16" s="1810">
        <v>1</v>
      </c>
      <c r="AB16" s="1810">
        <v>1</v>
      </c>
      <c r="AC16" s="1810">
        <v>1</v>
      </c>
    </row>
    <row r="17" spans="1:29" ht="85.5">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62"/>
      <c r="Q17" s="1809" t="str">
        <f>B17</f>
        <v>交通便捷度</v>
      </c>
      <c r="R17" s="774" t="s">
        <v>17</v>
      </c>
      <c r="S17" s="775">
        <f>F17</f>
        <v>100</v>
      </c>
      <c r="T17" s="774" t="s">
        <v>17</v>
      </c>
      <c r="U17" s="775">
        <f>H17</f>
        <v>100</v>
      </c>
      <c r="V17" s="774" t="s">
        <v>17</v>
      </c>
      <c r="W17" s="775">
        <f>J17</f>
        <v>100</v>
      </c>
      <c r="X17" s="1812"/>
      <c r="Y17" s="3262"/>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39"/>
      <c r="M18" s="1130"/>
      <c r="N18" s="1130"/>
      <c r="O18" s="1138"/>
      <c r="P18" s="3262"/>
      <c r="Q18" s="1809"/>
      <c r="R18" s="774"/>
      <c r="S18" s="775"/>
      <c r="T18" s="774"/>
      <c r="U18" s="775"/>
      <c r="V18" s="774"/>
      <c r="W18" s="775"/>
      <c r="X18" s="1812"/>
      <c r="Y18" s="3262"/>
      <c r="Z18" s="1813"/>
      <c r="AA18" s="1810">
        <v>1</v>
      </c>
      <c r="AB18" s="1810">
        <v>1</v>
      </c>
      <c r="AC18" s="1810">
        <v>1</v>
      </c>
    </row>
    <row r="19" spans="1:29" ht="15">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62"/>
      <c r="Q19" s="1809" t="str">
        <f t="shared" ref="Q19:Q33" si="8">B19</f>
        <v>区域土地利用方向</v>
      </c>
      <c r="R19" s="774" t="s">
        <v>17</v>
      </c>
      <c r="S19" s="775">
        <f>F19</f>
        <v>100</v>
      </c>
      <c r="T19" s="774" t="s">
        <v>17</v>
      </c>
      <c r="U19" s="775">
        <f>H19</f>
        <v>100</v>
      </c>
      <c r="V19" s="774" t="s">
        <v>17</v>
      </c>
      <c r="W19" s="775">
        <f>J19</f>
        <v>100</v>
      </c>
      <c r="X19" s="1812"/>
      <c r="Y19" s="3262"/>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2"/>
      <c r="L20" s="1139"/>
      <c r="M20" s="1130"/>
      <c r="N20" s="1130"/>
      <c r="O20" s="1138"/>
      <c r="P20" s="3262"/>
      <c r="Q20" s="1809"/>
      <c r="R20" s="774"/>
      <c r="S20" s="775"/>
      <c r="T20" s="774"/>
      <c r="U20" s="775"/>
      <c r="V20" s="774"/>
      <c r="W20" s="775"/>
      <c r="X20" s="1812"/>
      <c r="Y20" s="3262"/>
      <c r="Z20" s="1813"/>
      <c r="AA20" s="1810"/>
      <c r="AB20" s="1810"/>
      <c r="AC20" s="1810"/>
    </row>
    <row r="21" spans="1:29" ht="71.25">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62"/>
      <c r="Q21" s="1809" t="str">
        <f t="shared" si="8"/>
        <v>环境状况</v>
      </c>
      <c r="R21" s="774" t="s">
        <v>17</v>
      </c>
      <c r="S21" s="775">
        <f>F21</f>
        <v>100</v>
      </c>
      <c r="T21" s="774" t="s">
        <v>17</v>
      </c>
      <c r="U21" s="775">
        <f>H21</f>
        <v>100</v>
      </c>
      <c r="V21" s="774" t="s">
        <v>17</v>
      </c>
      <c r="W21" s="775">
        <f>J21</f>
        <v>100</v>
      </c>
      <c r="X21" s="1812"/>
      <c r="Y21" s="3262"/>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39"/>
      <c r="M22" s="1130"/>
      <c r="N22" s="1130"/>
      <c r="O22" s="1138"/>
      <c r="P22" s="3262"/>
      <c r="Q22" s="1809"/>
      <c r="R22" s="774"/>
      <c r="S22" s="775"/>
      <c r="T22" s="774"/>
      <c r="U22" s="775"/>
      <c r="V22" s="774"/>
      <c r="W22" s="775"/>
      <c r="X22" s="1812"/>
      <c r="Y22" s="3262"/>
      <c r="Z22" s="1813"/>
      <c r="AA22" s="1810">
        <v>1</v>
      </c>
      <c r="AB22" s="1810">
        <v>1</v>
      </c>
      <c r="AC22" s="1810">
        <v>1</v>
      </c>
    </row>
    <row r="23" spans="1:29" s="117" customFormat="1" ht="42.75">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62"/>
      <c r="Q23" s="1794" t="str">
        <f t="shared" si="8"/>
        <v>公共配套设施</v>
      </c>
      <c r="R23" s="770" t="s">
        <v>17</v>
      </c>
      <c r="S23" s="771">
        <f>F23</f>
        <v>100</v>
      </c>
      <c r="T23" s="770" t="s">
        <v>17</v>
      </c>
      <c r="U23" s="771">
        <f>H23</f>
        <v>100</v>
      </c>
      <c r="V23" s="770" t="s">
        <v>17</v>
      </c>
      <c r="W23" s="771">
        <f>J23</f>
        <v>100</v>
      </c>
      <c r="X23" s="772"/>
      <c r="Y23" s="3262"/>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1"/>
      <c r="M24" s="1132"/>
      <c r="N24" s="1132"/>
      <c r="O24" s="1133"/>
      <c r="P24" s="3262"/>
      <c r="Q24" s="1794"/>
      <c r="R24" s="770"/>
      <c r="S24" s="771"/>
      <c r="T24" s="770"/>
      <c r="U24" s="771"/>
      <c r="V24" s="770"/>
      <c r="W24" s="771"/>
      <c r="X24" s="772"/>
      <c r="Y24" s="3262"/>
      <c r="Z24" s="55"/>
      <c r="AA24" s="773">
        <v>1</v>
      </c>
      <c r="AB24" s="773">
        <v>1</v>
      </c>
      <c r="AC24" s="773">
        <v>1</v>
      </c>
    </row>
    <row r="25" spans="1:29" s="117" customFormat="1" ht="28.5">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62"/>
      <c r="Q25" s="1794" t="str">
        <f t="shared" ref="Q25" si="9">B25</f>
        <v>基础设施水平</v>
      </c>
      <c r="R25" s="770" t="s">
        <v>17</v>
      </c>
      <c r="S25" s="771">
        <f>F25</f>
        <v>100</v>
      </c>
      <c r="T25" s="770" t="s">
        <v>17</v>
      </c>
      <c r="U25" s="771">
        <f>H25</f>
        <v>100</v>
      </c>
      <c r="V25" s="770" t="s">
        <v>17</v>
      </c>
      <c r="W25" s="771">
        <f>J25</f>
        <v>100</v>
      </c>
      <c r="X25" s="772"/>
      <c r="Y25" s="3262"/>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1"/>
      <c r="M26" s="1132"/>
      <c r="N26" s="1132"/>
      <c r="O26" s="1133"/>
      <c r="P26" s="3262"/>
      <c r="Q26" s="1794"/>
      <c r="R26" s="770"/>
      <c r="S26" s="771"/>
      <c r="T26" s="770"/>
      <c r="U26" s="771"/>
      <c r="V26" s="770"/>
      <c r="W26" s="771"/>
      <c r="X26" s="772"/>
      <c r="Y26" s="3262"/>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6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2"/>
      <c r="Z27" s="1813" t="str">
        <f t="shared" ref="Z27:Z40" si="13">Q27</f>
        <v>临街状况</v>
      </c>
      <c r="AA27" s="1810">
        <f t="shared" si="3"/>
        <v>1</v>
      </c>
      <c r="AB27" s="1810">
        <f t="shared" si="4"/>
        <v>1</v>
      </c>
      <c r="AC27" s="1810">
        <f t="shared" si="5"/>
        <v>1</v>
      </c>
    </row>
    <row r="28" spans="1:29" ht="27">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62"/>
      <c r="Q28" s="1809" t="str">
        <f t="shared" si="8"/>
        <v>毗邻道路的类型与等级</v>
      </c>
      <c r="R28" s="774" t="s">
        <v>17</v>
      </c>
      <c r="S28" s="775">
        <f t="shared" si="10"/>
        <v>100</v>
      </c>
      <c r="T28" s="774" t="s">
        <v>17</v>
      </c>
      <c r="U28" s="775">
        <f t="shared" si="11"/>
        <v>100</v>
      </c>
      <c r="V28" s="774" t="s">
        <v>17</v>
      </c>
      <c r="W28" s="775">
        <f t="shared" si="12"/>
        <v>100</v>
      </c>
      <c r="X28" s="1812"/>
      <c r="Y28" s="3262"/>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39"/>
      <c r="M29" s="1130"/>
      <c r="N29" s="1130"/>
      <c r="O29" s="1138"/>
      <c r="P29" s="3262"/>
      <c r="Q29" s="1809"/>
      <c r="R29" s="774"/>
      <c r="S29" s="775"/>
      <c r="T29" s="774"/>
      <c r="U29" s="775"/>
      <c r="V29" s="774"/>
      <c r="W29" s="775"/>
      <c r="X29" s="1812"/>
      <c r="Y29" s="3262"/>
      <c r="Z29" s="1813"/>
      <c r="AA29" s="1810">
        <v>1</v>
      </c>
      <c r="AB29" s="1810">
        <v>1</v>
      </c>
      <c r="AC29" s="1810">
        <v>1</v>
      </c>
    </row>
    <row r="30" spans="1:29" ht="15">
      <c r="A30" s="428"/>
      <c r="B30" s="654" t="s">
        <v>2746</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62"/>
      <c r="Q30" s="1809" t="str">
        <f t="shared" si="8"/>
        <v>土地级别</v>
      </c>
      <c r="R30" s="774" t="s">
        <v>17</v>
      </c>
      <c r="S30" s="775">
        <f t="shared" si="10"/>
        <v>100</v>
      </c>
      <c r="T30" s="774" t="s">
        <v>17</v>
      </c>
      <c r="U30" s="775">
        <f t="shared" si="11"/>
        <v>100</v>
      </c>
      <c r="V30" s="774" t="s">
        <v>17</v>
      </c>
      <c r="W30" s="775">
        <f t="shared" si="12"/>
        <v>100</v>
      </c>
      <c r="X30" s="1812"/>
      <c r="Y30" s="3262"/>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62"/>
      <c r="Q31" s="1809">
        <f t="shared" si="8"/>
        <v>111</v>
      </c>
      <c r="R31" s="774" t="s">
        <v>17</v>
      </c>
      <c r="S31" s="775">
        <f t="shared" si="10"/>
        <v>100</v>
      </c>
      <c r="T31" s="774" t="s">
        <v>17</v>
      </c>
      <c r="U31" s="775">
        <f t="shared" si="11"/>
        <v>100</v>
      </c>
      <c r="V31" s="774" t="s">
        <v>17</v>
      </c>
      <c r="W31" s="775">
        <f t="shared" si="12"/>
        <v>100</v>
      </c>
      <c r="X31" s="1812"/>
      <c r="Y31" s="3262"/>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7" t="s">
        <v>2561</v>
      </c>
      <c r="Q32" s="1809">
        <f t="shared" si="8"/>
        <v>111</v>
      </c>
      <c r="R32" s="774" t="s">
        <v>17</v>
      </c>
      <c r="S32" s="775">
        <f t="shared" si="10"/>
        <v>100</v>
      </c>
      <c r="T32" s="774" t="s">
        <v>17</v>
      </c>
      <c r="U32" s="775">
        <f t="shared" si="11"/>
        <v>100</v>
      </c>
      <c r="V32" s="774" t="s">
        <v>17</v>
      </c>
      <c r="W32" s="775">
        <f t="shared" si="12"/>
        <v>100</v>
      </c>
      <c r="X32" s="1812"/>
      <c r="Y32" s="3266" t="s">
        <v>2561</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6"/>
      <c r="Q33" s="1809">
        <f t="shared" si="8"/>
        <v>111</v>
      </c>
      <c r="R33" s="777" t="s">
        <v>17</v>
      </c>
      <c r="S33" s="778">
        <f t="shared" si="10"/>
        <v>100</v>
      </c>
      <c r="T33" s="777" t="s">
        <v>17</v>
      </c>
      <c r="U33" s="778">
        <f t="shared" si="11"/>
        <v>100</v>
      </c>
      <c r="V33" s="777" t="s">
        <v>17</v>
      </c>
      <c r="W33" s="778">
        <f t="shared" si="12"/>
        <v>100</v>
      </c>
      <c r="X33" s="779"/>
      <c r="Y33" s="3266"/>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6"/>
      <c r="Q34" s="1809" t="str">
        <f>B34</f>
        <v>宗地面积</v>
      </c>
      <c r="R34" s="774" t="s">
        <v>17</v>
      </c>
      <c r="S34" s="775" t="e">
        <f t="shared" si="10"/>
        <v>#N/A</v>
      </c>
      <c r="T34" s="774" t="s">
        <v>17</v>
      </c>
      <c r="U34" s="775" t="e">
        <f t="shared" si="11"/>
        <v>#N/A</v>
      </c>
      <c r="V34" s="774" t="s">
        <v>17</v>
      </c>
      <c r="W34" s="775" t="e">
        <f t="shared" si="12"/>
        <v>#N/A</v>
      </c>
      <c r="X34" s="1812"/>
      <c r="Y34" s="3266"/>
      <c r="Z34" s="1813" t="str">
        <f t="shared" si="13"/>
        <v>宗地面积</v>
      </c>
      <c r="AA34" s="1810" t="e">
        <f t="shared" si="3"/>
        <v>#N/A</v>
      </c>
      <c r="AB34" s="1810" t="e">
        <f t="shared" si="4"/>
        <v>#N/A</v>
      </c>
      <c r="AC34" s="1810"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266"/>
      <c r="Q35" s="1809" t="str">
        <f t="shared" ref="Q35:Q40" si="14">B35</f>
        <v>宗地形状</v>
      </c>
      <c r="R35" s="774" t="s">
        <v>17</v>
      </c>
      <c r="S35" s="775">
        <f t="shared" si="10"/>
        <v>100</v>
      </c>
      <c r="T35" s="774" t="s">
        <v>17</v>
      </c>
      <c r="U35" s="775">
        <f t="shared" si="11"/>
        <v>100</v>
      </c>
      <c r="V35" s="774" t="s">
        <v>17</v>
      </c>
      <c r="W35" s="775">
        <f t="shared" si="12"/>
        <v>100</v>
      </c>
      <c r="X35" s="1812"/>
      <c r="Y35" s="3266"/>
      <c r="Z35" s="1813" t="str">
        <f t="shared" si="13"/>
        <v>宗地形状</v>
      </c>
      <c r="AA35" s="1810">
        <f t="shared" si="3"/>
        <v>1</v>
      </c>
      <c r="AB35" s="1810">
        <f t="shared" si="4"/>
        <v>1</v>
      </c>
      <c r="AC35" s="1810">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266"/>
      <c r="Q36" s="1809" t="str">
        <f t="shared" si="14"/>
        <v>宗地开发程度</v>
      </c>
      <c r="R36" s="770" t="s">
        <v>17</v>
      </c>
      <c r="S36" s="771">
        <f t="shared" si="10"/>
        <v>100</v>
      </c>
      <c r="T36" s="770" t="s">
        <v>17</v>
      </c>
      <c r="U36" s="771">
        <f t="shared" si="11"/>
        <v>100</v>
      </c>
      <c r="V36" s="770" t="s">
        <v>17</v>
      </c>
      <c r="W36" s="771">
        <f t="shared" si="12"/>
        <v>100</v>
      </c>
      <c r="X36" s="772"/>
      <c r="Y36" s="3266"/>
      <c r="Z36" s="55" t="str">
        <f t="shared" si="13"/>
        <v>宗地开发程度</v>
      </c>
      <c r="AA36" s="773">
        <f t="shared" si="3"/>
        <v>1</v>
      </c>
      <c r="AB36" s="773">
        <f t="shared" si="4"/>
        <v>1</v>
      </c>
      <c r="AC36" s="773">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266" t="s">
        <v>2561</v>
      </c>
      <c r="Q37" s="1809" t="str">
        <f t="shared" si="14"/>
        <v>工程地质条件</v>
      </c>
      <c r="R37" s="774" t="s">
        <v>17</v>
      </c>
      <c r="S37" s="775">
        <f t="shared" si="10"/>
        <v>100</v>
      </c>
      <c r="T37" s="774" t="s">
        <v>17</v>
      </c>
      <c r="U37" s="775">
        <f t="shared" si="11"/>
        <v>100</v>
      </c>
      <c r="V37" s="774" t="s">
        <v>17</v>
      </c>
      <c r="W37" s="775">
        <f t="shared" si="12"/>
        <v>100</v>
      </c>
      <c r="X37" s="1812"/>
      <c r="Y37" s="3266" t="s">
        <v>2561</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6"/>
      <c r="Q38" s="1809">
        <f t="shared" si="14"/>
        <v>111</v>
      </c>
      <c r="R38" s="774" t="s">
        <v>17</v>
      </c>
      <c r="S38" s="775">
        <f t="shared" si="10"/>
        <v>100</v>
      </c>
      <c r="T38" s="774" t="s">
        <v>17</v>
      </c>
      <c r="U38" s="775">
        <f t="shared" si="11"/>
        <v>100</v>
      </c>
      <c r="V38" s="774" t="s">
        <v>17</v>
      </c>
      <c r="W38" s="775">
        <f t="shared" si="12"/>
        <v>100</v>
      </c>
      <c r="X38" s="1812"/>
      <c r="Y38" s="3266"/>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6"/>
      <c r="Q39" s="1809">
        <f t="shared" si="14"/>
        <v>111</v>
      </c>
      <c r="R39" s="774" t="s">
        <v>17</v>
      </c>
      <c r="S39" s="775">
        <f t="shared" si="10"/>
        <v>100</v>
      </c>
      <c r="T39" s="774" t="s">
        <v>17</v>
      </c>
      <c r="U39" s="775">
        <f t="shared" si="11"/>
        <v>100</v>
      </c>
      <c r="V39" s="774" t="s">
        <v>17</v>
      </c>
      <c r="W39" s="775">
        <f t="shared" si="12"/>
        <v>100</v>
      </c>
      <c r="X39" s="1812"/>
      <c r="Y39" s="3266"/>
      <c r="Z39" s="1813">
        <f t="shared" si="13"/>
        <v>111</v>
      </c>
      <c r="AA39" s="1810">
        <f t="shared" si="3"/>
        <v>1</v>
      </c>
      <c r="AB39" s="1810">
        <f t="shared" si="4"/>
        <v>1</v>
      </c>
      <c r="AC39" s="1810">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6"/>
      <c r="Q40" s="1809">
        <f t="shared" si="14"/>
        <v>111</v>
      </c>
      <c r="R40" s="777" t="s">
        <v>17</v>
      </c>
      <c r="S40" s="778">
        <f t="shared" si="10"/>
        <v>100</v>
      </c>
      <c r="T40" s="777" t="s">
        <v>17</v>
      </c>
      <c r="U40" s="778">
        <f t="shared" si="11"/>
        <v>100</v>
      </c>
      <c r="V40" s="777" t="s">
        <v>17</v>
      </c>
      <c r="W40" s="778">
        <f t="shared" si="12"/>
        <v>100</v>
      </c>
      <c r="X40" s="779"/>
      <c r="Y40" s="3266"/>
      <c r="Z40" s="780">
        <f t="shared" si="13"/>
        <v>111</v>
      </c>
      <c r="AA40" s="1810">
        <f t="shared" si="3"/>
        <v>1</v>
      </c>
      <c r="AB40" s="1810">
        <f t="shared" si="4"/>
        <v>1</v>
      </c>
      <c r="AC40" s="1810">
        <f t="shared" si="5"/>
        <v>1</v>
      </c>
    </row>
    <row r="41" spans="1:29" ht="15">
      <c r="A41" s="479" t="s">
        <v>2716</v>
      </c>
      <c r="B41" s="2701" t="s">
        <v>2796</v>
      </c>
      <c r="C41" s="682" t="s">
        <v>1</v>
      </c>
      <c r="D41" s="481"/>
      <c r="E41" s="482"/>
      <c r="F41" s="483"/>
      <c r="G41" s="484"/>
      <c r="H41" s="485"/>
      <c r="I41" s="482"/>
      <c r="J41" s="485"/>
      <c r="K41" s="783"/>
      <c r="L41" s="1142"/>
      <c r="M41" s="1130"/>
      <c r="N41" s="1130"/>
      <c r="O41" s="1143"/>
      <c r="P41" s="3259" t="str">
        <f>A41</f>
        <v>成交单价</v>
      </c>
      <c r="Q41" s="3259"/>
      <c r="R41" s="3254">
        <f>E41</f>
        <v>0</v>
      </c>
      <c r="S41" s="3254"/>
      <c r="T41" s="3254">
        <f>G41</f>
        <v>0</v>
      </c>
      <c r="U41" s="3254"/>
      <c r="V41" s="3254">
        <f>I41</f>
        <v>0</v>
      </c>
      <c r="W41" s="3254"/>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2"/>
      <c r="M42" s="1130"/>
      <c r="N42" s="1130"/>
      <c r="O42" s="1143"/>
      <c r="P42" s="3259" t="str">
        <f>A42</f>
        <v>比较价值（元/平方米）</v>
      </c>
      <c r="Q42" s="3259"/>
      <c r="R42" s="3288" t="e">
        <f>ROUND(PRODUCT(R41,AA7:AA40),0)</f>
        <v>#DIV/0!</v>
      </c>
      <c r="S42" s="3288"/>
      <c r="T42" s="3288" t="e">
        <f>ROUND(PRODUCT(T41,AB7:AB40),0)</f>
        <v>#DIV/0!</v>
      </c>
      <c r="U42" s="3288"/>
      <c r="V42" s="3288" t="e">
        <f>ROUND(PRODUCT(V41,AC7:AC40),0)</f>
        <v>#DIV/0!</v>
      </c>
      <c r="W42" s="3288"/>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2"/>
      <c r="M43" s="1130"/>
      <c r="N43" s="1130"/>
      <c r="O43" s="1143"/>
      <c r="P43" s="3256" t="str">
        <f>A43</f>
        <v>估价对象XX用房的比较价值（楼面单价，元/平方米）</v>
      </c>
      <c r="Q43" s="3257"/>
      <c r="R43" s="3289" t="e">
        <f>ROUND(AVERAGE(R42:V42),0)</f>
        <v>#DIV/0!</v>
      </c>
      <c r="S43" s="3289"/>
      <c r="T43" s="3289"/>
      <c r="U43" s="3289"/>
      <c r="V43" s="3289"/>
      <c r="W43" s="328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2754</v>
      </c>
      <c r="B50" s="685" t="s">
        <v>2755</v>
      </c>
      <c r="C50" s="2702" t="s">
        <v>2756</v>
      </c>
      <c r="D50" s="2703" t="s">
        <v>2757</v>
      </c>
      <c r="E50" s="686" t="s">
        <v>2758</v>
      </c>
      <c r="F50" s="687" t="s">
        <v>2759</v>
      </c>
      <c r="G50" s="3242" t="s">
        <v>2760</v>
      </c>
      <c r="H50" s="3290"/>
      <c r="I50" s="1813" t="s">
        <v>2797</v>
      </c>
      <c r="J50" s="1813">
        <f>项目基本情况!F35</f>
        <v>0</v>
      </c>
      <c r="K50" s="2705" t="s">
        <v>2762</v>
      </c>
      <c r="L50" s="1105"/>
      <c r="M50" s="1143"/>
      <c r="N50" s="1143"/>
      <c r="O50" s="1143"/>
    </row>
    <row r="51" spans="1:17" s="692" customFormat="1">
      <c r="A51" s="688" t="s">
        <v>2763</v>
      </c>
      <c r="B51" s="689" t="e">
        <f>C43</f>
        <v>#DIV/0!</v>
      </c>
      <c r="C51" s="690">
        <v>1</v>
      </c>
      <c r="D51" s="1162">
        <v>1</v>
      </c>
      <c r="E51" s="690">
        <f>'数据-汇总表'!E8+'数据-汇总表'!E9</f>
        <v>631.32000000000005</v>
      </c>
      <c r="F51" s="691" t="e">
        <f t="shared" ref="F51:F60" si="15">ROUND(B51*E51/10000,0)</f>
        <v>#DIV/0!</v>
      </c>
      <c r="G51" s="3241"/>
      <c r="H51" s="3259"/>
      <c r="I51" s="942">
        <v>1</v>
      </c>
      <c r="J51" s="942">
        <v>1</v>
      </c>
      <c r="K51" s="1144"/>
      <c r="L51" s="941"/>
      <c r="M51" s="941"/>
      <c r="N51" s="941"/>
      <c r="O51" s="941"/>
    </row>
    <row r="52" spans="1:17" s="692" customFormat="1">
      <c r="A52" s="693" t="s">
        <v>2764</v>
      </c>
      <c r="B52" s="262" t="e">
        <f>ROUND($C$43*C52*D52,0)</f>
        <v>#DIV/0!</v>
      </c>
      <c r="C52" s="200">
        <f t="shared" ref="C52:C60" si="16">IF($C$50="北京市系数",I52,J52)</f>
        <v>0</v>
      </c>
      <c r="D52" s="1163">
        <v>0.25</v>
      </c>
      <c r="E52" s="694"/>
      <c r="F52" s="691" t="e">
        <f t="shared" si="15"/>
        <v>#DIV/0!</v>
      </c>
      <c r="G52" s="3291" t="s">
        <v>2765</v>
      </c>
      <c r="H52" s="1103">
        <f>项目基本情况!B37</f>
        <v>0</v>
      </c>
      <c r="I52" s="942">
        <f>SUMIF(修正!A45:A56,H52,修正!B45:B56)</f>
        <v>0</v>
      </c>
      <c r="J52" s="943"/>
      <c r="K52" s="1143"/>
      <c r="L52" s="941"/>
      <c r="M52" s="941"/>
      <c r="N52" s="941"/>
      <c r="O52" s="941"/>
    </row>
    <row r="53" spans="1:17" s="692" customFormat="1">
      <c r="A53" s="693" t="s">
        <v>2766</v>
      </c>
      <c r="B53" s="262" t="e">
        <f t="shared" ref="B53:B60" si="17">ROUND($C$43*C53*D53,0)</f>
        <v>#DIV/0!</v>
      </c>
      <c r="C53" s="200">
        <f t="shared" si="16"/>
        <v>0</v>
      </c>
      <c r="D53" s="1163">
        <v>0.25</v>
      </c>
      <c r="E53" s="694"/>
      <c r="F53" s="691" t="e">
        <f t="shared" si="15"/>
        <v>#DIV/0!</v>
      </c>
      <c r="G53" s="3291"/>
      <c r="H53" s="1103">
        <f>项目基本情况!B37</f>
        <v>0</v>
      </c>
      <c r="I53" s="942">
        <f>SUMIF(修正!A45:A56,H53,修正!C45:C56)</f>
        <v>0</v>
      </c>
      <c r="J53" s="943"/>
      <c r="K53" s="1144"/>
      <c r="L53" s="941"/>
      <c r="M53" s="941"/>
      <c r="N53" s="941"/>
      <c r="O53" s="941"/>
    </row>
    <row r="54" spans="1:17" s="692" customFormat="1">
      <c r="A54" s="693" t="s">
        <v>2767</v>
      </c>
      <c r="B54" s="262" t="e">
        <f t="shared" si="17"/>
        <v>#DIV/0!</v>
      </c>
      <c r="C54" s="200">
        <f t="shared" si="16"/>
        <v>0</v>
      </c>
      <c r="D54" s="1163">
        <v>0.25</v>
      </c>
      <c r="E54" s="694"/>
      <c r="F54" s="691" t="e">
        <f t="shared" si="15"/>
        <v>#DIV/0!</v>
      </c>
      <c r="G54" s="3291"/>
      <c r="H54" s="1103">
        <f>项目基本情况!B37</f>
        <v>0</v>
      </c>
      <c r="I54" s="942">
        <f>SUMIF(修正!A45:A56,H54,修正!D45:D56)</f>
        <v>0</v>
      </c>
      <c r="J54" s="943"/>
      <c r="K54" s="1143"/>
      <c r="L54" s="941"/>
      <c r="M54" s="941"/>
      <c r="N54" s="941"/>
      <c r="O54" s="941"/>
    </row>
    <row r="55" spans="1:17" s="692" customFormat="1">
      <c r="A55" s="693" t="s">
        <v>2768</v>
      </c>
      <c r="B55" s="262" t="e">
        <f t="shared" si="17"/>
        <v>#DIV/0!</v>
      </c>
      <c r="C55" s="200">
        <f t="shared" si="16"/>
        <v>0</v>
      </c>
      <c r="D55" s="1163">
        <v>0.25</v>
      </c>
      <c r="E55" s="694"/>
      <c r="F55" s="691" t="e">
        <f t="shared" si="15"/>
        <v>#DIV/0!</v>
      </c>
      <c r="G55" s="3291"/>
      <c r="H55" s="1103">
        <f>项目基本情况!B37</f>
        <v>0</v>
      </c>
      <c r="I55" s="942">
        <f>SUMIF(修正!A45:A56,H55,修正!E45:E56)</f>
        <v>0</v>
      </c>
      <c r="J55" s="943"/>
      <c r="K55" s="1144"/>
      <c r="L55" s="941"/>
      <c r="M55" s="941"/>
      <c r="N55" s="941"/>
      <c r="O55" s="941"/>
    </row>
    <row r="56" spans="1:17" s="692" customFormat="1">
      <c r="A56" s="693" t="s">
        <v>2769</v>
      </c>
      <c r="B56" s="262" t="e">
        <f t="shared" si="17"/>
        <v>#DIV/0!</v>
      </c>
      <c r="C56" s="200">
        <f t="shared" si="16"/>
        <v>0</v>
      </c>
      <c r="D56" s="1163">
        <v>0.25</v>
      </c>
      <c r="E56" s="261">
        <f>'数据-汇总表'!E11</f>
        <v>0</v>
      </c>
      <c r="F56" s="691" t="e">
        <f t="shared" si="15"/>
        <v>#DIV/0!</v>
      </c>
      <c r="G56" s="2706" t="s">
        <v>2770</v>
      </c>
      <c r="H56" s="1103">
        <f>项目基本情况!C37</f>
        <v>0</v>
      </c>
      <c r="I56" s="942">
        <f>SUMIF(修正!A45:A56,H56,修正!F45:F56)</f>
        <v>0</v>
      </c>
      <c r="J56" s="943"/>
      <c r="K56" s="1143"/>
      <c r="L56" s="941"/>
      <c r="M56" s="941"/>
      <c r="N56" s="941"/>
      <c r="O56" s="941"/>
    </row>
    <row r="57" spans="1:17" s="692" customFormat="1">
      <c r="A57" s="693" t="s">
        <v>2771</v>
      </c>
      <c r="B57" s="262" t="e">
        <f t="shared" si="17"/>
        <v>#DIV/0!</v>
      </c>
      <c r="C57" s="200">
        <f t="shared" si="16"/>
        <v>0</v>
      </c>
      <c r="D57" s="1163">
        <v>0.25</v>
      </c>
      <c r="E57" s="261">
        <f>'数据-汇总表'!E12</f>
        <v>0</v>
      </c>
      <c r="F57" s="691" t="e">
        <f t="shared" si="15"/>
        <v>#DIV/0!</v>
      </c>
      <c r="G57" s="1108" t="s">
        <v>2772</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2773</v>
      </c>
      <c r="B58" s="262" t="e">
        <f t="shared" si="17"/>
        <v>#DIV/0!</v>
      </c>
      <c r="C58" s="200">
        <f t="shared" si="16"/>
        <v>0</v>
      </c>
      <c r="D58" s="1163">
        <v>0.25</v>
      </c>
      <c r="E58" s="261">
        <f>'数据-汇总表'!E13</f>
        <v>0</v>
      </c>
      <c r="F58" s="691" t="e">
        <f t="shared" si="15"/>
        <v>#DIV/0!</v>
      </c>
      <c r="G58" s="1108" t="s">
        <v>2774</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2775</v>
      </c>
      <c r="B59" s="262" t="e">
        <f t="shared" si="17"/>
        <v>#DIV/0!</v>
      </c>
      <c r="C59" s="200">
        <f t="shared" si="16"/>
        <v>0</v>
      </c>
      <c r="D59" s="1163">
        <v>0.25</v>
      </c>
      <c r="E59" s="261">
        <f>'数据-汇总表'!E14</f>
        <v>0</v>
      </c>
      <c r="F59" s="691" t="e">
        <f t="shared" si="15"/>
        <v>#DIV/0!</v>
      </c>
      <c r="G59" s="2706" t="s">
        <v>2765</v>
      </c>
      <c r="H59" s="1103">
        <f>项目基本情况!B37</f>
        <v>0</v>
      </c>
      <c r="I59" s="942">
        <f>SUMIF(修正!A45:A56,H59,修正!H45:H56)</f>
        <v>0</v>
      </c>
      <c r="J59" s="943"/>
      <c r="K59" s="1144"/>
      <c r="L59" s="941"/>
      <c r="M59" s="941"/>
      <c r="N59" s="941"/>
      <c r="O59" s="941"/>
    </row>
    <row r="60" spans="1:17" s="692" customFormat="1" ht="15" thickBot="1">
      <c r="A60" s="693" t="s">
        <v>2776</v>
      </c>
      <c r="B60" s="262" t="e">
        <f t="shared" si="17"/>
        <v>#DIV/0!</v>
      </c>
      <c r="C60" s="200">
        <f t="shared" si="16"/>
        <v>0</v>
      </c>
      <c r="D60" s="1163">
        <v>0.25</v>
      </c>
      <c r="E60" s="261">
        <f>'数据-汇总表'!E15</f>
        <v>0</v>
      </c>
      <c r="F60" s="691" t="e">
        <f t="shared" si="15"/>
        <v>#DIV/0!</v>
      </c>
      <c r="G60" s="2707" t="s">
        <v>2770</v>
      </c>
      <c r="H60" s="1113">
        <f>项目基本情况!C37</f>
        <v>0</v>
      </c>
      <c r="I60" s="942">
        <f>SUMIF(修正!A45:A56,H60,修正!H45:H56)</f>
        <v>0</v>
      </c>
      <c r="J60" s="943"/>
      <c r="K60" s="1143"/>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2670</v>
      </c>
      <c r="B64" s="759"/>
      <c r="C64" s="764"/>
      <c r="D64" s="764"/>
      <c r="E64" s="764"/>
      <c r="F64" s="765"/>
      <c r="G64" s="765"/>
      <c r="H64" s="764"/>
      <c r="I64" s="764"/>
      <c r="J64" s="764"/>
      <c r="K64" s="766"/>
      <c r="L64" s="767"/>
      <c r="M64" s="764"/>
      <c r="N64" s="764"/>
      <c r="O64" s="1158"/>
      <c r="P64" s="503"/>
      <c r="Q64" s="504"/>
    </row>
    <row r="65" spans="1:17" s="508" customFormat="1" ht="15">
      <c r="A65" s="2708" t="s">
        <v>2778</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3" t="s">
        <v>2798</v>
      </c>
      <c r="B66" s="332" t="str">
        <f>"北京市平均增长率"&amp;TEXT(基准地价修正!P24,"0.00%")</f>
        <v>北京市平均增长率1.33%</v>
      </c>
      <c r="C66" s="603">
        <v>100</v>
      </c>
      <c r="D66" s="595"/>
      <c r="E66" s="595"/>
      <c r="F66" s="595"/>
      <c r="G66" s="595"/>
      <c r="H66" s="595"/>
      <c r="I66" s="595"/>
      <c r="J66" s="595"/>
      <c r="K66" s="595"/>
      <c r="L66" s="595"/>
      <c r="M66" s="1566"/>
      <c r="N66" s="1566"/>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2584</v>
      </c>
      <c r="B70" s="528" t="s">
        <v>2550</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2553</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2687</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2788</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2790</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2800</v>
      </c>
      <c r="B1" s="241"/>
      <c r="C1" s="245" t="s">
        <v>2801</v>
      </c>
      <c r="D1" s="388">
        <f>SUM(D29:D30,D33:D39)</f>
        <v>0</v>
      </c>
      <c r="E1" s="2714"/>
      <c r="F1" s="2714"/>
      <c r="G1" s="2714"/>
      <c r="H1" s="2714"/>
      <c r="I1" s="2714"/>
      <c r="J1" s="2714"/>
      <c r="K1" s="1369"/>
      <c r="L1" s="2715" t="s">
        <v>2802</v>
      </c>
      <c r="M1" s="1079">
        <f>SUMPRODUCT((区片价!B5:B9=I2)*(区片价!C3:F3=E2)*(区片价!C5:F9))</f>
        <v>0</v>
      </c>
      <c r="N1" s="1082">
        <f>SUMPRODUCT((因素修正幅度!B5:B9=I2)*(因素修正幅度!C3:F3=E2)*(因素修正幅度!C5:F9))</f>
        <v>0</v>
      </c>
      <c r="O1" s="2716"/>
      <c r="P1" s="2716"/>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69"/>
      <c r="L2" s="2723" t="s">
        <v>2813</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2814</v>
      </c>
      <c r="B3" s="248" t="e">
        <f>ROUND(B2*10000/D1,0)</f>
        <v>#DIV/0!</v>
      </c>
      <c r="C3" s="2718" t="s">
        <v>2815</v>
      </c>
      <c r="D3" s="2719" t="s">
        <v>2816</v>
      </c>
      <c r="E3" s="2724"/>
      <c r="F3" s="2725" t="s">
        <v>2817</v>
      </c>
      <c r="G3" s="916" t="e">
        <f>IF(F3="宗地容积率",'数据-汇总表'!I4,IF(F3="估价对象容积率",'数据-汇总表'!I6,'数据-汇总表'!I7))</f>
        <v>#DIV/0!</v>
      </c>
      <c r="H3" s="198" t="s">
        <v>2818</v>
      </c>
      <c r="I3" s="944"/>
      <c r="J3" s="2722" t="s">
        <v>2819</v>
      </c>
      <c r="K3" s="1369"/>
      <c r="L3" s="2723" t="s">
        <v>2820</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2"/>
      <c r="B4" s="3313"/>
      <c r="C4" s="3313"/>
      <c r="D4" s="3314"/>
      <c r="E4" s="3314"/>
      <c r="F4" s="3314"/>
      <c r="G4" s="3314"/>
      <c r="H4" s="3314"/>
      <c r="I4" s="3314"/>
      <c r="J4" s="3315"/>
      <c r="K4" s="1369"/>
      <c r="L4" s="2723" t="s">
        <v>2821</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2822</v>
      </c>
      <c r="C5" s="917" t="e">
        <f>ROUND(IF(E2="商业",C6*C7+C16,(IF(E2="住宅",C6*C12+C16,C6+C16))),0)</f>
        <v>#DIV/0!</v>
      </c>
      <c r="D5" s="1786" t="e">
        <f>ROUND(C6+C16,0)</f>
        <v>#DIV/0!</v>
      </c>
      <c r="E5" s="1786"/>
      <c r="F5" s="2728"/>
      <c r="G5" s="2729"/>
      <c r="H5" s="2729"/>
      <c r="I5" s="2729"/>
      <c r="J5" s="2730"/>
      <c r="K5" s="2731"/>
      <c r="L5" s="2723" t="s">
        <v>2823</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2824</v>
      </c>
      <c r="B6" s="2737" t="s">
        <v>2825</v>
      </c>
      <c r="C6" s="918">
        <f>SUMIF(L1:L12,G2,M1:M12)</f>
        <v>0</v>
      </c>
      <c r="D6" s="2738" t="s">
        <v>2826</v>
      </c>
      <c r="E6" s="2739"/>
      <c r="F6" s="2739"/>
      <c r="G6" s="2740"/>
      <c r="H6" s="2740"/>
      <c r="I6" s="2740"/>
      <c r="J6" s="2741"/>
      <c r="K6" s="1841"/>
      <c r="L6" s="2723" t="s">
        <v>2827</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96" t="str">
        <f>IF(E2="商业",IF(C8="不临58条商业街","",2),"")</f>
        <v/>
      </c>
      <c r="B7" s="2742" t="s">
        <v>2828</v>
      </c>
      <c r="C7" s="919" t="e">
        <f>IF(C8="不临58条商业街",1,ROUND(1+(1.6*E8+1.2*E9+0.8*E10+0.4*E11)*C9,4))</f>
        <v>#DIV/0!</v>
      </c>
      <c r="D7" s="2743" t="s">
        <v>2829</v>
      </c>
      <c r="E7" s="945"/>
      <c r="F7" s="2744"/>
      <c r="G7" s="2745"/>
      <c r="H7" s="2745"/>
      <c r="I7" s="2745"/>
      <c r="J7" s="2746"/>
      <c r="K7" s="1841"/>
      <c r="L7" s="2723" t="s">
        <v>2830</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2831</v>
      </c>
      <c r="X7" s="1603">
        <f>G2</f>
        <v>0</v>
      </c>
      <c r="Y7" s="1603" t="s">
        <v>2832</v>
      </c>
      <c r="Z7" s="1604" t="e">
        <f>G3</f>
        <v>#DIV/0!</v>
      </c>
      <c r="AA7" s="1605"/>
      <c r="AB7" s="1605"/>
      <c r="AC7" s="1606"/>
      <c r="AD7" s="1607"/>
      <c r="AE7" s="1607"/>
      <c r="AF7" s="1607"/>
      <c r="AG7" s="1607"/>
      <c r="AH7" s="1607"/>
      <c r="AI7" s="1607"/>
      <c r="AJ7" s="1608"/>
    </row>
    <row r="8" spans="1:36" ht="15">
      <c r="A8" s="3316"/>
      <c r="B8" s="198" t="s">
        <v>2833</v>
      </c>
      <c r="C8" s="2747"/>
      <c r="D8" s="920" t="s">
        <v>139</v>
      </c>
      <c r="E8" s="921" t="e">
        <f>ROUND(C11/E7,4)</f>
        <v>#DIV/0!</v>
      </c>
      <c r="F8" s="2748" t="s">
        <v>2834</v>
      </c>
      <c r="G8" s="2749"/>
      <c r="H8" s="2749"/>
      <c r="I8" s="2749"/>
      <c r="J8" s="2750"/>
      <c r="K8" s="1369"/>
      <c r="L8" s="2723"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09" t="s">
        <v>2836</v>
      </c>
      <c r="X8" s="3310"/>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316"/>
      <c r="B9" s="198" t="s">
        <v>2849</v>
      </c>
      <c r="C9" s="922">
        <f>SUMIF(修正!C59:C119,C8,修正!E59:E119)</f>
        <v>0</v>
      </c>
      <c r="D9" s="200" t="s">
        <v>140</v>
      </c>
      <c r="E9" s="200" t="e">
        <f>ROUND(C11/E7,4)</f>
        <v>#DIV/0!</v>
      </c>
      <c r="F9" s="2748" t="s">
        <v>2850</v>
      </c>
      <c r="G9" s="2749"/>
      <c r="H9" s="2749"/>
      <c r="I9" s="2749"/>
      <c r="J9" s="2750"/>
      <c r="K9" s="1369"/>
      <c r="L9" s="2723"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11"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6"/>
      <c r="B10" s="198" t="s">
        <v>2854</v>
      </c>
      <c r="C10" s="200">
        <f>SUMIF(修正!C59:C119,C8,修正!F59:F119)</f>
        <v>0</v>
      </c>
      <c r="D10" s="200" t="s">
        <v>141</v>
      </c>
      <c r="E10" s="200" t="e">
        <f>ROUND(C11/E7,4)</f>
        <v>#DIV/0!</v>
      </c>
      <c r="F10" s="2748" t="s">
        <v>2855</v>
      </c>
      <c r="G10" s="2749"/>
      <c r="H10" s="2749"/>
      <c r="I10" s="2749"/>
      <c r="J10" s="2750"/>
      <c r="K10" s="1369"/>
      <c r="L10" s="2723"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1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6"/>
      <c r="B11" s="2751" t="s">
        <v>2857</v>
      </c>
      <c r="C11" s="923">
        <f>C10/4</f>
        <v>0</v>
      </c>
      <c r="D11" s="923" t="s">
        <v>142</v>
      </c>
      <c r="E11" s="923" t="e">
        <f>ROUND(C11/E7,4)</f>
        <v>#DIV/0!</v>
      </c>
      <c r="F11" s="2752" t="s">
        <v>2858</v>
      </c>
      <c r="G11" s="2753"/>
      <c r="H11" s="2753"/>
      <c r="I11" s="2753"/>
      <c r="J11" s="2754"/>
      <c r="K11" s="1369"/>
      <c r="L11" s="2723"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11" t="s">
        <v>2860</v>
      </c>
      <c r="X11" s="1613" t="s">
        <v>2861</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96" t="s">
        <v>2862</v>
      </c>
      <c r="B12" s="2755" t="s">
        <v>2863</v>
      </c>
      <c r="C12" s="919">
        <f>ROUND(C15*D15*E15*F15*G15*H15*I15*J15,4)</f>
        <v>1</v>
      </c>
      <c r="D12" s="2756" t="s">
        <v>2864</v>
      </c>
      <c r="E12" s="2757"/>
      <c r="F12" s="2757"/>
      <c r="G12" s="2758"/>
      <c r="H12" s="2758"/>
      <c r="I12" s="2758"/>
      <c r="J12" s="2759"/>
      <c r="K12" s="1369"/>
      <c r="L12" s="2760"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11"/>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7"/>
      <c r="B13" s="2761" t="s">
        <v>2867</v>
      </c>
      <c r="C13" s="2762" t="s">
        <v>2868</v>
      </c>
      <c r="D13" s="1807" t="s">
        <v>2869</v>
      </c>
      <c r="E13" s="1807" t="s">
        <v>2870</v>
      </c>
      <c r="F13" s="30" t="s">
        <v>2871</v>
      </c>
      <c r="G13" s="2763" t="s">
        <v>2872</v>
      </c>
      <c r="H13" s="2763" t="s">
        <v>2872</v>
      </c>
      <c r="I13" s="2763" t="s">
        <v>2872</v>
      </c>
      <c r="J13" s="2764" t="s">
        <v>2872</v>
      </c>
      <c r="K13" s="1369"/>
      <c r="L13" s="1369"/>
      <c r="M13" s="1369"/>
      <c r="N13" s="1369"/>
      <c r="O13" s="1369"/>
      <c r="P13" s="1369"/>
      <c r="Q13" s="1369"/>
      <c r="R13" s="1601">
        <v>12</v>
      </c>
      <c r="S13" s="1602"/>
      <c r="T13" s="1601" t="e">
        <f t="shared" si="0"/>
        <v>#DIV/0!</v>
      </c>
      <c r="U13" s="1602"/>
      <c r="V13" s="1601" t="e">
        <f t="shared" si="1"/>
        <v>#DIV/0!</v>
      </c>
      <c r="W13" s="3311"/>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17"/>
      <c r="B14" s="2765"/>
      <c r="C14" s="2766"/>
      <c r="D14" s="2767"/>
      <c r="E14" s="2767"/>
      <c r="F14" s="2768"/>
      <c r="G14" s="2769" t="s">
        <v>2873</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8"/>
      <c r="B15" s="2773" t="s">
        <v>2874</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96" t="s">
        <v>2879</v>
      </c>
      <c r="B16" s="2742" t="s">
        <v>2880</v>
      </c>
      <c r="C16" s="2929" t="e">
        <f>ROUND(IF(F17="与级别开发程度一致",0,(G17-E17)/C17),0)</f>
        <v>#DIV/0!</v>
      </c>
      <c r="D16" s="3307" t="s">
        <v>2884</v>
      </c>
      <c r="E16" s="3308"/>
      <c r="F16" s="3307" t="s">
        <v>2881</v>
      </c>
      <c r="G16" s="3308"/>
      <c r="H16" s="2776"/>
      <c r="I16" s="2776"/>
      <c r="J16" s="2933"/>
      <c r="K16" s="2776"/>
      <c r="L16" s="2776"/>
      <c r="M16" s="2776"/>
      <c r="N16" s="2776"/>
      <c r="O16" s="2777"/>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7"/>
      <c r="B17" s="2940" t="s">
        <v>2883</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4" t="s">
        <v>808</v>
      </c>
      <c r="B18" s="2935" t="s">
        <v>2886</v>
      </c>
      <c r="C18" s="2936">
        <f>SUMIF(修正!C18:C39,E3,修正!E18:E39)</f>
        <v>0</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809</v>
      </c>
      <c r="B19" s="2782" t="s">
        <v>2887</v>
      </c>
      <c r="C19" s="924" t="e">
        <f>ROUND(IF(H19="按公示增长率计算",SUMPRODUCT((地价!A3:A29=YEAR(G19)&amp;"-"&amp;ROUNDUP(MONTH(G19)/3,0))*(地价!X2:AB2=E2)*(地价!X3:AB29)),IF(H19="地价指数",M20/M19,(1+I19)^O19)),4)</f>
        <v>#VALUE!</v>
      </c>
      <c r="D19" s="2786" t="s">
        <v>2888</v>
      </c>
      <c r="E19" s="925">
        <v>41640</v>
      </c>
      <c r="F19" s="2786" t="s">
        <v>2889</v>
      </c>
      <c r="G19" s="926">
        <f>'数据-取费表'!B2</f>
        <v>43914</v>
      </c>
      <c r="H19" s="2787"/>
      <c r="I19" s="927" t="str">
        <f>IF(H19="季度增幅（自定义）",SUMIF(N21:N24,E2,O21:O24),"")</f>
        <v/>
      </c>
      <c r="J19" s="2784"/>
      <c r="K19" s="1376"/>
      <c r="L19" s="2788" t="s">
        <v>2890</v>
      </c>
      <c r="M19" s="1733">
        <f>ROUND(SUMIF(地价!B2:F2,E2,地价!B29:F29),0)</f>
        <v>0</v>
      </c>
      <c r="N19" s="2789" t="s">
        <v>2891</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810</v>
      </c>
      <c r="B20" s="2794" t="s">
        <v>2892</v>
      </c>
      <c r="C20" s="929" t="e">
        <f>ROUND(POWER(1+G20,J20-I20)*(POWER(1+G20,I20)-1)/(POWER(1+G20,J20)-1),4)</f>
        <v>#DIV/0!</v>
      </c>
      <c r="D20" s="2795" t="s">
        <v>2893</v>
      </c>
      <c r="E20" s="1767">
        <f ca="1">存贷款利率!D4/100</f>
        <v>4.3499999999999997E-2</v>
      </c>
      <c r="F20" s="2795" t="s">
        <v>2885</v>
      </c>
      <c r="G20" s="934">
        <f>SUMIF(M26:P26,E2,M28:P28)</f>
        <v>0</v>
      </c>
      <c r="H20" s="2795" t="s">
        <v>2894</v>
      </c>
      <c r="I20" s="935" t="e">
        <f>SUMIF('数据-取费表'!C6:C15,E2,'数据-取费表'!F6:F15)/COUNTIF('数据-取费表'!C6:C15,E2)</f>
        <v>#DIV/0!</v>
      </c>
      <c r="J20" s="936">
        <f>IF(E2="住宅",70,IF(E2="商业",40,50))</f>
        <v>50</v>
      </c>
      <c r="K20" s="1376"/>
      <c r="L20" s="2796" t="s">
        <v>2895</v>
      </c>
      <c r="M20" s="1734">
        <f>ROUND(SUMPRODUCT((地价!A4:A29=YEAR(G19)&amp;"-"&amp;ROUNDUP(MONTH(G19)/3,0))*(地价!B2:F2=E2)*(地价!B4:F29)),0)</f>
        <v>0</v>
      </c>
      <c r="N20" s="2797" t="s">
        <v>2896</v>
      </c>
      <c r="O20" s="2798" t="s">
        <v>2897</v>
      </c>
      <c r="P20" s="2799" t="s">
        <v>2898</v>
      </c>
      <c r="R20" s="1375"/>
      <c r="S20" s="1375"/>
      <c r="T20" s="1370"/>
      <c r="U20" s="1370"/>
      <c r="V20" s="1370"/>
      <c r="W20" s="1369"/>
      <c r="X20" s="1369"/>
      <c r="Y20" s="1369"/>
      <c r="Z20" s="1376"/>
      <c r="AA20" s="1377"/>
      <c r="AB20" s="1377"/>
      <c r="AC20" s="1377"/>
      <c r="AD20" s="1377"/>
      <c r="AE20" s="1377"/>
      <c r="AF20" s="1377"/>
    </row>
    <row r="21" spans="1:37" s="2735" customFormat="1" ht="15">
      <c r="A21" s="2800" t="s">
        <v>811</v>
      </c>
      <c r="B21" s="2801" t="s">
        <v>2899</v>
      </c>
      <c r="C21" s="937" t="e">
        <f>IF(B21="容积率修正",IF(G3&lt;=10,D22,J22),C23)</f>
        <v>#DIV/0!</v>
      </c>
      <c r="D21" s="2802"/>
      <c r="E21" s="2802"/>
      <c r="F21" s="2802"/>
      <c r="G21" s="2802"/>
      <c r="H21" s="2802"/>
      <c r="I21" s="2802"/>
      <c r="J21" s="2803"/>
      <c r="K21" s="1376"/>
      <c r="N21" s="2804" t="s">
        <v>2900</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5" customFormat="1" ht="14.25">
      <c r="A22" s="2661" t="s">
        <v>2901</v>
      </c>
      <c r="B22" s="2805" t="s">
        <v>2902</v>
      </c>
      <c r="C22" s="1809" t="s">
        <v>2903</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6"/>
      <c r="N22" s="2804" t="s">
        <v>2904</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7.75" thickBot="1">
      <c r="A23" s="2661" t="s">
        <v>2905</v>
      </c>
      <c r="B23" s="2806" t="s">
        <v>2906</v>
      </c>
      <c r="C23" s="1013" t="e">
        <f>ROUND(IF(G3&gt;1,IF(I3&lt;7,SUMPRODUCT((B93:B98=I3)*(C92:N92=G2)*(C93:N98)),SUMIF(C92:N92,G2,C100:N100)),IF(I3&lt;7,SUMPRODUCT((B102:B107=I3)*(C92:N92=G2)*(C102:N107)),SUMIF(C92:N92,G2,C109:N109))),4)</f>
        <v>#DIV/0!</v>
      </c>
      <c r="D23" s="2770"/>
      <c r="E23" s="2770"/>
      <c r="F23" s="2807"/>
      <c r="G23" s="2808"/>
      <c r="H23" s="2809"/>
      <c r="I23" s="2810"/>
      <c r="J23" s="2811"/>
      <c r="K23" s="1369"/>
      <c r="N23" s="2804" t="s">
        <v>2907</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812</v>
      </c>
      <c r="B24" s="2782" t="s">
        <v>2908</v>
      </c>
      <c r="C24" s="924">
        <f>SUMIF(A45:A88,E2,B45:B88)</f>
        <v>0</v>
      </c>
      <c r="D24" s="2783"/>
      <c r="E24" s="2812"/>
      <c r="F24" s="2812"/>
      <c r="G24" s="2812"/>
      <c r="H24" s="2812"/>
      <c r="I24" s="2812"/>
      <c r="J24" s="2813"/>
      <c r="K24" s="1376"/>
      <c r="N24" s="2814" t="s">
        <v>2909</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75" thickBot="1">
      <c r="A25" s="2793" t="s">
        <v>813</v>
      </c>
      <c r="B25" s="2815" t="s">
        <v>2910</v>
      </c>
      <c r="C25" s="930"/>
      <c r="D25" s="2745"/>
      <c r="E25" s="2745"/>
      <c r="F25" s="2816"/>
      <c r="G25" s="2745"/>
      <c r="H25" s="2745"/>
      <c r="I25" s="2745"/>
      <c r="J25" s="2746"/>
      <c r="K25" s="1369"/>
      <c r="N25" s="2817" t="s">
        <v>2911</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18"/>
      <c r="B26" s="2805" t="s">
        <v>2912</v>
      </c>
      <c r="C26" s="206" t="e">
        <f>E29+SUM(E33:E39)</f>
        <v>#DIV/0!</v>
      </c>
      <c r="D26" s="2819"/>
      <c r="E26" s="2770"/>
      <c r="F26" s="2820"/>
      <c r="G26" s="2770"/>
      <c r="H26" s="2770"/>
      <c r="I26" s="2770"/>
      <c r="J26" s="2821"/>
      <c r="K26" s="1369"/>
      <c r="L26" s="2774" t="s">
        <v>2810</v>
      </c>
      <c r="M26" s="920" t="s">
        <v>2875</v>
      </c>
      <c r="N26" s="920" t="s">
        <v>2876</v>
      </c>
      <c r="O26" s="920" t="s">
        <v>2877</v>
      </c>
      <c r="P26" s="2775" t="s">
        <v>2878</v>
      </c>
      <c r="R26" s="1375"/>
      <c r="S26" s="1375"/>
      <c r="T26" s="1370"/>
      <c r="U26" s="1370"/>
      <c r="V26" s="1370"/>
      <c r="W26" s="1369"/>
      <c r="X26" s="1369"/>
      <c r="Y26" s="1369"/>
      <c r="Z26" s="1376"/>
      <c r="AA26" s="1377"/>
      <c r="AB26" s="1377"/>
      <c r="AC26" s="1377"/>
      <c r="AD26" s="1377"/>
    </row>
    <row r="27" spans="1:37" ht="15.75" thickBot="1">
      <c r="A27" s="2818"/>
      <c r="B27" s="2822" t="s">
        <v>2913</v>
      </c>
      <c r="C27" s="931" t="e">
        <f>E30+SUM(I33:I39)</f>
        <v>#DIV/0!</v>
      </c>
      <c r="D27" s="2823"/>
      <c r="E27" s="2824"/>
      <c r="F27" s="2825"/>
      <c r="G27" s="2824"/>
      <c r="H27" s="2824"/>
      <c r="I27" s="2824"/>
      <c r="J27" s="2826"/>
      <c r="K27" s="1369"/>
      <c r="L27" s="2778" t="s">
        <v>2882</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2914</v>
      </c>
      <c r="C28" s="2829" t="s">
        <v>2915</v>
      </c>
      <c r="D28" s="2829" t="s">
        <v>2916</v>
      </c>
      <c r="E28" s="2830" t="s">
        <v>2917</v>
      </c>
      <c r="F28" s="2831"/>
      <c r="G28" s="2758"/>
      <c r="H28" s="2758"/>
      <c r="I28" s="2758"/>
      <c r="J28" s="2759"/>
      <c r="K28" s="1369"/>
      <c r="L28" s="2779" t="s">
        <v>2885</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2918</v>
      </c>
      <c r="C29" s="206" t="e">
        <f>ROUND(C5*C18*C19*C20*C21*C24,0)</f>
        <v>#DIV/0!</v>
      </c>
      <c r="D29" s="2834"/>
      <c r="E29" s="942" t="e">
        <f>ROUND(C29*D29/10000,0)</f>
        <v>#DIV/0!</v>
      </c>
      <c r="F29" s="2835" t="s">
        <v>2919</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2920</v>
      </c>
      <c r="C30" s="229" t="e">
        <f>ROUND(IF(E2="工业",C29*M39,C29*M38),0)</f>
        <v>#DIV/0!</v>
      </c>
      <c r="D30" s="2840"/>
      <c r="E30" s="942" t="e">
        <f>ROUND(C30*D30/10000,0)</f>
        <v>#DIV/0!</v>
      </c>
      <c r="F30" s="2841" t="s">
        <v>2921</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2922</v>
      </c>
      <c r="C31" s="2846" t="s">
        <v>2923</v>
      </c>
      <c r="D31" s="2758"/>
      <c r="E31" s="2846"/>
      <c r="F31" s="2846"/>
      <c r="G31" s="2756" t="s">
        <v>2924</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2915</v>
      </c>
      <c r="D32" s="498" t="s">
        <v>2916</v>
      </c>
      <c r="E32" s="498" t="s">
        <v>2917</v>
      </c>
      <c r="F32" s="388" t="s">
        <v>2925</v>
      </c>
      <c r="G32" s="2849" t="s">
        <v>2915</v>
      </c>
      <c r="H32" s="2849" t="s">
        <v>2916</v>
      </c>
      <c r="I32" s="2849" t="s">
        <v>2917</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304" t="s">
        <v>2926</v>
      </c>
      <c r="B33" s="2850" t="s">
        <v>2927</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5"/>
      <c r="B34" s="2762" t="s">
        <v>2928</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5"/>
      <c r="B35" s="2762" t="s">
        <v>2929</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9"/>
      <c r="L35" s="1369"/>
      <c r="M35" s="1369"/>
      <c r="N35" s="1369"/>
      <c r="O35" s="1369"/>
      <c r="P35" s="1369"/>
      <c r="Q35" s="1369"/>
      <c r="R35" s="1369"/>
      <c r="S35" s="1369"/>
      <c r="T35" s="1369"/>
      <c r="U35" s="1369"/>
      <c r="V35" s="1369"/>
      <c r="W35" s="1369"/>
      <c r="X35" s="1369"/>
      <c r="Y35" s="1369"/>
      <c r="Z35" s="1370"/>
    </row>
    <row r="36" spans="1:37" ht="13.5" thickBot="1">
      <c r="A36" s="3306"/>
      <c r="B36" s="2762" t="s">
        <v>2930</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2931</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9"/>
      <c r="L37" s="2853" t="s">
        <v>2932</v>
      </c>
      <c r="M37" s="2854"/>
      <c r="N37" s="1369"/>
      <c r="O37" s="1369"/>
      <c r="P37" s="1369"/>
      <c r="Q37" s="1369"/>
      <c r="R37" s="1369"/>
      <c r="S37" s="1369"/>
      <c r="T37" s="1369"/>
      <c r="U37" s="1369"/>
      <c r="V37" s="1369"/>
      <c r="W37" s="1369"/>
      <c r="X37" s="1369"/>
      <c r="Y37" s="1369"/>
      <c r="Z37" s="1370"/>
    </row>
    <row r="38" spans="1:37">
      <c r="A38" s="2852"/>
      <c r="B38" s="2762" t="s">
        <v>2933</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9"/>
      <c r="L38" s="1886" t="s">
        <v>2934</v>
      </c>
      <c r="M38" s="2855">
        <v>0.25</v>
      </c>
      <c r="N38" s="1369"/>
      <c r="O38" s="1369"/>
      <c r="P38" s="1369"/>
      <c r="Q38" s="1369"/>
      <c r="R38" s="1369"/>
      <c r="S38" s="1369"/>
      <c r="T38" s="1369"/>
      <c r="U38" s="1369"/>
      <c r="V38" s="1369"/>
      <c r="W38" s="1369"/>
      <c r="X38" s="1369"/>
      <c r="Y38" s="1369"/>
      <c r="Z38" s="1370"/>
    </row>
    <row r="39" spans="1:37" ht="13.5" thickBot="1">
      <c r="A39" s="2838"/>
      <c r="B39" s="2856" t="s">
        <v>2935</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69"/>
      <c r="L39" s="2858" t="s">
        <v>2878</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3042</v>
      </c>
      <c r="C41" s="388" t="e">
        <f>ROUND(POWER(1+E41,H41-G41)*(POWER(1+E41,G41)-1)/(POWER(1+E41,H41)-1),4)</f>
        <v>#DIV/0!</v>
      </c>
      <c r="D41" s="200" t="s">
        <v>2885</v>
      </c>
      <c r="E41" s="2926">
        <f>G20</f>
        <v>0</v>
      </c>
      <c r="F41" s="200" t="s">
        <v>2894</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2936</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2937</v>
      </c>
      <c r="B46" s="2864">
        <f>1+E48</f>
        <v>1</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2938</v>
      </c>
      <c r="B47" s="1808" t="s">
        <v>2939</v>
      </c>
      <c r="C47" s="1808" t="s">
        <v>2940</v>
      </c>
      <c r="D47" s="1808" t="s">
        <v>2941</v>
      </c>
      <c r="E47" s="819" t="s">
        <v>2942</v>
      </c>
      <c r="F47" s="2868" t="s">
        <v>2943</v>
      </c>
      <c r="G47" s="1808" t="s">
        <v>754</v>
      </c>
      <c r="H47" s="2869" t="s">
        <v>2944</v>
      </c>
      <c r="I47" s="1808" t="s">
        <v>2945</v>
      </c>
      <c r="J47" s="603" t="s">
        <v>2593</v>
      </c>
      <c r="K47" s="603" t="s">
        <v>2594</v>
      </c>
      <c r="L47" s="603" t="s">
        <v>2595</v>
      </c>
      <c r="M47" s="603" t="s">
        <v>2596</v>
      </c>
      <c r="N47" s="603" t="s">
        <v>2597</v>
      </c>
      <c r="AA47" s="1370"/>
      <c r="AB47" s="1370"/>
      <c r="AC47" s="1370"/>
      <c r="AD47" s="1370"/>
      <c r="AE47" s="1370"/>
      <c r="AF47" s="1370"/>
      <c r="AG47" s="1370"/>
      <c r="AH47" s="1370"/>
      <c r="AI47" s="1370"/>
      <c r="AJ47" s="1370"/>
      <c r="AK47" s="1370"/>
    </row>
    <row r="48" spans="1:37" s="1369" customFormat="1" ht="38.25">
      <c r="A48" s="2867" t="s">
        <v>2946</v>
      </c>
      <c r="B48" s="2870" t="str">
        <f>估价对象房地状况!C4</f>
        <v>估价对象位于XX商圈，周边商业氛围成熟，人流量大，商业繁华度好</v>
      </c>
      <c r="C48" s="2767"/>
      <c r="D48" s="1285">
        <f t="shared" ref="D48:D56" si="10">SUMIF($J$47:$N$47,C48,J48:N48)</f>
        <v>0</v>
      </c>
      <c r="E48" s="821">
        <f>ROUND(SUM(D48:D56),4)</f>
        <v>0</v>
      </c>
      <c r="F48" s="2498"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7" t="s">
        <v>2947</v>
      </c>
      <c r="B49" s="2871" t="str">
        <f>估价对象房地状况!C18</f>
        <v>估价对象周边道路状况、公共交通通达情况、停车便捷程度，综合评价交通便捷度较好</v>
      </c>
      <c r="C49" s="2767"/>
      <c r="D49" s="1285">
        <f t="shared" si="10"/>
        <v>0</v>
      </c>
      <c r="E49" s="822"/>
      <c r="F49" s="2498"/>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2948</v>
      </c>
      <c r="B50" s="2871">
        <f>估价对象房地状况!C19</f>
        <v>0</v>
      </c>
      <c r="C50" s="2767"/>
      <c r="D50" s="1285">
        <f t="shared" si="10"/>
        <v>0</v>
      </c>
      <c r="E50" s="822"/>
      <c r="F50" s="2498"/>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2949</v>
      </c>
      <c r="B51" s="2872" t="s">
        <v>2950</v>
      </c>
      <c r="C51" s="2767"/>
      <c r="D51" s="1285">
        <f t="shared" si="10"/>
        <v>0</v>
      </c>
      <c r="E51" s="822"/>
      <c r="F51" s="2498"/>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2951</v>
      </c>
      <c r="B52" s="2871">
        <f>估价对象房地状况!C24</f>
        <v>0</v>
      </c>
      <c r="C52" s="2767"/>
      <c r="D52" s="1285">
        <f t="shared" si="10"/>
        <v>0</v>
      </c>
      <c r="E52" s="822"/>
      <c r="F52" s="2498"/>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2952</v>
      </c>
      <c r="B53" s="2873" t="s">
        <v>2953</v>
      </c>
      <c r="C53" s="2767"/>
      <c r="D53" s="1285">
        <f t="shared" si="10"/>
        <v>0</v>
      </c>
      <c r="E53" s="822"/>
      <c r="F53" s="2498"/>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4" t="s">
        <v>2954</v>
      </c>
      <c r="B54" s="1724" t="str">
        <f>估价对象房地状况!C21</f>
        <v>估价对象所在区域公共配套设施齐备情况</v>
      </c>
      <c r="C54" s="2767"/>
      <c r="D54" s="1285">
        <f t="shared" si="10"/>
        <v>0</v>
      </c>
      <c r="E54" s="822"/>
      <c r="F54" s="2498"/>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4" t="s">
        <v>2955</v>
      </c>
      <c r="B55" s="2871" t="str">
        <f>估价对象房地状况!C22</f>
        <v>估价对象所在区域基础设施水平</v>
      </c>
      <c r="C55" s="2767"/>
      <c r="D55" s="1285">
        <f t="shared" si="10"/>
        <v>0</v>
      </c>
      <c r="E55" s="822"/>
      <c r="F55" s="2498"/>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5" t="s">
        <v>2956</v>
      </c>
      <c r="B56" s="2876" t="str">
        <f>估价对象房地状况!C20</f>
        <v>区域自然环境：；人文环境；综合评价环境状况一般</v>
      </c>
      <c r="C56" s="2767"/>
      <c r="D56" s="1285">
        <f t="shared" si="10"/>
        <v>0</v>
      </c>
      <c r="E56" s="825"/>
      <c r="F56" s="2498"/>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2957</v>
      </c>
      <c r="B57" s="2864">
        <f>1+E59</f>
        <v>1</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2938</v>
      </c>
      <c r="B58" s="1808"/>
      <c r="C58" s="1808" t="s">
        <v>2940</v>
      </c>
      <c r="D58" s="1808" t="s">
        <v>2941</v>
      </c>
      <c r="E58" s="819" t="s">
        <v>2942</v>
      </c>
      <c r="F58" s="2868" t="s">
        <v>2958</v>
      </c>
      <c r="G58" s="1808" t="s">
        <v>754</v>
      </c>
      <c r="H58" s="2869" t="s">
        <v>2944</v>
      </c>
      <c r="I58" s="1808" t="s">
        <v>2945</v>
      </c>
      <c r="J58" s="603" t="s">
        <v>2593</v>
      </c>
      <c r="K58" s="603" t="s">
        <v>2594</v>
      </c>
      <c r="L58" s="603" t="s">
        <v>2595</v>
      </c>
      <c r="M58" s="603" t="s">
        <v>2596</v>
      </c>
      <c r="N58" s="603" t="s">
        <v>2597</v>
      </c>
      <c r="AA58" s="1370"/>
      <c r="AB58" s="1370"/>
      <c r="AC58" s="1370"/>
      <c r="AD58" s="1370"/>
      <c r="AE58" s="1370"/>
      <c r="AF58" s="1370"/>
      <c r="AG58" s="1370"/>
      <c r="AH58" s="1370"/>
      <c r="AI58" s="1370"/>
      <c r="AJ58" s="1370"/>
      <c r="AK58" s="1370"/>
    </row>
    <row r="59" spans="1:37" s="1369" customFormat="1" ht="38.25">
      <c r="A59" s="2867" t="s">
        <v>2959</v>
      </c>
      <c r="B59" s="2870" t="str">
        <f>估价对象房地状况!C17</f>
        <v>估价对象位于XX商圈，周边办公楼项目较多，入驻率高，办公集聚程度较好</v>
      </c>
      <c r="C59" s="2767"/>
      <c r="D59" s="1285">
        <f t="shared" ref="D59:D67" si="15">SUMIF($J$58:$N$58,C59,J59:N59)</f>
        <v>0</v>
      </c>
      <c r="E59" s="821">
        <f>ROUND(SUM(D59:D67),4)</f>
        <v>0</v>
      </c>
      <c r="F59" s="2498"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7" t="s">
        <v>2947</v>
      </c>
      <c r="B60" s="2871" t="str">
        <f>估价对象房地状况!C18</f>
        <v>估价对象周边道路状况、公共交通通达情况、停车便捷程度，综合评价交通便捷度较好</v>
      </c>
      <c r="C60" s="2767"/>
      <c r="D60" s="1285">
        <f t="shared" si="15"/>
        <v>0</v>
      </c>
      <c r="E60" s="822"/>
      <c r="F60" s="2498"/>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7" t="s">
        <v>2948</v>
      </c>
      <c r="B61" s="2871">
        <f>估价对象房地状况!C19</f>
        <v>0</v>
      </c>
      <c r="C61" s="2767"/>
      <c r="D61" s="1285">
        <f t="shared" si="15"/>
        <v>0</v>
      </c>
      <c r="E61" s="822"/>
      <c r="F61" s="2498"/>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7" t="s">
        <v>2949</v>
      </c>
      <c r="B62" s="2872" t="s">
        <v>2950</v>
      </c>
      <c r="C62" s="2767"/>
      <c r="D62" s="1285">
        <f t="shared" si="15"/>
        <v>0</v>
      </c>
      <c r="E62" s="822"/>
      <c r="F62" s="2498"/>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7" t="s">
        <v>2951</v>
      </c>
      <c r="B63" s="2871">
        <f>估价对象房地状况!C24</f>
        <v>0</v>
      </c>
      <c r="C63" s="2767"/>
      <c r="D63" s="1285">
        <f t="shared" si="15"/>
        <v>0</v>
      </c>
      <c r="E63" s="822"/>
      <c r="F63" s="2498"/>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7" t="s">
        <v>2952</v>
      </c>
      <c r="B64" s="2873" t="s">
        <v>2953</v>
      </c>
      <c r="C64" s="2767"/>
      <c r="D64" s="1285">
        <f t="shared" si="15"/>
        <v>0</v>
      </c>
      <c r="E64" s="822"/>
      <c r="F64" s="2498"/>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7" t="s">
        <v>2954</v>
      </c>
      <c r="B65" s="1724" t="str">
        <f>估价对象房地状况!C21</f>
        <v>估价对象所在区域公共配套设施齐备情况</v>
      </c>
      <c r="C65" s="2767"/>
      <c r="D65" s="1285">
        <f t="shared" si="15"/>
        <v>0</v>
      </c>
      <c r="E65" s="822"/>
      <c r="F65" s="2498"/>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7" t="s">
        <v>2955</v>
      </c>
      <c r="B66" s="1724" t="str">
        <f>估价对象房地状况!C22</f>
        <v>估价对象所在区域基础设施水平</v>
      </c>
      <c r="C66" s="2767"/>
      <c r="D66" s="1285">
        <f t="shared" si="15"/>
        <v>0</v>
      </c>
      <c r="E66" s="822"/>
      <c r="F66" s="2498"/>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5" t="s">
        <v>2956</v>
      </c>
      <c r="B67" s="2877" t="str">
        <f>估价对象房地状况!C20</f>
        <v>区域自然环境：；人文环境；综合评价环境状况一般</v>
      </c>
      <c r="C67" s="2767"/>
      <c r="D67" s="1285">
        <f t="shared" si="15"/>
        <v>0</v>
      </c>
      <c r="E67" s="825"/>
      <c r="F67" s="2498"/>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3" t="s">
        <v>2960</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2938</v>
      </c>
      <c r="B69" s="1808"/>
      <c r="C69" s="1808" t="s">
        <v>2940</v>
      </c>
      <c r="D69" s="1808" t="s">
        <v>2941</v>
      </c>
      <c r="E69" s="819" t="s">
        <v>2942</v>
      </c>
      <c r="F69" s="2868" t="s">
        <v>2958</v>
      </c>
      <c r="G69" s="1808" t="s">
        <v>754</v>
      </c>
      <c r="H69" s="2869" t="s">
        <v>2944</v>
      </c>
      <c r="I69" s="1808" t="s">
        <v>2945</v>
      </c>
      <c r="J69" s="603" t="s">
        <v>2593</v>
      </c>
      <c r="K69" s="603" t="s">
        <v>2594</v>
      </c>
      <c r="L69" s="603" t="s">
        <v>2595</v>
      </c>
      <c r="M69" s="603" t="s">
        <v>2596</v>
      </c>
      <c r="N69" s="603" t="s">
        <v>2597</v>
      </c>
      <c r="AA69" s="1370"/>
      <c r="AB69" s="1370"/>
      <c r="AC69" s="1370"/>
      <c r="AD69" s="1370"/>
      <c r="AE69" s="1370"/>
      <c r="AF69" s="1370"/>
      <c r="AG69" s="1370"/>
      <c r="AH69" s="1370"/>
      <c r="AI69" s="1370"/>
      <c r="AJ69" s="1370"/>
      <c r="AK69" s="1370"/>
    </row>
    <row r="70" spans="1:37" s="1369" customFormat="1" ht="51">
      <c r="A70" s="2867" t="s">
        <v>2961</v>
      </c>
      <c r="B70" s="2870" t="str">
        <f>估价对象房地状况!C15</f>
        <v>估价对象周边居住用地比例、居住小区规模和社区发展完善程度，综合评价居住社区成熟度一般</v>
      </c>
      <c r="C70" s="2767"/>
      <c r="D70" s="1285">
        <f t="shared" ref="D70:D78" si="20">SUMIF($J$69:$N$69,C70,J70:N70)</f>
        <v>0</v>
      </c>
      <c r="E70" s="821">
        <f>ROUND(SUM(D70:D78),4)</f>
        <v>0</v>
      </c>
      <c r="F70" s="2498"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7" t="s">
        <v>2947</v>
      </c>
      <c r="B71" s="2871" t="str">
        <f>估价对象房地状况!C18</f>
        <v>估价对象周边道路状况、公共交通通达情况、停车便捷程度，综合评价交通便捷度较好</v>
      </c>
      <c r="C71" s="2767"/>
      <c r="D71" s="1285">
        <f t="shared" si="20"/>
        <v>0</v>
      </c>
      <c r="E71" s="826"/>
      <c r="F71" s="2498"/>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7" t="s">
        <v>2948</v>
      </c>
      <c r="B72" s="2871">
        <f>估价对象房地状况!C19</f>
        <v>0</v>
      </c>
      <c r="C72" s="2767"/>
      <c r="D72" s="1285">
        <f t="shared" si="20"/>
        <v>0</v>
      </c>
      <c r="E72" s="826"/>
      <c r="F72" s="2498"/>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7" t="s">
        <v>2962</v>
      </c>
      <c r="B73" s="2871">
        <f>估价对象房地状况!C24</f>
        <v>0</v>
      </c>
      <c r="C73" s="2767"/>
      <c r="D73" s="1285">
        <f t="shared" si="20"/>
        <v>0</v>
      </c>
      <c r="E73" s="826"/>
      <c r="F73" s="2498"/>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7" t="s">
        <v>2954</v>
      </c>
      <c r="B74" s="1724" t="str">
        <f>估价对象房地状况!C21</f>
        <v>估价对象所在区域公共配套设施齐备情况</v>
      </c>
      <c r="C74" s="2767"/>
      <c r="D74" s="1285">
        <f t="shared" si="20"/>
        <v>0</v>
      </c>
      <c r="E74" s="826"/>
      <c r="F74" s="2498"/>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7" t="s">
        <v>2955</v>
      </c>
      <c r="B75" s="1724" t="str">
        <f>估价对象房地状况!C22</f>
        <v>估价对象所在区域基础设施水平</v>
      </c>
      <c r="C75" s="2767"/>
      <c r="D75" s="1285">
        <f t="shared" si="20"/>
        <v>0</v>
      </c>
      <c r="E75" s="826"/>
      <c r="F75" s="2498"/>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67" t="s">
        <v>2952</v>
      </c>
      <c r="B76" s="2873" t="s">
        <v>2953</v>
      </c>
      <c r="C76" s="2767"/>
      <c r="D76" s="1285">
        <f t="shared" si="20"/>
        <v>0</v>
      </c>
      <c r="E76" s="826"/>
      <c r="F76" s="2498"/>
      <c r="G76" s="1283"/>
      <c r="H76" s="1287" t="str">
        <f t="shared" si="21"/>
        <v>——</v>
      </c>
      <c r="I76" s="820">
        <v>0.05</v>
      </c>
      <c r="J76" s="1284">
        <f t="shared" si="22"/>
        <v>0</v>
      </c>
      <c r="K76" s="1284">
        <f t="shared" si="23"/>
        <v>0</v>
      </c>
      <c r="L76" s="1284">
        <v>0</v>
      </c>
      <c r="M76" s="1284">
        <f t="shared" si="24"/>
        <v>0</v>
      </c>
      <c r="N76" s="1284">
        <f t="shared" si="24"/>
        <v>0</v>
      </c>
      <c r="AA76" s="2878"/>
      <c r="AB76" s="1370"/>
      <c r="AC76" s="1370"/>
      <c r="AD76" s="1370"/>
      <c r="AE76" s="1370"/>
      <c r="AF76" s="1370"/>
      <c r="AG76" s="1370"/>
      <c r="AH76" s="2878"/>
      <c r="AI76" s="2878"/>
      <c r="AJ76" s="2878"/>
      <c r="AK76" s="2878"/>
    </row>
    <row r="77" spans="1:37" ht="38.25">
      <c r="A77" s="2867" t="s">
        <v>2956</v>
      </c>
      <c r="B77" s="2870" t="str">
        <f>估价对象房地状况!C20</f>
        <v>区域自然环境：；人文环境；综合评价环境状况一般</v>
      </c>
      <c r="C77" s="2767"/>
      <c r="D77" s="1285">
        <f t="shared" si="20"/>
        <v>0</v>
      </c>
      <c r="E77" s="826"/>
      <c r="F77" s="2498"/>
      <c r="G77" s="1283"/>
      <c r="H77" s="1287" t="str">
        <f t="shared" si="21"/>
        <v>——</v>
      </c>
      <c r="I77" s="820">
        <v>0.15</v>
      </c>
      <c r="J77" s="1284">
        <f t="shared" si="22"/>
        <v>0</v>
      </c>
      <c r="K77" s="1284">
        <f t="shared" si="23"/>
        <v>0</v>
      </c>
      <c r="L77" s="1284">
        <v>0</v>
      </c>
      <c r="M77" s="1284">
        <f t="shared" si="24"/>
        <v>0</v>
      </c>
      <c r="N77" s="1284">
        <f t="shared" si="24"/>
        <v>0</v>
      </c>
      <c r="Z77" s="2717"/>
      <c r="AA77" s="2785"/>
      <c r="AG77" s="1371"/>
      <c r="AK77" s="2785"/>
    </row>
    <row r="78" spans="1:37" ht="24.75" thickBot="1">
      <c r="A78" s="2875" t="s">
        <v>2963</v>
      </c>
      <c r="B78" s="2879"/>
      <c r="C78" s="2767"/>
      <c r="D78" s="1285">
        <f t="shared" si="20"/>
        <v>0</v>
      </c>
      <c r="E78" s="827"/>
      <c r="F78" s="2498"/>
      <c r="G78" s="1283"/>
      <c r="H78" s="1287" t="str">
        <f t="shared" si="21"/>
        <v>——</v>
      </c>
      <c r="I78" s="824">
        <v>0.04</v>
      </c>
      <c r="J78" s="1284">
        <f t="shared" si="22"/>
        <v>0</v>
      </c>
      <c r="K78" s="1284">
        <f t="shared" si="23"/>
        <v>0</v>
      </c>
      <c r="L78" s="1284">
        <v>0</v>
      </c>
      <c r="M78" s="1284">
        <f t="shared" si="24"/>
        <v>0</v>
      </c>
      <c r="N78" s="1284">
        <f t="shared" si="24"/>
        <v>0</v>
      </c>
      <c r="Z78" s="2717"/>
      <c r="AA78" s="2785"/>
      <c r="AG78" s="1371"/>
      <c r="AK78" s="2785"/>
    </row>
    <row r="79" spans="1:37" ht="15">
      <c r="A79" s="2863" t="s">
        <v>2964</v>
      </c>
      <c r="B79" s="2864">
        <f>1+E81</f>
        <v>1</v>
      </c>
      <c r="C79" s="814"/>
      <c r="D79" s="814"/>
      <c r="E79" s="815"/>
      <c r="F79" s="2866"/>
      <c r="G79" s="6"/>
      <c r="H79" s="6"/>
      <c r="I79" s="6"/>
      <c r="J79" s="7"/>
      <c r="K79" s="7"/>
      <c r="L79" s="7"/>
      <c r="M79" s="7"/>
      <c r="N79" s="7"/>
      <c r="Z79" s="2717"/>
      <c r="AA79" s="2785"/>
      <c r="AG79" s="1371"/>
      <c r="AK79" s="2785"/>
    </row>
    <row r="80" spans="1:37" ht="24.75">
      <c r="A80" s="2867" t="s">
        <v>2938</v>
      </c>
      <c r="B80" s="1808"/>
      <c r="C80" s="1808" t="s">
        <v>2940</v>
      </c>
      <c r="D80" s="1808" t="s">
        <v>2941</v>
      </c>
      <c r="E80" s="819" t="s">
        <v>2942</v>
      </c>
      <c r="F80" s="2868" t="s">
        <v>2958</v>
      </c>
      <c r="G80" s="1808" t="s">
        <v>754</v>
      </c>
      <c r="H80" s="2869" t="s">
        <v>2944</v>
      </c>
      <c r="I80" s="1808" t="s">
        <v>2945</v>
      </c>
      <c r="J80" s="603" t="s">
        <v>2593</v>
      </c>
      <c r="K80" s="603" t="s">
        <v>2594</v>
      </c>
      <c r="L80" s="603" t="s">
        <v>2595</v>
      </c>
      <c r="M80" s="603" t="s">
        <v>2596</v>
      </c>
      <c r="N80" s="603" t="s">
        <v>2597</v>
      </c>
      <c r="Z80" s="2717"/>
      <c r="AA80" s="2785"/>
      <c r="AG80" s="1371"/>
      <c r="AK80" s="2785"/>
    </row>
    <row r="81" spans="1:37" ht="38.25">
      <c r="A81" s="2867" t="s">
        <v>2965</v>
      </c>
      <c r="B81" s="2871" t="str">
        <f>估价对象房地状况!G15</f>
        <v>估价对象位于XX开发区，园区建设成熟度XX，产业集聚程度XX</v>
      </c>
      <c r="C81" s="2767"/>
      <c r="D81" s="1285">
        <f t="shared" ref="D81:D88" si="25">SUMIF($J$80:$N$80,C81,J81:N81)</f>
        <v>0</v>
      </c>
      <c r="E81" s="821">
        <f>ROUND(SUM(D81:D88),4)</f>
        <v>0</v>
      </c>
      <c r="F81" s="2498"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7"/>
      <c r="AA81" s="2785"/>
      <c r="AG81" s="1371"/>
      <c r="AK81" s="2785"/>
    </row>
    <row r="82" spans="1:37" ht="51">
      <c r="A82" s="2867" t="s">
        <v>2947</v>
      </c>
      <c r="B82" s="2871" t="str">
        <f>估价对象房地状况!G16</f>
        <v>估价对象周边道路状况、公共交通通达情况、停车便捷程度，综合评价交通便捷度较好</v>
      </c>
      <c r="C82" s="2767"/>
      <c r="D82" s="1285">
        <f t="shared" si="25"/>
        <v>0</v>
      </c>
      <c r="E82" s="826"/>
      <c r="F82" s="2498"/>
      <c r="G82" s="1283"/>
      <c r="H82" s="1287" t="str">
        <f t="shared" si="26"/>
        <v>——</v>
      </c>
      <c r="I82" s="820">
        <v>0.33</v>
      </c>
      <c r="J82" s="1284">
        <f t="shared" si="27"/>
        <v>0</v>
      </c>
      <c r="K82" s="1284">
        <f t="shared" si="28"/>
        <v>0</v>
      </c>
      <c r="L82" s="1284">
        <v>0</v>
      </c>
      <c r="M82" s="1284">
        <f t="shared" si="29"/>
        <v>0</v>
      </c>
      <c r="N82" s="1284">
        <f t="shared" si="29"/>
        <v>0</v>
      </c>
      <c r="Z82" s="2717"/>
      <c r="AA82" s="2785"/>
      <c r="AG82" s="1371"/>
      <c r="AK82" s="2785"/>
    </row>
    <row r="83" spans="1:37" ht="24">
      <c r="A83" s="2867" t="s">
        <v>2948</v>
      </c>
      <c r="B83" s="2871">
        <f>估价对象房地状况!G17</f>
        <v>0</v>
      </c>
      <c r="C83" s="2767"/>
      <c r="D83" s="1285">
        <f t="shared" si="25"/>
        <v>0</v>
      </c>
      <c r="E83" s="826"/>
      <c r="F83" s="2498"/>
      <c r="G83" s="1283"/>
      <c r="H83" s="1287" t="str">
        <f t="shared" si="26"/>
        <v>——</v>
      </c>
      <c r="I83" s="820">
        <v>0.05</v>
      </c>
      <c r="J83" s="1284">
        <f t="shared" si="27"/>
        <v>0</v>
      </c>
      <c r="K83" s="1284">
        <f t="shared" si="28"/>
        <v>0</v>
      </c>
      <c r="L83" s="1284">
        <v>0</v>
      </c>
      <c r="M83" s="1284">
        <f t="shared" si="29"/>
        <v>0</v>
      </c>
      <c r="N83" s="1284">
        <f t="shared" si="29"/>
        <v>0</v>
      </c>
      <c r="Z83" s="2717"/>
      <c r="AA83" s="2785"/>
      <c r="AG83" s="1371"/>
      <c r="AK83" s="2785"/>
    </row>
    <row r="84" spans="1:37" ht="14.25">
      <c r="A84" s="2867" t="s">
        <v>2962</v>
      </c>
      <c r="B84" s="2871">
        <f>估价对象房地状况!G22</f>
        <v>0</v>
      </c>
      <c r="C84" s="2767"/>
      <c r="D84" s="1285">
        <f t="shared" si="25"/>
        <v>0</v>
      </c>
      <c r="E84" s="826"/>
      <c r="F84" s="2498"/>
      <c r="G84" s="1283"/>
      <c r="H84" s="1287" t="str">
        <f t="shared" si="26"/>
        <v>——</v>
      </c>
      <c r="I84" s="820">
        <v>0.04</v>
      </c>
      <c r="J84" s="1284">
        <f t="shared" si="27"/>
        <v>0</v>
      </c>
      <c r="K84" s="1284">
        <f t="shared" si="28"/>
        <v>0</v>
      </c>
      <c r="L84" s="1284">
        <v>0</v>
      </c>
      <c r="M84" s="1284">
        <f t="shared" si="29"/>
        <v>0</v>
      </c>
      <c r="N84" s="1284">
        <f t="shared" si="29"/>
        <v>0</v>
      </c>
      <c r="Z84" s="2717"/>
      <c r="AA84" s="2785"/>
      <c r="AG84" s="1371"/>
      <c r="AK84" s="2785"/>
    </row>
    <row r="85" spans="1:37" ht="25.5">
      <c r="A85" s="2867" t="s">
        <v>2954</v>
      </c>
      <c r="B85" s="1724" t="str">
        <f>估价对象房地状况!G19</f>
        <v>估价对象所在区域公共配套设施齐备情况</v>
      </c>
      <c r="C85" s="2767"/>
      <c r="D85" s="1285">
        <f t="shared" si="25"/>
        <v>0</v>
      </c>
      <c r="E85" s="826"/>
      <c r="F85" s="2498"/>
      <c r="G85" s="1283"/>
      <c r="H85" s="1287" t="str">
        <f t="shared" si="26"/>
        <v>——</v>
      </c>
      <c r="I85" s="820">
        <v>0.06</v>
      </c>
      <c r="J85" s="1284">
        <f t="shared" si="27"/>
        <v>0</v>
      </c>
      <c r="K85" s="1284">
        <f t="shared" si="28"/>
        <v>0</v>
      </c>
      <c r="L85" s="1284">
        <v>0</v>
      </c>
      <c r="M85" s="1284">
        <f t="shared" si="29"/>
        <v>0</v>
      </c>
      <c r="N85" s="1284">
        <f t="shared" si="29"/>
        <v>0</v>
      </c>
      <c r="Z85" s="2717"/>
      <c r="AA85" s="2785"/>
      <c r="AG85" s="1371"/>
      <c r="AK85" s="2785"/>
    </row>
    <row r="86" spans="1:37" ht="25.5">
      <c r="A86" s="2867" t="s">
        <v>2955</v>
      </c>
      <c r="B86" s="1724" t="str">
        <f>估价对象房地状况!G20</f>
        <v>估价对象所在区域基础设施水平</v>
      </c>
      <c r="C86" s="2767"/>
      <c r="D86" s="1285">
        <f t="shared" si="25"/>
        <v>0</v>
      </c>
      <c r="E86" s="826"/>
      <c r="F86" s="2498"/>
      <c r="G86" s="1283"/>
      <c r="H86" s="1287" t="str">
        <f t="shared" si="26"/>
        <v>——</v>
      </c>
      <c r="I86" s="820">
        <v>0.15</v>
      </c>
      <c r="J86" s="1284">
        <f t="shared" si="27"/>
        <v>0</v>
      </c>
      <c r="K86" s="1284">
        <f t="shared" si="28"/>
        <v>0</v>
      </c>
      <c r="L86" s="1284">
        <v>0</v>
      </c>
      <c r="M86" s="1284">
        <f t="shared" si="29"/>
        <v>0</v>
      </c>
      <c r="N86" s="1284">
        <f t="shared" si="29"/>
        <v>0</v>
      </c>
      <c r="Z86" s="2717"/>
      <c r="AA86" s="2785"/>
      <c r="AG86" s="1371"/>
      <c r="AK86" s="2785"/>
    </row>
    <row r="87" spans="1:37" ht="24">
      <c r="A87" s="2867" t="s">
        <v>2952</v>
      </c>
      <c r="B87" s="2873" t="s">
        <v>2966</v>
      </c>
      <c r="C87" s="2767"/>
      <c r="D87" s="1285">
        <f t="shared" si="25"/>
        <v>0</v>
      </c>
      <c r="E87" s="826"/>
      <c r="F87" s="2498"/>
      <c r="G87" s="1283"/>
      <c r="H87" s="1287" t="str">
        <f t="shared" si="26"/>
        <v>——</v>
      </c>
      <c r="I87" s="820">
        <v>0.05</v>
      </c>
      <c r="J87" s="1284">
        <f t="shared" si="27"/>
        <v>0</v>
      </c>
      <c r="K87" s="1284">
        <f t="shared" si="28"/>
        <v>0</v>
      </c>
      <c r="L87" s="1284">
        <v>0</v>
      </c>
      <c r="M87" s="1284">
        <f t="shared" si="29"/>
        <v>0</v>
      </c>
      <c r="N87" s="1284">
        <f t="shared" si="29"/>
        <v>0</v>
      </c>
      <c r="Z87" s="2717"/>
      <c r="AA87" s="2785"/>
      <c r="AG87" s="1371"/>
      <c r="AK87" s="2785"/>
    </row>
    <row r="88" spans="1:37" ht="39" thickBot="1">
      <c r="A88" s="2875" t="s">
        <v>2967</v>
      </c>
      <c r="B88" s="2880" t="str">
        <f>估价对象房地状况!G18</f>
        <v>该园区内是否有污染型企业，绿化情况，卫生条件，整体环境状况判断</v>
      </c>
      <c r="C88" s="2767"/>
      <c r="D88" s="1285">
        <f t="shared" si="25"/>
        <v>0</v>
      </c>
      <c r="E88" s="827"/>
      <c r="F88" s="2498"/>
      <c r="G88" s="1283"/>
      <c r="H88" s="1287" t="str">
        <f t="shared" si="26"/>
        <v>——</v>
      </c>
      <c r="I88" s="824">
        <v>0.06</v>
      </c>
      <c r="J88" s="1284">
        <f t="shared" si="27"/>
        <v>0</v>
      </c>
      <c r="K88" s="1284">
        <f t="shared" si="28"/>
        <v>0</v>
      </c>
      <c r="L88" s="1284">
        <v>0</v>
      </c>
      <c r="M88" s="1284">
        <f t="shared" si="29"/>
        <v>0</v>
      </c>
      <c r="N88" s="1284">
        <f t="shared" si="29"/>
        <v>0</v>
      </c>
      <c r="Z88" s="2717"/>
      <c r="AA88" s="2785"/>
      <c r="AG88" s="1371"/>
      <c r="AK88" s="2785"/>
    </row>
    <row r="90" spans="1:37">
      <c r="A90" s="3298" t="s">
        <v>2968</v>
      </c>
      <c r="B90" s="3298"/>
      <c r="C90" s="3298"/>
      <c r="D90" s="3298"/>
      <c r="E90" s="3298"/>
      <c r="F90" s="3298"/>
      <c r="G90" s="3298"/>
      <c r="H90" s="3298"/>
      <c r="I90" s="3298"/>
      <c r="J90" s="3298"/>
      <c r="K90" s="2881"/>
      <c r="L90" s="2881"/>
      <c r="M90" s="2881"/>
      <c r="N90" s="2881"/>
    </row>
    <row r="91" spans="1:37">
      <c r="A91" s="3300" t="s">
        <v>2969</v>
      </c>
      <c r="B91" s="3300" t="s">
        <v>2970</v>
      </c>
      <c r="C91" s="2835" t="s">
        <v>2971</v>
      </c>
      <c r="D91" s="2836"/>
      <c r="E91" s="2836"/>
      <c r="F91" s="2836"/>
      <c r="G91" s="2836"/>
      <c r="H91" s="2836"/>
      <c r="I91" s="2836"/>
      <c r="J91" s="2882"/>
      <c r="K91" s="2883"/>
      <c r="L91" s="2883"/>
      <c r="M91" s="2883"/>
      <c r="N91" s="2883"/>
    </row>
    <row r="92" spans="1:37">
      <c r="A92" s="3300"/>
      <c r="B92" s="3300"/>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301" t="s">
        <v>2972</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0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0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0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0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0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02"/>
      <c r="B99" s="2884" t="s">
        <v>2853</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0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01" t="s">
        <v>2973</v>
      </c>
      <c r="B101" s="2888" t="s">
        <v>2974</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302"/>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302"/>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302"/>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302"/>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302"/>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302"/>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302"/>
      <c r="B108" s="3128" t="s">
        <v>2975</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03"/>
      <c r="B109" s="3129"/>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99" t="s">
        <v>2976</v>
      </c>
      <c r="B110" s="3299"/>
      <c r="C110" s="3299"/>
      <c r="D110" s="3299"/>
      <c r="E110" s="3299"/>
      <c r="F110" s="3299"/>
      <c r="G110" s="3299"/>
      <c r="H110" s="3299"/>
      <c r="I110" s="3299"/>
      <c r="J110" s="3299"/>
      <c r="K110" s="2890"/>
      <c r="L110" s="2890"/>
      <c r="M110" s="2890"/>
      <c r="N110" s="2890"/>
    </row>
    <row r="112" spans="1:14" ht="13.5" thickBot="1"/>
    <row r="113" spans="1:13" ht="25.5" thickBot="1">
      <c r="A113" s="903" t="s">
        <v>2977</v>
      </c>
      <c r="B113" s="1286" t="e">
        <f>G3</f>
        <v>#DIV/0!</v>
      </c>
      <c r="C113" s="904" t="s">
        <v>2978</v>
      </c>
      <c r="D113" s="905" t="e">
        <f>SUMPRODUCT((A115:A118=F113)*(B114:M114=H113)*B115:M118)</f>
        <v>#DIV/0!</v>
      </c>
      <c r="E113" s="2721" t="s">
        <v>2810</v>
      </c>
      <c r="F113" s="2892">
        <f>E2</f>
        <v>0</v>
      </c>
      <c r="G113" s="2721" t="s">
        <v>2811</v>
      </c>
      <c r="H113" s="2892">
        <f>G2</f>
        <v>0</v>
      </c>
      <c r="I113" s="2721"/>
      <c r="J113" s="2893"/>
      <c r="K113" s="2893"/>
      <c r="L113" s="2893"/>
      <c r="M113" s="2893"/>
    </row>
    <row r="114" spans="1:13">
      <c r="A114" s="908"/>
      <c r="B114" s="2894" t="s">
        <v>2979</v>
      </c>
      <c r="C114" s="2894" t="s">
        <v>2980</v>
      </c>
      <c r="D114" s="2894" t="s">
        <v>2981</v>
      </c>
      <c r="E114" s="2895" t="s">
        <v>2982</v>
      </c>
      <c r="F114" s="2895" t="s">
        <v>2983</v>
      </c>
      <c r="G114" s="2895" t="s">
        <v>2984</v>
      </c>
      <c r="H114" s="2896" t="s">
        <v>2985</v>
      </c>
      <c r="I114" s="2896" t="s">
        <v>2986</v>
      </c>
      <c r="J114" s="2897" t="s">
        <v>2987</v>
      </c>
      <c r="K114" s="2897" t="s">
        <v>2988</v>
      </c>
      <c r="L114" s="2897" t="s">
        <v>2989</v>
      </c>
      <c r="M114" s="2898"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9" t="s">
        <v>183</v>
      </c>
      <c r="B18" s="882" t="s">
        <v>560</v>
      </c>
      <c r="C18" s="883" t="s">
        <v>561</v>
      </c>
      <c r="D18" s="884"/>
      <c r="E18" s="882">
        <v>1</v>
      </c>
      <c r="F18" s="885" t="s">
        <v>562</v>
      </c>
      <c r="G18" s="886"/>
      <c r="H18" s="878"/>
      <c r="I18" s="878"/>
    </row>
    <row r="19" spans="1:9" s="887" customFormat="1" ht="19.5" customHeight="1">
      <c r="A19" s="3319"/>
      <c r="B19" s="3319" t="s">
        <v>563</v>
      </c>
      <c r="C19" s="883" t="s">
        <v>564</v>
      </c>
      <c r="D19" s="884"/>
      <c r="E19" s="882">
        <v>0.9</v>
      </c>
      <c r="F19" s="885" t="s">
        <v>565</v>
      </c>
      <c r="G19" s="886"/>
      <c r="H19" s="878"/>
      <c r="I19" s="878"/>
    </row>
    <row r="20" spans="1:9" s="887" customFormat="1" ht="19.5" customHeight="1">
      <c r="A20" s="3319"/>
      <c r="B20" s="3319"/>
      <c r="C20" s="883" t="s">
        <v>566</v>
      </c>
      <c r="D20" s="884"/>
      <c r="E20" s="882">
        <v>1.1000000000000001</v>
      </c>
      <c r="F20" s="885" t="s">
        <v>567</v>
      </c>
      <c r="G20" s="886"/>
      <c r="H20" s="878"/>
      <c r="I20" s="878"/>
    </row>
    <row r="21" spans="1:9" s="887" customFormat="1" ht="19.5" customHeight="1">
      <c r="A21" s="3319"/>
      <c r="B21" s="3319"/>
      <c r="C21" s="883" t="s">
        <v>568</v>
      </c>
      <c r="D21" s="884"/>
      <c r="E21" s="882">
        <v>0.8</v>
      </c>
      <c r="F21" s="885" t="s">
        <v>569</v>
      </c>
      <c r="G21" s="886"/>
      <c r="H21" s="878"/>
      <c r="I21" s="878"/>
    </row>
    <row r="22" spans="1:9" s="887" customFormat="1" ht="19.5" customHeight="1">
      <c r="A22" s="3319"/>
      <c r="B22" s="3319"/>
      <c r="C22" s="883" t="s">
        <v>570</v>
      </c>
      <c r="D22" s="884"/>
      <c r="E22" s="882">
        <v>0.5</v>
      </c>
      <c r="F22" s="885"/>
      <c r="G22" s="886"/>
      <c r="H22" s="878"/>
      <c r="I22" s="878"/>
    </row>
    <row r="23" spans="1:9" s="887" customFormat="1" ht="19.5" customHeight="1">
      <c r="A23" s="3319" t="s">
        <v>184</v>
      </c>
      <c r="B23" s="882" t="s">
        <v>560</v>
      </c>
      <c r="C23" s="883" t="s">
        <v>571</v>
      </c>
      <c r="D23" s="884"/>
      <c r="E23" s="882">
        <v>1</v>
      </c>
      <c r="F23" s="885" t="s">
        <v>572</v>
      </c>
      <c r="G23" s="886"/>
      <c r="H23" s="878"/>
      <c r="I23" s="878"/>
    </row>
    <row r="24" spans="1:9" s="887" customFormat="1" ht="19.5" customHeight="1">
      <c r="A24" s="3319"/>
      <c r="B24" s="3319" t="s">
        <v>563</v>
      </c>
      <c r="C24" s="883" t="s">
        <v>573</v>
      </c>
      <c r="D24" s="884"/>
      <c r="E24" s="882">
        <v>0.5</v>
      </c>
      <c r="F24" s="885"/>
      <c r="G24" s="886"/>
      <c r="H24" s="878"/>
      <c r="I24" s="878"/>
    </row>
    <row r="25" spans="1:9" s="887" customFormat="1" ht="19.5" customHeight="1">
      <c r="A25" s="3319"/>
      <c r="B25" s="3319"/>
      <c r="C25" s="883" t="s">
        <v>574</v>
      </c>
      <c r="D25" s="884"/>
      <c r="E25" s="882">
        <v>1.1000000000000001</v>
      </c>
      <c r="F25" s="885"/>
      <c r="G25" s="886"/>
      <c r="H25" s="878"/>
      <c r="I25" s="878"/>
    </row>
    <row r="26" spans="1:9" s="887" customFormat="1" ht="19.5" customHeight="1">
      <c r="A26" s="3319"/>
      <c r="B26" s="3319"/>
      <c r="C26" s="883" t="s">
        <v>575</v>
      </c>
      <c r="D26" s="884"/>
      <c r="E26" s="882">
        <v>1.1000000000000001</v>
      </c>
      <c r="F26" s="885"/>
      <c r="G26" s="886"/>
      <c r="H26" s="878"/>
      <c r="I26" s="878"/>
    </row>
    <row r="27" spans="1:9" s="887" customFormat="1" ht="19.5" customHeight="1">
      <c r="A27" s="3319"/>
      <c r="B27" s="3319"/>
      <c r="C27" s="883" t="s">
        <v>576</v>
      </c>
      <c r="D27" s="884"/>
      <c r="E27" s="882">
        <v>0.9</v>
      </c>
      <c r="F27" s="885" t="s">
        <v>577</v>
      </c>
      <c r="G27" s="886"/>
      <c r="H27" s="878"/>
      <c r="I27" s="878"/>
    </row>
    <row r="28" spans="1:9" s="887" customFormat="1" ht="19.5" customHeight="1">
      <c r="A28" s="3319"/>
      <c r="B28" s="3319"/>
      <c r="C28" s="883" t="s">
        <v>578</v>
      </c>
      <c r="D28" s="884"/>
      <c r="E28" s="882">
        <v>0.9</v>
      </c>
      <c r="F28" s="885" t="s">
        <v>579</v>
      </c>
      <c r="G28" s="886"/>
      <c r="H28" s="878"/>
      <c r="I28" s="878"/>
    </row>
    <row r="29" spans="1:9" s="887" customFormat="1" ht="19.5" customHeight="1">
      <c r="A29" s="3319"/>
      <c r="B29" s="3319"/>
      <c r="C29" s="883" t="s">
        <v>580</v>
      </c>
      <c r="D29" s="884"/>
      <c r="E29" s="882">
        <v>0.9</v>
      </c>
      <c r="F29" s="885" t="s">
        <v>581</v>
      </c>
      <c r="G29" s="886"/>
      <c r="H29" s="878"/>
      <c r="I29" s="878"/>
    </row>
    <row r="30" spans="1:9" s="887" customFormat="1" ht="19.5" customHeight="1">
      <c r="A30" s="3319"/>
      <c r="B30" s="3319"/>
      <c r="C30" s="883" t="s">
        <v>582</v>
      </c>
      <c r="D30" s="884"/>
      <c r="E30" s="882">
        <v>0.9</v>
      </c>
      <c r="F30" s="885" t="s">
        <v>583</v>
      </c>
      <c r="G30" s="886"/>
      <c r="H30" s="878"/>
      <c r="I30" s="878"/>
    </row>
    <row r="31" spans="1:9" s="887" customFormat="1" ht="19.5" customHeight="1">
      <c r="A31" s="3319"/>
      <c r="B31" s="3319"/>
      <c r="C31" s="883" t="s">
        <v>584</v>
      </c>
      <c r="D31" s="884"/>
      <c r="E31" s="882">
        <v>0.8</v>
      </c>
      <c r="F31" s="885" t="s">
        <v>585</v>
      </c>
      <c r="G31" s="886"/>
      <c r="H31" s="878"/>
      <c r="I31" s="878"/>
    </row>
    <row r="32" spans="1:9" s="887" customFormat="1" ht="19.5" customHeight="1">
      <c r="A32" s="3319"/>
      <c r="B32" s="3319"/>
      <c r="C32" s="883" t="s">
        <v>586</v>
      </c>
      <c r="D32" s="884"/>
      <c r="E32" s="882">
        <v>0.8</v>
      </c>
      <c r="F32" s="885" t="s">
        <v>587</v>
      </c>
      <c r="G32" s="886"/>
      <c r="H32" s="878"/>
      <c r="I32" s="878"/>
    </row>
    <row r="33" spans="1:9" s="887" customFormat="1" ht="19.5" customHeight="1">
      <c r="A33" s="3319" t="s">
        <v>185</v>
      </c>
      <c r="B33" s="882" t="s">
        <v>560</v>
      </c>
      <c r="C33" s="883" t="s">
        <v>588</v>
      </c>
      <c r="D33" s="884"/>
      <c r="E33" s="882">
        <v>1</v>
      </c>
      <c r="F33" s="885" t="s">
        <v>589</v>
      </c>
      <c r="G33" s="886"/>
      <c r="H33" s="878"/>
      <c r="I33" s="878"/>
    </row>
    <row r="34" spans="1:9" s="887" customFormat="1" ht="19.5" customHeight="1">
      <c r="A34" s="3319"/>
      <c r="B34" s="882" t="s">
        <v>563</v>
      </c>
      <c r="C34" s="883" t="s">
        <v>590</v>
      </c>
      <c r="D34" s="884"/>
      <c r="E34" s="882">
        <v>1.5</v>
      </c>
      <c r="F34" s="885" t="s">
        <v>591</v>
      </c>
      <c r="G34" s="886"/>
      <c r="H34" s="878"/>
      <c r="I34" s="878"/>
    </row>
    <row r="35" spans="1:9" s="887" customFormat="1" ht="19.5" customHeight="1">
      <c r="A35" s="3319" t="s">
        <v>186</v>
      </c>
      <c r="B35" s="882" t="s">
        <v>560</v>
      </c>
      <c r="C35" s="883" t="s">
        <v>592</v>
      </c>
      <c r="D35" s="884"/>
      <c r="E35" s="882">
        <v>1</v>
      </c>
      <c r="F35" s="885" t="s">
        <v>593</v>
      </c>
      <c r="G35" s="886"/>
      <c r="H35" s="878"/>
      <c r="I35" s="878"/>
    </row>
    <row r="36" spans="1:9" s="887" customFormat="1" ht="19.5" customHeight="1">
      <c r="A36" s="3319"/>
      <c r="B36" s="3319" t="s">
        <v>563</v>
      </c>
      <c r="C36" s="883" t="s">
        <v>594</v>
      </c>
      <c r="D36" s="884"/>
      <c r="E36" s="882">
        <v>1</v>
      </c>
      <c r="F36" s="885" t="s">
        <v>595</v>
      </c>
      <c r="G36" s="886"/>
      <c r="H36" s="878"/>
      <c r="I36" s="878"/>
    </row>
    <row r="37" spans="1:9" s="887" customFormat="1" ht="19.5" customHeight="1">
      <c r="A37" s="3319"/>
      <c r="B37" s="3319"/>
      <c r="C37" s="883" t="s">
        <v>596</v>
      </c>
      <c r="D37" s="884"/>
      <c r="E37" s="882">
        <v>1.5</v>
      </c>
      <c r="F37" s="885" t="s">
        <v>597</v>
      </c>
      <c r="G37" s="886"/>
      <c r="H37" s="878"/>
      <c r="I37" s="878"/>
    </row>
    <row r="38" spans="1:9" s="887" customFormat="1" ht="19.5" customHeight="1">
      <c r="A38" s="3319"/>
      <c r="B38" s="3319"/>
      <c r="C38" s="883" t="s">
        <v>598</v>
      </c>
      <c r="D38" s="884"/>
      <c r="E38" s="882">
        <v>1</v>
      </c>
      <c r="F38" s="885" t="s">
        <v>599</v>
      </c>
      <c r="G38" s="886"/>
      <c r="H38" s="878"/>
      <c r="I38" s="878"/>
    </row>
    <row r="39" spans="1:9" s="887" customFormat="1" ht="19.5" customHeight="1">
      <c r="A39" s="3319"/>
      <c r="B39" s="331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9" t="s">
        <v>614</v>
      </c>
      <c r="C61" s="818" t="s">
        <v>615</v>
      </c>
      <c r="D61" s="818" t="s">
        <v>616</v>
      </c>
      <c r="E61" s="895">
        <v>0.5</v>
      </c>
      <c r="F61" s="882">
        <v>80</v>
      </c>
    </row>
    <row r="62" spans="1:8" s="878" customFormat="1" ht="24">
      <c r="A62" s="882">
        <v>2</v>
      </c>
      <c r="B62" s="3319"/>
      <c r="C62" s="818" t="s">
        <v>617</v>
      </c>
      <c r="D62" s="818" t="s">
        <v>618</v>
      </c>
      <c r="E62" s="895">
        <v>0.5</v>
      </c>
      <c r="F62" s="882">
        <v>80</v>
      </c>
    </row>
    <row r="63" spans="1:8" s="878" customFormat="1" ht="36">
      <c r="A63" s="882">
        <v>3</v>
      </c>
      <c r="B63" s="3319"/>
      <c r="C63" s="818" t="s">
        <v>619</v>
      </c>
      <c r="D63" s="818" t="s">
        <v>620</v>
      </c>
      <c r="E63" s="895">
        <v>0.5</v>
      </c>
      <c r="F63" s="882">
        <v>80</v>
      </c>
    </row>
    <row r="64" spans="1:8" s="878" customFormat="1" ht="36">
      <c r="A64" s="882">
        <v>4</v>
      </c>
      <c r="B64" s="3319"/>
      <c r="C64" s="818" t="s">
        <v>621</v>
      </c>
      <c r="D64" s="818" t="s">
        <v>622</v>
      </c>
      <c r="E64" s="895">
        <v>0.4</v>
      </c>
      <c r="F64" s="882">
        <v>60</v>
      </c>
    </row>
    <row r="65" spans="1:6" s="878" customFormat="1" ht="36">
      <c r="A65" s="882">
        <v>5</v>
      </c>
      <c r="B65" s="3319"/>
      <c r="C65" s="818" t="s">
        <v>623</v>
      </c>
      <c r="D65" s="818" t="s">
        <v>624</v>
      </c>
      <c r="E65" s="895">
        <v>0.2</v>
      </c>
      <c r="F65" s="882">
        <v>30</v>
      </c>
    </row>
    <row r="66" spans="1:6" s="878" customFormat="1" ht="36">
      <c r="A66" s="882">
        <v>6</v>
      </c>
      <c r="B66" s="3319"/>
      <c r="C66" s="818" t="s">
        <v>625</v>
      </c>
      <c r="D66" s="818" t="s">
        <v>626</v>
      </c>
      <c r="E66" s="895">
        <v>0.3</v>
      </c>
      <c r="F66" s="882">
        <v>50</v>
      </c>
    </row>
    <row r="67" spans="1:6" s="878" customFormat="1" ht="36">
      <c r="A67" s="882">
        <v>7</v>
      </c>
      <c r="B67" s="3319"/>
      <c r="C67" s="818" t="s">
        <v>627</v>
      </c>
      <c r="D67" s="818" t="s">
        <v>628</v>
      </c>
      <c r="E67" s="895">
        <v>0.2</v>
      </c>
      <c r="F67" s="882">
        <v>30</v>
      </c>
    </row>
    <row r="68" spans="1:6" s="878" customFormat="1" ht="36">
      <c r="A68" s="882">
        <v>8</v>
      </c>
      <c r="B68" s="3319"/>
      <c r="C68" s="818" t="s">
        <v>629</v>
      </c>
      <c r="D68" s="818" t="s">
        <v>630</v>
      </c>
      <c r="E68" s="895">
        <v>0.2</v>
      </c>
      <c r="F68" s="882">
        <v>30</v>
      </c>
    </row>
    <row r="69" spans="1:6" s="878" customFormat="1" ht="36">
      <c r="A69" s="882">
        <v>9</v>
      </c>
      <c r="B69" s="3319"/>
      <c r="C69" s="818" t="s">
        <v>631</v>
      </c>
      <c r="D69" s="818" t="s">
        <v>632</v>
      </c>
      <c r="E69" s="895">
        <v>0.2</v>
      </c>
      <c r="F69" s="882">
        <v>30</v>
      </c>
    </row>
    <row r="70" spans="1:6" s="878" customFormat="1" ht="48">
      <c r="A70" s="882">
        <v>10</v>
      </c>
      <c r="B70" s="3319"/>
      <c r="C70" s="818" t="s">
        <v>633</v>
      </c>
      <c r="D70" s="818" t="s">
        <v>634</v>
      </c>
      <c r="E70" s="895">
        <v>0.2</v>
      </c>
      <c r="F70" s="882">
        <v>30</v>
      </c>
    </row>
    <row r="71" spans="1:6" s="878" customFormat="1" ht="48">
      <c r="A71" s="882">
        <v>11</v>
      </c>
      <c r="B71" s="3319"/>
      <c r="C71" s="818" t="s">
        <v>635</v>
      </c>
      <c r="D71" s="818" t="s">
        <v>636</v>
      </c>
      <c r="E71" s="895">
        <v>0.2</v>
      </c>
      <c r="F71" s="882">
        <v>30</v>
      </c>
    </row>
    <row r="72" spans="1:6" s="878" customFormat="1" ht="36">
      <c r="A72" s="882">
        <v>12</v>
      </c>
      <c r="B72" s="3319"/>
      <c r="C72" s="818" t="s">
        <v>637</v>
      </c>
      <c r="D72" s="818" t="s">
        <v>638</v>
      </c>
      <c r="E72" s="895">
        <v>0.5</v>
      </c>
      <c r="F72" s="882">
        <v>80</v>
      </c>
    </row>
    <row r="73" spans="1:6" s="878" customFormat="1" ht="24">
      <c r="A73" s="882">
        <v>13</v>
      </c>
      <c r="B73" s="3319"/>
      <c r="C73" s="818" t="s">
        <v>639</v>
      </c>
      <c r="D73" s="818" t="s">
        <v>640</v>
      </c>
      <c r="E73" s="895">
        <v>0.4</v>
      </c>
      <c r="F73" s="882">
        <v>60</v>
      </c>
    </row>
    <row r="74" spans="1:6" s="878" customFormat="1" ht="24">
      <c r="A74" s="882">
        <v>14</v>
      </c>
      <c r="B74" s="3319"/>
      <c r="C74" s="818" t="s">
        <v>641</v>
      </c>
      <c r="D74" s="818" t="s">
        <v>642</v>
      </c>
      <c r="E74" s="895">
        <v>0.2</v>
      </c>
      <c r="F74" s="882">
        <v>30</v>
      </c>
    </row>
    <row r="75" spans="1:6" s="878" customFormat="1" ht="24">
      <c r="A75" s="882">
        <v>15</v>
      </c>
      <c r="B75" s="3319"/>
      <c r="C75" s="818" t="s">
        <v>643</v>
      </c>
      <c r="D75" s="818" t="s">
        <v>644</v>
      </c>
      <c r="E75" s="895">
        <v>0.2</v>
      </c>
      <c r="F75" s="882">
        <v>30</v>
      </c>
    </row>
    <row r="76" spans="1:6" s="878" customFormat="1" ht="24">
      <c r="A76" s="882">
        <v>16</v>
      </c>
      <c r="B76" s="3319" t="s">
        <v>645</v>
      </c>
      <c r="C76" s="818" t="s">
        <v>646</v>
      </c>
      <c r="D76" s="818" t="s">
        <v>647</v>
      </c>
      <c r="E76" s="895">
        <v>0.5</v>
      </c>
      <c r="F76" s="882">
        <v>80</v>
      </c>
    </row>
    <row r="77" spans="1:6" s="878" customFormat="1" ht="24">
      <c r="A77" s="882">
        <v>17</v>
      </c>
      <c r="B77" s="3319"/>
      <c r="C77" s="818" t="s">
        <v>648</v>
      </c>
      <c r="D77" s="818" t="s">
        <v>649</v>
      </c>
      <c r="E77" s="895">
        <v>0.5</v>
      </c>
      <c r="F77" s="882">
        <v>80</v>
      </c>
    </row>
    <row r="78" spans="1:6" s="878" customFormat="1" ht="24">
      <c r="A78" s="882">
        <v>18</v>
      </c>
      <c r="B78" s="3319"/>
      <c r="C78" s="818" t="s">
        <v>650</v>
      </c>
      <c r="D78" s="818" t="s">
        <v>651</v>
      </c>
      <c r="E78" s="895">
        <v>0.2</v>
      </c>
      <c r="F78" s="882">
        <v>30</v>
      </c>
    </row>
    <row r="79" spans="1:6" s="878" customFormat="1" ht="24">
      <c r="A79" s="882">
        <v>19</v>
      </c>
      <c r="B79" s="3319"/>
      <c r="C79" s="818" t="s">
        <v>652</v>
      </c>
      <c r="D79" s="818" t="s">
        <v>653</v>
      </c>
      <c r="E79" s="895">
        <v>0.5</v>
      </c>
      <c r="F79" s="882">
        <v>80</v>
      </c>
    </row>
    <row r="80" spans="1:6" s="878" customFormat="1" ht="36">
      <c r="A80" s="882">
        <v>20</v>
      </c>
      <c r="B80" s="3319"/>
      <c r="C80" s="818" t="s">
        <v>654</v>
      </c>
      <c r="D80" s="818" t="s">
        <v>655</v>
      </c>
      <c r="E80" s="895">
        <v>0.2</v>
      </c>
      <c r="F80" s="882">
        <v>30</v>
      </c>
    </row>
    <row r="81" spans="1:6" s="878" customFormat="1" ht="36">
      <c r="A81" s="882">
        <v>21</v>
      </c>
      <c r="B81" s="3319"/>
      <c r="C81" s="818" t="s">
        <v>656</v>
      </c>
      <c r="D81" s="818" t="s">
        <v>657</v>
      </c>
      <c r="E81" s="895">
        <v>0.2</v>
      </c>
      <c r="F81" s="882">
        <v>30</v>
      </c>
    </row>
    <row r="82" spans="1:6" s="878" customFormat="1" ht="48">
      <c r="A82" s="882">
        <v>22</v>
      </c>
      <c r="B82" s="3319"/>
      <c r="C82" s="818" t="s">
        <v>658</v>
      </c>
      <c r="D82" s="818" t="s">
        <v>659</v>
      </c>
      <c r="E82" s="895">
        <v>0.2</v>
      </c>
      <c r="F82" s="882">
        <v>30</v>
      </c>
    </row>
    <row r="83" spans="1:6" s="878" customFormat="1" ht="48">
      <c r="A83" s="882">
        <v>23</v>
      </c>
      <c r="B83" s="3319"/>
      <c r="C83" s="818" t="s">
        <v>660</v>
      </c>
      <c r="D83" s="818" t="s">
        <v>661</v>
      </c>
      <c r="E83" s="895">
        <v>0.2</v>
      </c>
      <c r="F83" s="882">
        <v>30</v>
      </c>
    </row>
    <row r="84" spans="1:6" s="878" customFormat="1" ht="36">
      <c r="A84" s="882">
        <v>24</v>
      </c>
      <c r="B84" s="3319"/>
      <c r="C84" s="818" t="s">
        <v>662</v>
      </c>
      <c r="D84" s="818" t="s">
        <v>663</v>
      </c>
      <c r="E84" s="895">
        <v>0.2</v>
      </c>
      <c r="F84" s="882">
        <v>30</v>
      </c>
    </row>
    <row r="85" spans="1:6" s="878" customFormat="1" ht="36">
      <c r="A85" s="882">
        <v>25</v>
      </c>
      <c r="B85" s="3319"/>
      <c r="C85" s="818" t="s">
        <v>664</v>
      </c>
      <c r="D85" s="818" t="s">
        <v>665</v>
      </c>
      <c r="E85" s="895">
        <v>0.5</v>
      </c>
      <c r="F85" s="882">
        <v>80</v>
      </c>
    </row>
    <row r="86" spans="1:6" s="878" customFormat="1" ht="36">
      <c r="A86" s="882">
        <v>26</v>
      </c>
      <c r="B86" s="3319"/>
      <c r="C86" s="818" t="s">
        <v>666</v>
      </c>
      <c r="D86" s="818" t="s">
        <v>667</v>
      </c>
      <c r="E86" s="895">
        <v>0.2</v>
      </c>
      <c r="F86" s="882">
        <v>30</v>
      </c>
    </row>
    <row r="87" spans="1:6" s="878" customFormat="1" ht="36">
      <c r="A87" s="882">
        <v>27</v>
      </c>
      <c r="B87" s="3319"/>
      <c r="C87" s="818" t="s">
        <v>668</v>
      </c>
      <c r="D87" s="818" t="s">
        <v>669</v>
      </c>
      <c r="E87" s="895">
        <v>0.2</v>
      </c>
      <c r="F87" s="882">
        <v>30</v>
      </c>
    </row>
    <row r="88" spans="1:6" s="878" customFormat="1" ht="36">
      <c r="A88" s="882">
        <v>28</v>
      </c>
      <c r="B88" s="3319"/>
      <c r="C88" s="818" t="s">
        <v>670</v>
      </c>
      <c r="D88" s="818" t="s">
        <v>671</v>
      </c>
      <c r="E88" s="895">
        <v>0.2</v>
      </c>
      <c r="F88" s="882">
        <v>30</v>
      </c>
    </row>
    <row r="89" spans="1:6" s="878" customFormat="1" ht="24">
      <c r="A89" s="882">
        <v>29</v>
      </c>
      <c r="B89" s="3319"/>
      <c r="C89" s="818" t="s">
        <v>672</v>
      </c>
      <c r="D89" s="818" t="s">
        <v>673</v>
      </c>
      <c r="E89" s="895">
        <v>0.2</v>
      </c>
      <c r="F89" s="882">
        <v>30</v>
      </c>
    </row>
    <row r="90" spans="1:6" s="878" customFormat="1" ht="24">
      <c r="A90" s="882">
        <v>30</v>
      </c>
      <c r="B90" s="3319"/>
      <c r="C90" s="818" t="s">
        <v>674</v>
      </c>
      <c r="D90" s="818" t="s">
        <v>675</v>
      </c>
      <c r="E90" s="895">
        <v>0.2</v>
      </c>
      <c r="F90" s="882">
        <v>30</v>
      </c>
    </row>
    <row r="91" spans="1:6" s="878" customFormat="1" ht="36">
      <c r="A91" s="882">
        <v>31</v>
      </c>
      <c r="B91" s="3319"/>
      <c r="C91" s="818" t="s">
        <v>676</v>
      </c>
      <c r="D91" s="818" t="s">
        <v>677</v>
      </c>
      <c r="E91" s="895">
        <v>0.2</v>
      </c>
      <c r="F91" s="882">
        <v>30</v>
      </c>
    </row>
    <row r="92" spans="1:6" s="878" customFormat="1" ht="24">
      <c r="A92" s="882">
        <v>32</v>
      </c>
      <c r="B92" s="3319" t="s">
        <v>678</v>
      </c>
      <c r="C92" s="882" t="s">
        <v>679</v>
      </c>
      <c r="D92" s="818" t="s">
        <v>680</v>
      </c>
      <c r="E92" s="895">
        <v>0.2</v>
      </c>
      <c r="F92" s="882">
        <v>30</v>
      </c>
    </row>
    <row r="93" spans="1:6" s="878" customFormat="1" ht="36">
      <c r="A93" s="882">
        <v>33</v>
      </c>
      <c r="B93" s="3319"/>
      <c r="C93" s="882" t="s">
        <v>681</v>
      </c>
      <c r="D93" s="818" t="s">
        <v>682</v>
      </c>
      <c r="E93" s="895">
        <v>0.2</v>
      </c>
      <c r="F93" s="882">
        <v>30</v>
      </c>
    </row>
    <row r="94" spans="1:6" s="878" customFormat="1" ht="48">
      <c r="A94" s="882">
        <v>34</v>
      </c>
      <c r="B94" s="3319"/>
      <c r="C94" s="882" t="s">
        <v>683</v>
      </c>
      <c r="D94" s="818" t="s">
        <v>684</v>
      </c>
      <c r="E94" s="895">
        <v>0.2</v>
      </c>
      <c r="F94" s="882">
        <v>30</v>
      </c>
    </row>
    <row r="95" spans="1:6" s="878" customFormat="1" ht="36">
      <c r="A95" s="882">
        <v>35</v>
      </c>
      <c r="B95" s="3319"/>
      <c r="C95" s="882" t="s">
        <v>685</v>
      </c>
      <c r="D95" s="818" t="s">
        <v>686</v>
      </c>
      <c r="E95" s="895">
        <v>0.2</v>
      </c>
      <c r="F95" s="882">
        <v>30</v>
      </c>
    </row>
    <row r="96" spans="1:6" s="878" customFormat="1" ht="48">
      <c r="A96" s="882">
        <v>36</v>
      </c>
      <c r="B96" s="3319"/>
      <c r="C96" s="818" t="s">
        <v>687</v>
      </c>
      <c r="D96" s="818" t="s">
        <v>688</v>
      </c>
      <c r="E96" s="895">
        <v>0.2</v>
      </c>
      <c r="F96" s="882">
        <v>30</v>
      </c>
    </row>
    <row r="97" spans="1:6" s="878" customFormat="1" ht="36">
      <c r="A97" s="882">
        <v>37</v>
      </c>
      <c r="B97" s="3319"/>
      <c r="C97" s="882" t="s">
        <v>689</v>
      </c>
      <c r="D97" s="818" t="s">
        <v>690</v>
      </c>
      <c r="E97" s="895">
        <v>0.2</v>
      </c>
      <c r="F97" s="882">
        <v>30</v>
      </c>
    </row>
    <row r="98" spans="1:6" s="878" customFormat="1" ht="36">
      <c r="A98" s="882">
        <v>38</v>
      </c>
      <c r="B98" s="3319"/>
      <c r="C98" s="882" t="s">
        <v>691</v>
      </c>
      <c r="D98" s="818" t="s">
        <v>692</v>
      </c>
      <c r="E98" s="895">
        <v>0.2</v>
      </c>
      <c r="F98" s="882">
        <v>30</v>
      </c>
    </row>
    <row r="99" spans="1:6" s="878" customFormat="1" ht="36">
      <c r="A99" s="882">
        <v>39</v>
      </c>
      <c r="B99" s="3319" t="s">
        <v>693</v>
      </c>
      <c r="C99" s="882" t="s">
        <v>694</v>
      </c>
      <c r="D99" s="818" t="s">
        <v>695</v>
      </c>
      <c r="E99" s="895">
        <v>0.3</v>
      </c>
      <c r="F99" s="882">
        <v>50</v>
      </c>
    </row>
    <row r="100" spans="1:6" s="878" customFormat="1" ht="24">
      <c r="A100" s="882">
        <v>40</v>
      </c>
      <c r="B100" s="3319"/>
      <c r="C100" s="882" t="s">
        <v>696</v>
      </c>
      <c r="D100" s="818" t="s">
        <v>697</v>
      </c>
      <c r="E100" s="895">
        <v>0.2</v>
      </c>
      <c r="F100" s="882">
        <v>30</v>
      </c>
    </row>
    <row r="101" spans="1:6" s="878" customFormat="1" ht="36">
      <c r="A101" s="882">
        <v>41</v>
      </c>
      <c r="B101" s="331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9" t="s">
        <v>708</v>
      </c>
      <c r="C105" s="882" t="s">
        <v>709</v>
      </c>
      <c r="D105" s="818" t="s">
        <v>710</v>
      </c>
      <c r="E105" s="895">
        <v>0.2</v>
      </c>
      <c r="F105" s="882">
        <v>30</v>
      </c>
    </row>
    <row r="106" spans="1:6" s="878" customFormat="1" ht="36">
      <c r="A106" s="882">
        <v>46</v>
      </c>
      <c r="B106" s="3319"/>
      <c r="C106" s="882" t="s">
        <v>711</v>
      </c>
      <c r="D106" s="818" t="s">
        <v>712</v>
      </c>
      <c r="E106" s="895">
        <v>0.2</v>
      </c>
      <c r="F106" s="882">
        <v>30</v>
      </c>
    </row>
    <row r="107" spans="1:6" s="878" customFormat="1" ht="36">
      <c r="A107" s="882">
        <v>47</v>
      </c>
      <c r="B107" s="3319" t="s">
        <v>713</v>
      </c>
      <c r="C107" s="882" t="s">
        <v>714</v>
      </c>
      <c r="D107" s="818" t="s">
        <v>715</v>
      </c>
      <c r="E107" s="895">
        <v>0.3</v>
      </c>
      <c r="F107" s="882">
        <v>50</v>
      </c>
    </row>
    <row r="108" spans="1:6" s="878" customFormat="1" ht="36">
      <c r="A108" s="882">
        <v>48</v>
      </c>
      <c r="B108" s="331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9" t="s">
        <v>724</v>
      </c>
      <c r="C111" s="882" t="s">
        <v>725</v>
      </c>
      <c r="D111" s="818" t="s">
        <v>726</v>
      </c>
      <c r="E111" s="895">
        <v>0.2</v>
      </c>
      <c r="F111" s="882">
        <v>30</v>
      </c>
    </row>
    <row r="112" spans="1:6" s="878" customFormat="1" ht="24">
      <c r="A112" s="882">
        <v>52</v>
      </c>
      <c r="B112" s="3319"/>
      <c r="C112" s="882" t="s">
        <v>727</v>
      </c>
      <c r="D112" s="818" t="s">
        <v>728</v>
      </c>
      <c r="E112" s="895">
        <v>0.2</v>
      </c>
      <c r="F112" s="882">
        <v>30</v>
      </c>
    </row>
    <row r="113" spans="1:6" s="878" customFormat="1" ht="24">
      <c r="A113" s="882">
        <v>53</v>
      </c>
      <c r="B113" s="331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9" t="s">
        <v>737</v>
      </c>
      <c r="C116" s="882" t="s">
        <v>738</v>
      </c>
      <c r="D116" s="818" t="s">
        <v>739</v>
      </c>
      <c r="E116" s="895">
        <v>0.2</v>
      </c>
      <c r="F116" s="882">
        <v>30</v>
      </c>
    </row>
    <row r="117" spans="1:6" ht="36">
      <c r="A117" s="882">
        <v>57</v>
      </c>
      <c r="B117" s="331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2999</v>
      </c>
    </row>
    <row r="2" spans="1:5" ht="15.75">
      <c r="A2" s="2899" t="s">
        <v>2991</v>
      </c>
      <c r="B2" s="2900" t="e">
        <f ca="1">SUMIF(B6:B13,"&lt;&gt;#ref!",B6:B13)</f>
        <v>#DIV/0!</v>
      </c>
      <c r="C2" s="2899" t="s">
        <v>2992</v>
      </c>
      <c r="D2" s="2899" t="s">
        <v>2993</v>
      </c>
      <c r="E2" s="2900">
        <f ca="1">SUMIF(E6:E13,"&lt;&gt;#ref!",E6:E13)</f>
        <v>0</v>
      </c>
    </row>
    <row r="3" spans="1:5" ht="15.75">
      <c r="A3" s="2899" t="s">
        <v>2994</v>
      </c>
      <c r="B3" s="2900" t="e">
        <f ca="1">ROUND(B2*10000/E2,0)</f>
        <v>#DIV/0!</v>
      </c>
      <c r="C3" s="2899" t="s">
        <v>3000</v>
      </c>
      <c r="D3" s="2901"/>
      <c r="E3" s="2901"/>
    </row>
    <row r="4" spans="1:5" ht="15.75">
      <c r="A4" s="2902"/>
      <c r="B4" s="2901"/>
      <c r="C4" s="2901"/>
      <c r="D4" s="2901"/>
      <c r="E4" s="2901"/>
    </row>
    <row r="5" spans="1:5" ht="28.5">
      <c r="A5" s="2903" t="s">
        <v>2995</v>
      </c>
      <c r="B5" s="2899" t="s">
        <v>2996</v>
      </c>
      <c r="C5" s="2900"/>
      <c r="D5" s="2901"/>
      <c r="E5" s="2899" t="s">
        <v>2997</v>
      </c>
    </row>
    <row r="6" spans="1:5" ht="15.75">
      <c r="A6" s="2904" t="s">
        <v>2998</v>
      </c>
      <c r="B6" s="2900" t="e">
        <f ca="1">SUMIF(INDIRECT("'"&amp;A6&amp;"'"&amp;"!A:A"),"总价",INDIRECT("'"&amp;A6&amp;"'"&amp;"!B:B"))</f>
        <v>#DIV/0!</v>
      </c>
      <c r="C6" s="2899" t="s">
        <v>2992</v>
      </c>
      <c r="D6" s="2901"/>
      <c r="E6" s="2572">
        <f ca="1">SUMIF(INDIRECT("'"&amp;A6&amp;"'"&amp;"!C:C"),"建筑面积",INDIRECT("'"&amp;A6&amp;"'"&amp;"!D:D"))</f>
        <v>0</v>
      </c>
    </row>
    <row r="7" spans="1:5" ht="15.75">
      <c r="A7" s="2904"/>
      <c r="B7" s="2900" t="e">
        <f ca="1">SUMIF(INDIRECT("'"&amp;A7&amp;"'"&amp;"!A:A"),"总价",INDIRECT("'"&amp;A7&amp;"'"&amp;"!B:B"))</f>
        <v>#REF!</v>
      </c>
      <c r="C7" s="2899" t="s">
        <v>2992</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2992</v>
      </c>
      <c r="D8" s="2901"/>
      <c r="E8" s="2572" t="e">
        <f t="shared" ca="1" si="0"/>
        <v>#REF!</v>
      </c>
    </row>
    <row r="9" spans="1:5" ht="15.75">
      <c r="A9" s="2904"/>
      <c r="B9" s="2900" t="e">
        <f t="shared" ca="1" si="1"/>
        <v>#REF!</v>
      </c>
      <c r="C9" s="2899" t="s">
        <v>2992</v>
      </c>
      <c r="D9" s="2901"/>
      <c r="E9" s="2572" t="e">
        <f t="shared" ca="1" si="0"/>
        <v>#REF!</v>
      </c>
    </row>
    <row r="10" spans="1:5" ht="15.75">
      <c r="A10" s="2904"/>
      <c r="B10" s="2900" t="e">
        <f t="shared" ca="1" si="1"/>
        <v>#REF!</v>
      </c>
      <c r="C10" s="2899" t="s">
        <v>2992</v>
      </c>
      <c r="D10" s="2901"/>
      <c r="E10" s="2572" t="e">
        <f t="shared" ca="1" si="0"/>
        <v>#REF!</v>
      </c>
    </row>
    <row r="11" spans="1:5" ht="15.75">
      <c r="A11" s="2904"/>
      <c r="B11" s="2900" t="e">
        <f t="shared" ca="1" si="1"/>
        <v>#REF!</v>
      </c>
      <c r="C11" s="2899" t="s">
        <v>2992</v>
      </c>
      <c r="D11" s="2901"/>
      <c r="E11" s="2572" t="e">
        <f t="shared" ca="1" si="0"/>
        <v>#REF!</v>
      </c>
    </row>
    <row r="12" spans="1:5" ht="15.75">
      <c r="A12" s="2904"/>
      <c r="B12" s="2900" t="e">
        <f t="shared" ca="1" si="1"/>
        <v>#REF!</v>
      </c>
      <c r="C12" s="2899" t="s">
        <v>2992</v>
      </c>
      <c r="D12" s="2901"/>
      <c r="E12" s="2572" t="e">
        <f t="shared" ca="1" si="0"/>
        <v>#REF!</v>
      </c>
    </row>
    <row r="13" spans="1:5" ht="15.75">
      <c r="A13" s="2904"/>
      <c r="B13" s="2900" t="e">
        <f t="shared" ca="1" si="1"/>
        <v>#REF!</v>
      </c>
      <c r="C13" s="2899" t="s">
        <v>2992</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59"/>
      <c r="B4" s="3012" t="s">
        <v>1624</v>
      </c>
      <c r="C4" s="3012"/>
      <c r="D4" s="3012"/>
      <c r="E4" s="1959"/>
    </row>
    <row r="5" spans="1:5" ht="16.5" thickTop="1">
      <c r="A5" s="1957"/>
      <c r="B5" s="3010" t="s">
        <v>1616</v>
      </c>
      <c r="C5" s="1960" t="s">
        <v>1617</v>
      </c>
      <c r="D5" s="1039">
        <f ca="1">结果表!H101</f>
        <v>2717</v>
      </c>
      <c r="E5" s="1957"/>
    </row>
    <row r="6" spans="1:5" ht="15.75">
      <c r="A6" s="1957"/>
      <c r="B6" s="3010"/>
      <c r="C6" s="1960" t="s">
        <v>1618</v>
      </c>
      <c r="D6" s="1039" t="str">
        <f ca="1">NUMBERSTRING(INT(D5*10000),2)&amp;"元整"</f>
        <v>贰仟柒佰壹拾柒万元整</v>
      </c>
      <c r="E6" s="1957"/>
    </row>
    <row r="7" spans="1:5" ht="15.75">
      <c r="A7" s="1957"/>
      <c r="B7" s="3015"/>
      <c r="C7" s="1961" t="s">
        <v>1619</v>
      </c>
      <c r="D7" s="1040">
        <f ca="1">结果表!H102</f>
        <v>43037</v>
      </c>
      <c r="E7" s="1957"/>
    </row>
    <row r="8" spans="1:5" ht="15.75">
      <c r="A8" s="1957"/>
      <c r="B8" s="3016" t="str">
        <f>结果表!E103</f>
        <v>2.估价师知悉的法定优先受偿款</v>
      </c>
      <c r="C8" s="1962" t="s">
        <v>1620</v>
      </c>
      <c r="D8" s="1040">
        <f>结果表!H103</f>
        <v>0</v>
      </c>
      <c r="E8" s="1957"/>
    </row>
    <row r="9" spans="1:5" ht="15.75">
      <c r="A9" s="1957"/>
      <c r="B9" s="3018"/>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3009" t="str">
        <f>结果表!E107</f>
        <v>3.房地产抵押价值</v>
      </c>
      <c r="C13" s="1965" t="s">
        <v>1617</v>
      </c>
      <c r="D13" s="1042">
        <f ca="1">结果表!H107</f>
        <v>2717</v>
      </c>
      <c r="E13" s="1957"/>
    </row>
    <row r="14" spans="1:5" ht="15.75">
      <c r="A14" s="1957"/>
      <c r="B14" s="3010"/>
      <c r="C14" s="1960" t="s">
        <v>1618</v>
      </c>
      <c r="D14" s="1039" t="str">
        <f ca="1">NUMBERSTRING(INT(D13*10000),2)&amp;"元整"</f>
        <v>贰仟柒佰壹拾柒万元整</v>
      </c>
      <c r="E14" s="1957"/>
    </row>
    <row r="15" spans="1:5" ht="15">
      <c r="A15" s="1957"/>
      <c r="B15" s="3015"/>
      <c r="C15" s="1961" t="s">
        <v>1628</v>
      </c>
      <c r="D15" s="1051">
        <f ca="1">结果表!H108</f>
        <v>43037</v>
      </c>
      <c r="E15" s="1957"/>
    </row>
    <row r="16" spans="1:5" ht="15">
      <c r="A16" s="1957"/>
      <c r="B16" s="3016" t="str">
        <f>结果表!E109</f>
        <v>——</v>
      </c>
      <c r="C16" s="1965" t="s">
        <v>1629</v>
      </c>
      <c r="D16" s="1966" t="str">
        <f>结果表!H109</f>
        <v>——</v>
      </c>
      <c r="E16" s="1957"/>
    </row>
    <row r="17" spans="1:5" ht="15.75">
      <c r="A17" s="1957"/>
      <c r="B17" s="3017"/>
      <c r="C17" s="1960" t="s">
        <v>1630</v>
      </c>
      <c r="D17" s="1039" t="e">
        <f>NUMBERSTRING(INT(D16*10000),2)&amp;"元整"</f>
        <v>#VALUE!</v>
      </c>
      <c r="E17" s="1957"/>
    </row>
    <row r="18" spans="1:5" ht="15">
      <c r="A18" s="1957"/>
      <c r="B18" s="3018"/>
      <c r="C18" s="1961" t="s">
        <v>1619</v>
      </c>
      <c r="D18" s="1051" t="str">
        <f>结果表!H110</f>
        <v>——</v>
      </c>
      <c r="E18" s="1957"/>
    </row>
    <row r="19" spans="1:5" ht="15.75">
      <c r="A19" s="1957"/>
      <c r="B19" s="3009" t="str">
        <f>结果表!E111</f>
        <v>4.抵押净值</v>
      </c>
      <c r="C19" s="1965" t="s">
        <v>1617</v>
      </c>
      <c r="D19" s="1040">
        <f ca="1">结果表!H111</f>
        <v>2118</v>
      </c>
      <c r="E19" s="1957"/>
    </row>
    <row r="20" spans="1:5" ht="15.75">
      <c r="A20" s="1957"/>
      <c r="B20" s="3010"/>
      <c r="C20" s="1960" t="s">
        <v>1630</v>
      </c>
      <c r="D20" s="1039" t="str">
        <f ca="1">NUMBERSTRING(INT(D19*10000),2)&amp;"元整"</f>
        <v>贰仟壹佰壹拾捌万元整</v>
      </c>
      <c r="E20" s="1957"/>
    </row>
    <row r="21" spans="1:5" ht="15.75" thickBot="1">
      <c r="A21" s="1957"/>
      <c r="B21" s="3011"/>
      <c r="C21" s="1967" t="s">
        <v>1628</v>
      </c>
      <c r="D21" s="1052">
        <f ca="1">结果表!H112</f>
        <v>33549</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5" t="s">
        <v>1145</v>
      </c>
      <c r="C1" s="3325"/>
      <c r="D1" s="3325"/>
      <c r="E1" s="3325"/>
      <c r="F1" s="3325"/>
      <c r="G1" s="3321" t="s">
        <v>1146</v>
      </c>
      <c r="H1" s="3321"/>
      <c r="I1" s="3321"/>
      <c r="J1" s="3321"/>
      <c r="K1" s="3321"/>
      <c r="L1" s="3321"/>
      <c r="N1" s="3321" t="s">
        <v>1147</v>
      </c>
      <c r="O1" s="3321"/>
      <c r="P1" s="3321"/>
      <c r="Q1" s="3321"/>
      <c r="R1" s="1445"/>
      <c r="S1" s="3321" t="s">
        <v>1148</v>
      </c>
      <c r="T1" s="3321"/>
      <c r="U1" s="3321"/>
      <c r="V1" s="3321"/>
      <c r="X1" s="3320" t="s">
        <v>1149</v>
      </c>
      <c r="Y1" s="3321"/>
      <c r="Z1" s="3321"/>
      <c r="AA1" s="3321"/>
      <c r="AB1" s="3321"/>
      <c r="AD1" s="3320" t="s">
        <v>1150</v>
      </c>
      <c r="AE1" s="3321"/>
      <c r="AF1" s="3321"/>
      <c r="AG1" s="3321"/>
      <c r="AH1" s="3321"/>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5" customFormat="1" ht="14.25">
      <c r="A3" s="2924" t="s">
        <v>3033</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2" customFormat="1" ht="14.25">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3052</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9">
        <v>2020</v>
      </c>
      <c r="H5" s="1729">
        <v>1</v>
      </c>
      <c r="I5" s="2911">
        <v>0</v>
      </c>
      <c r="J5" s="2911">
        <v>0</v>
      </c>
      <c r="K5" s="2911">
        <v>0</v>
      </c>
      <c r="L5" s="2911">
        <v>0</v>
      </c>
      <c r="N5" s="1466">
        <f t="shared" ref="N5" si="7">I5/100</f>
        <v>0</v>
      </c>
      <c r="O5" s="1466">
        <f t="shared" ref="O5" si="8">J5/100</f>
        <v>0</v>
      </c>
      <c r="P5" s="1466">
        <f t="shared" ref="P5" si="9">K5/100</f>
        <v>0</v>
      </c>
      <c r="Q5" s="1466">
        <f t="shared" ref="Q5" si="10">L5/100</f>
        <v>0</v>
      </c>
      <c r="R5" s="1731"/>
      <c r="S5" s="1732"/>
      <c r="T5" s="1731"/>
      <c r="U5" s="1731"/>
      <c r="V5" s="1731"/>
      <c r="W5" s="2914" t="s">
        <v>3034</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3051</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9">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3047</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8">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3045</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4">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3043</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8">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3046</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323">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3040</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23"/>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3039</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23"/>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3032</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30"/>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3029</v>
      </c>
      <c r="B14" s="1468">
        <v>439</v>
      </c>
      <c r="C14" s="1468">
        <v>327</v>
      </c>
      <c r="D14" s="1468">
        <f>C14</f>
        <v>327</v>
      </c>
      <c r="E14" s="1468">
        <v>627</v>
      </c>
      <c r="F14" s="1469">
        <v>283</v>
      </c>
      <c r="G14" s="3326">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3030</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23"/>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23"/>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30"/>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26">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23"/>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23"/>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24"/>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322">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23"/>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23"/>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24"/>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322">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23"/>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23"/>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24"/>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327">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28"/>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28"/>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29"/>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322">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23"/>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23"/>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324"/>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322">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23">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23">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24">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322">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23">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23">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24">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322">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23">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23">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24">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322">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23">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23">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24">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322">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23">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23">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24">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322">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23">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23">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24">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322">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23">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23">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24">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322">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23">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23">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24">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322">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23">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23">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324">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322">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23">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23">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324">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21" sqref="U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3001</v>
      </c>
      <c r="C1" s="3332" t="s">
        <v>3002</v>
      </c>
      <c r="D1" s="3333"/>
      <c r="E1" s="3333"/>
      <c r="F1" s="3333"/>
      <c r="G1" s="3333"/>
      <c r="H1" s="3333"/>
      <c r="I1" s="3333"/>
      <c r="J1" s="3333"/>
      <c r="K1" s="3333"/>
      <c r="L1" s="3333"/>
      <c r="M1" s="3333"/>
      <c r="N1" s="3333"/>
      <c r="O1" s="3333"/>
      <c r="P1" s="3333"/>
      <c r="Q1" s="3333"/>
      <c r="R1" s="3333"/>
      <c r="S1" s="3334"/>
      <c r="T1" s="1203" t="s">
        <v>3003</v>
      </c>
    </row>
    <row r="2" spans="1:45" s="707" customFormat="1" ht="38.25">
      <c r="A2" s="1204"/>
      <c r="B2" s="703" t="s">
        <v>3004</v>
      </c>
      <c r="C2" s="704" t="str">
        <f t="shared" ref="C2:L2" si="0">C3&amp;"(含)"&amp;"-"&amp;D3</f>
        <v>0(含)-100</v>
      </c>
      <c r="D2" s="705" t="str">
        <f t="shared" si="0"/>
        <v>100(含)-500</v>
      </c>
      <c r="E2" s="705" t="str">
        <f t="shared" si="0"/>
        <v>500(含)-1000</v>
      </c>
      <c r="F2" s="705" t="str">
        <f t="shared" si="0"/>
        <v>1000(含)-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100</v>
      </c>
      <c r="E3" s="710">
        <v>500</v>
      </c>
      <c r="F3" s="1703">
        <v>1000</v>
      </c>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100</v>
      </c>
      <c r="D4" s="1210">
        <v>98</v>
      </c>
      <c r="E4" s="1210">
        <v>96</v>
      </c>
      <c r="F4" s="1707">
        <v>94</v>
      </c>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3005</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3006</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3007</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3008</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3009</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3010</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3011</v>
      </c>
      <c r="B17" s="2906"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7" t="s">
        <v>3013</v>
      </c>
      <c r="E19" s="1791"/>
      <c r="F19" s="1791"/>
      <c r="G19" s="1791"/>
      <c r="H19" s="1279"/>
      <c r="I19" s="168"/>
      <c r="J19" s="168"/>
      <c r="K19" s="168"/>
      <c r="L19" s="168"/>
      <c r="M19" s="168"/>
      <c r="N19" s="168"/>
      <c r="O19" s="168"/>
      <c r="P19" s="168"/>
      <c r="Q19" s="168"/>
      <c r="R19" s="788"/>
      <c r="S19" s="138"/>
    </row>
    <row r="20" spans="1:45" ht="16.5" thickBot="1">
      <c r="A20" s="715" t="s">
        <v>3014</v>
      </c>
      <c r="B20" s="338">
        <f ca="1">IF(D20="——",S22,S22-F20)</f>
        <v>9307</v>
      </c>
      <c r="C20" s="168"/>
      <c r="D20" s="2908" t="s">
        <v>70</v>
      </c>
      <c r="E20" s="1792"/>
      <c r="F20" s="1203" t="e">
        <f ca="1">SUMIF(INDIRECT("'"&amp;H20&amp;"'"&amp;"!A:A"),"承租人权益价值",INDIRECT("'"&amp;H20&amp;"'"&amp;"!c:c"))</f>
        <v>#REF!</v>
      </c>
      <c r="G20" s="1203" t="s">
        <v>3015</v>
      </c>
      <c r="H20" s="2909"/>
      <c r="I20" s="168"/>
      <c r="J20" s="168"/>
      <c r="K20" s="168"/>
      <c r="L20" s="168"/>
      <c r="M20" s="168"/>
      <c r="N20" s="168"/>
      <c r="O20" s="168"/>
      <c r="P20" s="168"/>
      <c r="Q20" s="168"/>
      <c r="R20" s="788"/>
      <c r="S20" s="138"/>
    </row>
    <row r="21" spans="1:45" ht="15.75">
      <c r="A21" s="715" t="s">
        <v>3016</v>
      </c>
      <c r="B21" s="338">
        <f ca="1">R22</f>
        <v>43023</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2163.25</v>
      </c>
      <c r="C22" s="3109" t="s">
        <v>33</v>
      </c>
      <c r="D22" s="3110"/>
      <c r="E22" s="3110"/>
      <c r="F22" s="3110"/>
      <c r="G22" s="3110"/>
      <c r="H22" s="3110"/>
      <c r="I22" s="3110"/>
      <c r="J22" s="3110"/>
      <c r="K22" s="3110"/>
      <c r="L22" s="3110"/>
      <c r="M22" s="3110"/>
      <c r="N22" s="3110"/>
      <c r="O22" s="3110"/>
      <c r="P22" s="3110"/>
      <c r="Q22" s="3331"/>
      <c r="R22" s="716">
        <f ca="1">ROUND(S22*10000/B22,0)</f>
        <v>43023</v>
      </c>
      <c r="S22" s="24">
        <f ca="1">SUM(S24:S10000)</f>
        <v>9307</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'数据-基础表'!I13</f>
        <v>765.92</v>
      </c>
      <c r="C24" s="719">
        <v>1</v>
      </c>
      <c r="D24" s="720"/>
      <c r="E24" s="719">
        <v>1</v>
      </c>
      <c r="F24" s="720"/>
      <c r="G24" s="719">
        <v>1</v>
      </c>
      <c r="H24" s="720"/>
      <c r="I24" s="719">
        <v>1</v>
      </c>
      <c r="J24" s="720"/>
      <c r="K24" s="719">
        <v>1</v>
      </c>
      <c r="L24" s="720"/>
      <c r="M24" s="719">
        <v>1</v>
      </c>
      <c r="N24" s="720"/>
      <c r="O24" s="719">
        <v>1</v>
      </c>
      <c r="P24" s="720"/>
      <c r="Q24" s="719">
        <v>1</v>
      </c>
      <c r="R24" s="721">
        <f ca="1">结果表!G20</f>
        <v>43026</v>
      </c>
      <c r="S24" s="719">
        <f t="shared" ref="S24:S54" ca="1" si="11">ROUND(R24*B24/10000,0)</f>
        <v>3295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'数据-基础表'!I14</f>
        <v>631.32000000000005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43026</v>
      </c>
      <c r="S25" s="361">
        <f t="shared" ca="1" si="11"/>
        <v>2716</v>
      </c>
    </row>
    <row r="26" spans="1:45">
      <c r="A26" s="159"/>
      <c r="B26" s="718">
        <f>'数据-基础表'!I15</f>
        <v>766.01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43026</v>
      </c>
      <c r="S26" s="361">
        <f t="shared" ca="1" si="11"/>
        <v>3296</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28692</v>
      </c>
      <c r="C2" s="2" t="s">
        <v>133</v>
      </c>
      <c r="D2" s="243"/>
      <c r="E2" s="243"/>
      <c r="F2" s="243"/>
      <c r="G2" s="243"/>
    </row>
    <row r="3" spans="1:7" s="244" customFormat="1" ht="18" customHeight="1" thickBot="1">
      <c r="A3" s="247" t="s">
        <v>85</v>
      </c>
      <c r="B3" s="248">
        <f ca="1">ROUND(B2*10000/'数据-汇总表'!E3,0)</f>
        <v>454476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12</v>
      </c>
      <c r="D10" s="1032">
        <f>'数据-汇总表'!E6</f>
        <v>631.32000000000005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v>
      </c>
      <c r="D19" s="1036">
        <f>'数据-汇总表'!E3</f>
        <v>631.32000000000005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2025</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244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221</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v>
      </c>
      <c r="D37" s="261">
        <f>'数据-汇总表'!E3</f>
        <v>631.32000000000005</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12</v>
      </c>
      <c r="D42" s="282"/>
      <c r="E42" s="282"/>
      <c r="F42" s="283"/>
      <c r="G42" s="3194" t="s">
        <v>121</v>
      </c>
    </row>
    <row r="43" spans="1:7" ht="13.5" customHeight="1">
      <c r="A43" s="951" t="s">
        <v>792</v>
      </c>
      <c r="B43" s="259" t="s">
        <v>1060</v>
      </c>
      <c r="C43" s="282">
        <f ca="1">ROUND(IF('数据-取费表'!B22&lt;=1,C39*F22*'数据-取费表'!B21/2,C39*(POWER((1+F22),'数据-取费表'!B21/2)-1)),0)</f>
        <v>0</v>
      </c>
      <c r="D43" s="282"/>
      <c r="E43" s="282"/>
      <c r="F43" s="283"/>
      <c r="G43" s="3195"/>
    </row>
    <row r="44" spans="1:7" ht="13.5" customHeight="1">
      <c r="A44" s="951" t="s">
        <v>793</v>
      </c>
      <c r="B44" s="259" t="s">
        <v>1062</v>
      </c>
      <c r="C44" s="282">
        <f ca="1">ROUND(IF('数据-取费表'!B22&lt;=1,C40*F22*'数据-取费表'!B21/2,C40*(POWER((1+F22),'数据-取费表'!B21/2)-1)),4)</f>
        <v>1E-3</v>
      </c>
      <c r="D44" s="282"/>
      <c r="E44" s="282"/>
      <c r="F44" s="283"/>
      <c r="G44" s="3196"/>
    </row>
    <row r="45" spans="1:7" s="258" customFormat="1" ht="13.5" customHeight="1">
      <c r="A45" s="948" t="s">
        <v>786</v>
      </c>
      <c r="B45" s="288" t="s">
        <v>112</v>
      </c>
      <c r="C45" s="289">
        <f>C46</f>
        <v>37</v>
      </c>
      <c r="D45" s="279">
        <f>C47</f>
        <v>3.0000000000000001E-3</v>
      </c>
      <c r="E45" s="280" t="s">
        <v>129</v>
      </c>
      <c r="F45" s="290"/>
      <c r="G45" s="291" t="s">
        <v>1068</v>
      </c>
    </row>
    <row r="46" spans="1:7" s="258" customFormat="1" ht="13.5" customHeight="1">
      <c r="A46" s="951" t="s">
        <v>794</v>
      </c>
      <c r="B46" s="292" t="s">
        <v>1061</v>
      </c>
      <c r="C46" s="293">
        <f>ROUND((C33+C39)*F27,0)</f>
        <v>37</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323</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280</v>
      </c>
      <c r="D51" s="276"/>
      <c r="E51" s="276"/>
      <c r="F51" s="308"/>
      <c r="G51" s="278" t="s">
        <v>64</v>
      </c>
    </row>
    <row r="52" spans="1:7" s="252" customFormat="1" ht="16.5" thickBot="1">
      <c r="A52" s="309" t="s">
        <v>65</v>
      </c>
      <c r="B52" s="310"/>
      <c r="C52" s="311">
        <f ca="1">C31+C51</f>
        <v>28692</v>
      </c>
      <c r="D52" s="310"/>
      <c r="E52" s="310"/>
      <c r="F52" s="310"/>
      <c r="G52" s="312"/>
    </row>
    <row r="55" spans="1:7" ht="15">
      <c r="B55" s="314" t="s">
        <v>66</v>
      </c>
      <c r="C55" s="315"/>
    </row>
    <row r="56" spans="1:7">
      <c r="B56" s="317" t="s">
        <v>67</v>
      </c>
      <c r="C56" s="318">
        <f ca="1">ROUND(C51/C52,3)</f>
        <v>0.01</v>
      </c>
    </row>
    <row r="57" spans="1:7">
      <c r="B57" s="317" t="s">
        <v>68</v>
      </c>
      <c r="C57" s="319">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5" t="s">
        <v>156</v>
      </c>
      <c r="B1" s="3335"/>
      <c r="C1" s="3335"/>
      <c r="D1" s="3335"/>
      <c r="E1" s="3335"/>
      <c r="F1" s="333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6" t="s">
        <v>169</v>
      </c>
      <c r="B2" s="3336"/>
      <c r="C2" s="3336"/>
      <c r="D2" s="3336"/>
      <c r="E2" s="3336"/>
      <c r="F2" s="333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5" t="s">
        <v>867</v>
      </c>
      <c r="B1" s="3335"/>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40" t="s">
        <v>874</v>
      </c>
      <c r="B5" s="841" t="s">
        <v>875</v>
      </c>
      <c r="C5" s="1061">
        <v>8.8999999999999996E-2</v>
      </c>
      <c r="D5" s="1061">
        <v>7.3999999999999996E-2</v>
      </c>
      <c r="E5" s="1061">
        <v>7.4999999999999997E-2</v>
      </c>
      <c r="F5" s="1062">
        <v>0.1</v>
      </c>
    </row>
    <row r="6" spans="1:6" ht="14.25" thickBot="1">
      <c r="A6" s="840" t="s">
        <v>212</v>
      </c>
      <c r="B6" s="834" t="s">
        <v>876</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877</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878</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879</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880</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881</v>
      </c>
      <c r="C72" s="1076"/>
      <c r="D72" s="1076"/>
      <c r="E72" s="1076"/>
      <c r="F72" s="1064">
        <v>0.05</v>
      </c>
    </row>
    <row r="73" spans="1:6" ht="14.25" thickBot="1">
      <c r="A73" s="840" t="s">
        <v>137</v>
      </c>
      <c r="B73" s="834" t="s">
        <v>882</v>
      </c>
      <c r="C73" s="1076"/>
      <c r="D73" s="1076"/>
      <c r="E73" s="1076"/>
      <c r="F73" s="1064">
        <v>0.05</v>
      </c>
    </row>
    <row r="74" spans="1:6" ht="14.25" thickBot="1">
      <c r="A74" s="840" t="s">
        <v>137</v>
      </c>
      <c r="B74" s="834" t="s">
        <v>883</v>
      </c>
      <c r="C74" s="1076"/>
      <c r="D74" s="1076"/>
      <c r="E74" s="1076"/>
      <c r="F74" s="1064">
        <v>0.05</v>
      </c>
    </row>
    <row r="75" spans="1:6" ht="14.25" thickBot="1">
      <c r="A75" s="850" t="s">
        <v>137</v>
      </c>
      <c r="B75" s="846" t="s">
        <v>884</v>
      </c>
      <c r="C75" s="1073"/>
      <c r="D75" s="1073"/>
      <c r="E75" s="1073"/>
      <c r="F75" s="1066">
        <v>0.05</v>
      </c>
    </row>
    <row r="76" spans="1:6" ht="14.25" thickBot="1">
      <c r="A76" s="840" t="s">
        <v>523</v>
      </c>
      <c r="B76" s="841" t="s">
        <v>885</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886</v>
      </c>
      <c r="C102" s="1076"/>
      <c r="D102" s="1076"/>
      <c r="E102" s="1076"/>
      <c r="F102" s="1064">
        <v>0.05</v>
      </c>
    </row>
    <row r="103" spans="1:6" ht="24.75" thickBot="1">
      <c r="A103" s="840" t="s">
        <v>523</v>
      </c>
      <c r="B103" s="834" t="s">
        <v>887</v>
      </c>
      <c r="C103" s="1076"/>
      <c r="D103" s="1076"/>
      <c r="E103" s="1076"/>
      <c r="F103" s="1064">
        <v>0.05</v>
      </c>
    </row>
    <row r="104" spans="1:6" ht="14.25" thickBot="1">
      <c r="A104" s="840" t="s">
        <v>523</v>
      </c>
      <c r="B104" s="834" t="s">
        <v>888</v>
      </c>
      <c r="C104" s="1076"/>
      <c r="D104" s="1076"/>
      <c r="E104" s="1076"/>
      <c r="F104" s="1064">
        <v>0.05</v>
      </c>
    </row>
    <row r="105" spans="1:6" ht="14.25" thickBot="1">
      <c r="A105" s="840" t="s">
        <v>523</v>
      </c>
      <c r="B105" s="834" t="s">
        <v>889</v>
      </c>
      <c r="C105" s="1076"/>
      <c r="D105" s="1076"/>
      <c r="E105" s="1076"/>
      <c r="F105" s="1064">
        <v>0.05</v>
      </c>
    </row>
    <row r="106" spans="1:6" ht="14.25" thickBot="1">
      <c r="A106" s="840" t="s">
        <v>523</v>
      </c>
      <c r="B106" s="834" t="s">
        <v>890</v>
      </c>
      <c r="C106" s="1076"/>
      <c r="D106" s="1076"/>
      <c r="E106" s="1076"/>
      <c r="F106" s="1064">
        <v>0.05</v>
      </c>
    </row>
    <row r="107" spans="1:6" ht="24.75" thickBot="1">
      <c r="A107" s="840" t="s">
        <v>523</v>
      </c>
      <c r="B107" s="834" t="s">
        <v>891</v>
      </c>
      <c r="C107" s="1076"/>
      <c r="D107" s="1076"/>
      <c r="E107" s="1076"/>
      <c r="F107" s="1064">
        <v>0.05</v>
      </c>
    </row>
    <row r="108" spans="1:6" ht="24.75" thickBot="1">
      <c r="A108" s="840" t="s">
        <v>523</v>
      </c>
      <c r="B108" s="834" t="s">
        <v>892</v>
      </c>
      <c r="C108" s="1076"/>
      <c r="D108" s="1076"/>
      <c r="E108" s="1076"/>
      <c r="F108" s="1064">
        <v>0.05</v>
      </c>
    </row>
    <row r="109" spans="1:6" ht="24.75" thickBot="1">
      <c r="A109" s="850" t="s">
        <v>523</v>
      </c>
      <c r="B109" s="846" t="s">
        <v>893</v>
      </c>
      <c r="C109" s="1073"/>
      <c r="D109" s="1073"/>
      <c r="E109" s="1073"/>
      <c r="F109" s="1066">
        <v>0.05</v>
      </c>
    </row>
    <row r="110" spans="1:6" ht="14.25" thickBot="1">
      <c r="A110" s="840" t="s">
        <v>56</v>
      </c>
      <c r="B110" s="841" t="s">
        <v>894</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895</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896</v>
      </c>
      <c r="C138" s="1063">
        <v>0.105</v>
      </c>
      <c r="D138" s="1063">
        <v>0.125</v>
      </c>
      <c r="E138" s="1063">
        <v>0.112</v>
      </c>
      <c r="F138" s="1075"/>
    </row>
    <row r="139" spans="1:6" ht="14.25" thickBot="1">
      <c r="A139" s="840" t="s">
        <v>56</v>
      </c>
      <c r="B139" s="834" t="s">
        <v>897</v>
      </c>
      <c r="C139" s="1063">
        <v>0.127</v>
      </c>
      <c r="D139" s="1063">
        <v>0.127</v>
      </c>
      <c r="E139" s="1063">
        <v>0.122</v>
      </c>
      <c r="F139" s="1064">
        <v>0.13</v>
      </c>
    </row>
    <row r="140" spans="1:6" ht="14.25" thickBot="1">
      <c r="A140" s="840" t="s">
        <v>56</v>
      </c>
      <c r="B140" s="834" t="s">
        <v>898</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899</v>
      </c>
      <c r="C144" s="1068">
        <v>0.126</v>
      </c>
      <c r="D144" s="1068">
        <v>0.126</v>
      </c>
      <c r="E144" s="1068">
        <v>0.121</v>
      </c>
      <c r="F144" s="1075"/>
    </row>
    <row r="145" spans="1:6" ht="14.25" thickBot="1">
      <c r="A145" s="850" t="s">
        <v>56</v>
      </c>
      <c r="B145" s="1069" t="s">
        <v>900</v>
      </c>
      <c r="C145" s="1077"/>
      <c r="D145" s="1077"/>
      <c r="E145" s="1077"/>
      <c r="F145" s="1070">
        <v>0.05</v>
      </c>
    </row>
    <row r="146" spans="1:6" ht="24.75" thickBot="1">
      <c r="A146" s="1071" t="s">
        <v>56</v>
      </c>
      <c r="B146" s="844" t="s">
        <v>901</v>
      </c>
      <c r="C146" s="1076"/>
      <c r="D146" s="1076"/>
      <c r="E146" s="1076"/>
      <c r="F146" s="1072">
        <v>0.05</v>
      </c>
    </row>
    <row r="147" spans="1:6" ht="24.75" thickBot="1">
      <c r="A147" s="840" t="s">
        <v>56</v>
      </c>
      <c r="B147" s="834" t="s">
        <v>902</v>
      </c>
      <c r="C147" s="1076"/>
      <c r="D147" s="1076"/>
      <c r="E147" s="1076"/>
      <c r="F147" s="1064">
        <v>0.05</v>
      </c>
    </row>
    <row r="148" spans="1:6" ht="24.75" thickBot="1">
      <c r="A148" s="840" t="s">
        <v>56</v>
      </c>
      <c r="B148" s="834" t="s">
        <v>903</v>
      </c>
      <c r="C148" s="1076"/>
      <c r="D148" s="1076"/>
      <c r="E148" s="1076"/>
      <c r="F148" s="1064">
        <v>0.05</v>
      </c>
    </row>
    <row r="149" spans="1:6" ht="24.75" thickBot="1">
      <c r="A149" s="840" t="s">
        <v>56</v>
      </c>
      <c r="B149" s="834" t="s">
        <v>904</v>
      </c>
      <c r="C149" s="1076"/>
      <c r="D149" s="1076"/>
      <c r="E149" s="1076"/>
      <c r="F149" s="1064">
        <v>0.05</v>
      </c>
    </row>
    <row r="150" spans="1:6" ht="24.75" thickBot="1">
      <c r="A150" s="840" t="s">
        <v>56</v>
      </c>
      <c r="B150" s="834" t="s">
        <v>905</v>
      </c>
      <c r="C150" s="1076"/>
      <c r="D150" s="1076"/>
      <c r="E150" s="1076"/>
      <c r="F150" s="1064">
        <v>0.05</v>
      </c>
    </row>
    <row r="151" spans="1:6" ht="24.75" thickBot="1">
      <c r="A151" s="840" t="s">
        <v>56</v>
      </c>
      <c r="B151" s="834" t="s">
        <v>906</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907</v>
      </c>
      <c r="C153" s="1076"/>
      <c r="D153" s="1076"/>
      <c r="E153" s="1076"/>
      <c r="F153" s="1064">
        <v>0.05</v>
      </c>
    </row>
    <row r="154" spans="1:6" ht="14.25" thickBot="1">
      <c r="A154" s="840" t="s">
        <v>56</v>
      </c>
      <c r="B154" s="834" t="s">
        <v>908</v>
      </c>
      <c r="C154" s="1076"/>
      <c r="D154" s="1076"/>
      <c r="E154" s="1076"/>
      <c r="F154" s="1064">
        <v>0.05</v>
      </c>
    </row>
    <row r="155" spans="1:6" ht="24.75" thickBot="1">
      <c r="A155" s="840" t="s">
        <v>56</v>
      </c>
      <c r="B155" s="834" t="s">
        <v>909</v>
      </c>
      <c r="C155" s="1076"/>
      <c r="D155" s="1076"/>
      <c r="E155" s="1076"/>
      <c r="F155" s="1064">
        <v>0.05</v>
      </c>
    </row>
    <row r="156" spans="1:6" ht="24.75" thickBot="1">
      <c r="A156" s="840" t="s">
        <v>56</v>
      </c>
      <c r="B156" s="834" t="s">
        <v>910</v>
      </c>
      <c r="C156" s="1076"/>
      <c r="D156" s="1076"/>
      <c r="E156" s="1076"/>
      <c r="F156" s="1064">
        <v>0.05</v>
      </c>
    </row>
    <row r="157" spans="1:6" ht="14.25" thickBot="1">
      <c r="A157" s="850" t="s">
        <v>56</v>
      </c>
      <c r="B157" s="846" t="s">
        <v>911</v>
      </c>
      <c r="C157" s="1073"/>
      <c r="D157" s="1073"/>
      <c r="E157" s="1073"/>
      <c r="F157" s="1066">
        <v>0.05</v>
      </c>
    </row>
    <row r="158" spans="1:6" ht="14.25" thickBot="1">
      <c r="A158" s="840" t="s">
        <v>526</v>
      </c>
      <c r="B158" s="841" t="s">
        <v>912</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913</v>
      </c>
      <c r="C171" s="1063">
        <v>0.127</v>
      </c>
      <c r="D171" s="1063">
        <v>0.126</v>
      </c>
      <c r="E171" s="1063">
        <v>0.126</v>
      </c>
      <c r="F171" s="1064">
        <v>0.11799999999999999</v>
      </c>
    </row>
    <row r="172" spans="1:6" ht="14.25" thickBot="1">
      <c r="A172" s="840" t="s">
        <v>526</v>
      </c>
      <c r="B172" s="834" t="s">
        <v>914</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915</v>
      </c>
      <c r="C174" s="1063">
        <v>0.13</v>
      </c>
      <c r="D174" s="1063">
        <v>0.13</v>
      </c>
      <c r="E174" s="1063">
        <v>0.13</v>
      </c>
      <c r="F174" s="1064">
        <v>0.13</v>
      </c>
    </row>
    <row r="175" spans="1:6" ht="14.25" thickBot="1">
      <c r="A175" s="840" t="s">
        <v>526</v>
      </c>
      <c r="B175" s="834" t="s">
        <v>916</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917</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918</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919</v>
      </c>
      <c r="C185" s="1063">
        <v>0.127</v>
      </c>
      <c r="D185" s="1063">
        <v>0.127</v>
      </c>
      <c r="E185" s="1063">
        <v>0.128</v>
      </c>
      <c r="F185" s="1064">
        <v>0.13</v>
      </c>
    </row>
    <row r="186" spans="1:6" ht="24.75" thickBot="1">
      <c r="A186" s="840" t="s">
        <v>526</v>
      </c>
      <c r="B186" s="834" t="s">
        <v>920</v>
      </c>
      <c r="C186" s="1076"/>
      <c r="D186" s="1076"/>
      <c r="E186" s="1076"/>
      <c r="F186" s="1064">
        <v>0.05</v>
      </c>
    </row>
    <row r="187" spans="1:6" ht="14.25" thickBot="1">
      <c r="A187" s="840" t="s">
        <v>526</v>
      </c>
      <c r="B187" s="834" t="s">
        <v>921</v>
      </c>
      <c r="C187" s="1076"/>
      <c r="D187" s="1076"/>
      <c r="E187" s="1076"/>
      <c r="F187" s="1064">
        <v>0.05</v>
      </c>
    </row>
    <row r="188" spans="1:6" ht="14.25" thickBot="1">
      <c r="A188" s="840" t="s">
        <v>526</v>
      </c>
      <c r="B188" s="834" t="s">
        <v>922</v>
      </c>
      <c r="C188" s="1076"/>
      <c r="D188" s="1076"/>
      <c r="E188" s="1076"/>
      <c r="F188" s="1064">
        <v>0.05</v>
      </c>
    </row>
    <row r="189" spans="1:6" ht="24.75" thickBot="1">
      <c r="A189" s="840" t="s">
        <v>526</v>
      </c>
      <c r="B189" s="834" t="s">
        <v>923</v>
      </c>
      <c r="C189" s="1076"/>
      <c r="D189" s="1076"/>
      <c r="E189" s="1076"/>
      <c r="F189" s="1064">
        <v>0.05</v>
      </c>
    </row>
    <row r="190" spans="1:6" ht="24.75" thickBot="1">
      <c r="A190" s="840" t="s">
        <v>526</v>
      </c>
      <c r="B190" s="834" t="s">
        <v>924</v>
      </c>
      <c r="C190" s="1076"/>
      <c r="D190" s="1076"/>
      <c r="E190" s="1076"/>
      <c r="F190" s="1064">
        <v>0.05</v>
      </c>
    </row>
    <row r="191" spans="1:6" ht="24.75" thickBot="1">
      <c r="A191" s="840" t="s">
        <v>526</v>
      </c>
      <c r="B191" s="834" t="s">
        <v>925</v>
      </c>
      <c r="C191" s="1076"/>
      <c r="D191" s="1076"/>
      <c r="E191" s="1076"/>
      <c r="F191" s="1064">
        <v>0.05</v>
      </c>
    </row>
    <row r="192" spans="1:6" ht="24.75" thickBot="1">
      <c r="A192" s="840" t="s">
        <v>526</v>
      </c>
      <c r="B192" s="834" t="s">
        <v>926</v>
      </c>
      <c r="C192" s="1076"/>
      <c r="D192" s="1076"/>
      <c r="E192" s="1076"/>
      <c r="F192" s="1064">
        <v>0.05</v>
      </c>
    </row>
    <row r="193" spans="1:6" ht="24.75" thickBot="1">
      <c r="A193" s="840" t="s">
        <v>526</v>
      </c>
      <c r="B193" s="834" t="s">
        <v>927</v>
      </c>
      <c r="C193" s="1076"/>
      <c r="D193" s="1076"/>
      <c r="E193" s="1076"/>
      <c r="F193" s="1064">
        <v>0.05</v>
      </c>
    </row>
    <row r="194" spans="1:6" ht="24.75" thickBot="1">
      <c r="A194" s="840" t="s">
        <v>526</v>
      </c>
      <c r="B194" s="834" t="s">
        <v>928</v>
      </c>
      <c r="C194" s="1076"/>
      <c r="D194" s="1076"/>
      <c r="E194" s="1076"/>
      <c r="F194" s="1064">
        <v>0.05</v>
      </c>
    </row>
    <row r="195" spans="1:6" ht="14.25" thickBot="1">
      <c r="A195" s="840" t="s">
        <v>526</v>
      </c>
      <c r="B195" s="834" t="s">
        <v>929</v>
      </c>
      <c r="C195" s="1076"/>
      <c r="D195" s="1076"/>
      <c r="E195" s="1076"/>
      <c r="F195" s="1064">
        <v>0.05</v>
      </c>
    </row>
    <row r="196" spans="1:6" ht="24.75" thickBot="1">
      <c r="A196" s="840" t="s">
        <v>526</v>
      </c>
      <c r="B196" s="834" t="s">
        <v>930</v>
      </c>
      <c r="C196" s="1076"/>
      <c r="D196" s="1076"/>
      <c r="E196" s="1076"/>
      <c r="F196" s="1064">
        <v>0.05</v>
      </c>
    </row>
    <row r="197" spans="1:6" ht="24.75" thickBot="1">
      <c r="A197" s="840" t="s">
        <v>526</v>
      </c>
      <c r="B197" s="834" t="s">
        <v>931</v>
      </c>
      <c r="C197" s="1076"/>
      <c r="D197" s="1076"/>
      <c r="E197" s="1076"/>
      <c r="F197" s="1064">
        <v>0.05</v>
      </c>
    </row>
    <row r="198" spans="1:6" ht="24.75" thickBot="1">
      <c r="A198" s="840" t="s">
        <v>526</v>
      </c>
      <c r="B198" s="834" t="s">
        <v>932</v>
      </c>
      <c r="C198" s="1076"/>
      <c r="D198" s="1076"/>
      <c r="E198" s="1076"/>
      <c r="F198" s="1064">
        <v>0.05</v>
      </c>
    </row>
    <row r="199" spans="1:6" ht="24.75" thickBot="1">
      <c r="A199" s="840" t="s">
        <v>526</v>
      </c>
      <c r="B199" s="834" t="s">
        <v>933</v>
      </c>
      <c r="C199" s="1076"/>
      <c r="D199" s="1076"/>
      <c r="E199" s="1076"/>
      <c r="F199" s="1064">
        <v>0.05</v>
      </c>
    </row>
    <row r="200" spans="1:6" ht="24.75" thickBot="1">
      <c r="A200" s="840" t="s">
        <v>526</v>
      </c>
      <c r="B200" s="834" t="s">
        <v>934</v>
      </c>
      <c r="C200" s="1076"/>
      <c r="D200" s="1076"/>
      <c r="E200" s="1076"/>
      <c r="F200" s="1064">
        <v>0.05</v>
      </c>
    </row>
    <row r="201" spans="1:6" ht="24.75" thickBot="1">
      <c r="A201" s="840" t="s">
        <v>526</v>
      </c>
      <c r="B201" s="834" t="s">
        <v>935</v>
      </c>
      <c r="C201" s="1076"/>
      <c r="D201" s="1076"/>
      <c r="E201" s="1076"/>
      <c r="F201" s="1064">
        <v>0.05</v>
      </c>
    </row>
    <row r="202" spans="1:6" ht="24.75" thickBot="1">
      <c r="A202" s="840" t="s">
        <v>526</v>
      </c>
      <c r="B202" s="834" t="s">
        <v>936</v>
      </c>
      <c r="C202" s="1076"/>
      <c r="D202" s="1076"/>
      <c r="E202" s="1076"/>
      <c r="F202" s="1064">
        <v>0.05</v>
      </c>
    </row>
    <row r="203" spans="1:6" ht="24.75" thickBot="1">
      <c r="A203" s="840" t="s">
        <v>526</v>
      </c>
      <c r="B203" s="834" t="s">
        <v>937</v>
      </c>
      <c r="C203" s="1076"/>
      <c r="D203" s="1076"/>
      <c r="E203" s="1076"/>
      <c r="F203" s="1064">
        <v>0.05</v>
      </c>
    </row>
    <row r="204" spans="1:6" ht="14.25" thickBot="1">
      <c r="A204" s="840" t="s">
        <v>526</v>
      </c>
      <c r="B204" s="834" t="s">
        <v>938</v>
      </c>
      <c r="C204" s="1076"/>
      <c r="D204" s="1076"/>
      <c r="E204" s="1076"/>
      <c r="F204" s="1064">
        <v>0.05</v>
      </c>
    </row>
    <row r="205" spans="1:6" ht="14.25" thickBot="1">
      <c r="A205" s="850" t="s">
        <v>526</v>
      </c>
      <c r="B205" s="846" t="s">
        <v>939</v>
      </c>
      <c r="C205" s="1073"/>
      <c r="D205" s="1073"/>
      <c r="E205" s="1073"/>
      <c r="F205" s="1066">
        <v>0.05</v>
      </c>
    </row>
    <row r="206" spans="1:6" ht="14.25" thickBot="1">
      <c r="A206" s="840" t="s">
        <v>528</v>
      </c>
      <c r="B206" s="841" t="s">
        <v>940</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941</v>
      </c>
      <c r="C210" s="1063">
        <v>0.15</v>
      </c>
      <c r="D210" s="1063">
        <v>0.15</v>
      </c>
      <c r="E210" s="1063">
        <v>0.15</v>
      </c>
      <c r="F210" s="1064">
        <v>0.13800000000000001</v>
      </c>
    </row>
    <row r="211" spans="1:6" ht="14.25" thickBot="1">
      <c r="A211" s="840" t="s">
        <v>528</v>
      </c>
      <c r="B211" s="834" t="s">
        <v>942</v>
      </c>
      <c r="C211" s="1063">
        <v>0.13700000000000001</v>
      </c>
      <c r="D211" s="1063">
        <v>0.13500000000000001</v>
      </c>
      <c r="E211" s="1063">
        <v>0.13600000000000001</v>
      </c>
      <c r="F211" s="1064">
        <v>0.1</v>
      </c>
    </row>
    <row r="212" spans="1:6" ht="14.25" thickBot="1">
      <c r="A212" s="840" t="s">
        <v>528</v>
      </c>
      <c r="B212" s="834" t="s">
        <v>943</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944</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945</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946</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947</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948</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949</v>
      </c>
      <c r="C231" s="1063">
        <v>0.128</v>
      </c>
      <c r="D231" s="1063">
        <v>0.125</v>
      </c>
      <c r="E231" s="1063">
        <v>0.13200000000000001</v>
      </c>
      <c r="F231" s="1075"/>
    </row>
    <row r="232" spans="1:6" ht="14.25" thickBot="1">
      <c r="A232" s="840" t="s">
        <v>528</v>
      </c>
      <c r="B232" s="834" t="s">
        <v>950</v>
      </c>
      <c r="C232" s="1063">
        <v>0.14499999999999999</v>
      </c>
      <c r="D232" s="1063">
        <v>0.14399999999999999</v>
      </c>
      <c r="E232" s="1063">
        <v>0.14599999999999999</v>
      </c>
      <c r="F232" s="1064">
        <v>0.13800000000000001</v>
      </c>
    </row>
    <row r="233" spans="1:6" ht="14.25" thickBot="1">
      <c r="A233" s="840" t="s">
        <v>528</v>
      </c>
      <c r="B233" s="834" t="s">
        <v>951</v>
      </c>
      <c r="C233" s="1063">
        <v>0.14499999999999999</v>
      </c>
      <c r="D233" s="1063">
        <v>0.14299999999999999</v>
      </c>
      <c r="E233" s="1063">
        <v>0.14199999999999999</v>
      </c>
      <c r="F233" s="1075"/>
    </row>
    <row r="234" spans="1:6" ht="14.25" thickBot="1">
      <c r="A234" s="840" t="s">
        <v>528</v>
      </c>
      <c r="B234" s="834" t="s">
        <v>952</v>
      </c>
      <c r="C234" s="1063">
        <v>0.14000000000000001</v>
      </c>
      <c r="D234" s="1063">
        <v>0.14000000000000001</v>
      </c>
      <c r="E234" s="1063">
        <v>0.14399999999999999</v>
      </c>
      <c r="F234" s="1075"/>
    </row>
    <row r="235" spans="1:6" ht="14.25" thickBot="1">
      <c r="A235" s="840" t="s">
        <v>528</v>
      </c>
      <c r="B235" s="834" t="s">
        <v>953</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954</v>
      </c>
      <c r="C237" s="1076"/>
      <c r="D237" s="1076"/>
      <c r="E237" s="1076"/>
      <c r="F237" s="1064">
        <v>0.05</v>
      </c>
    </row>
    <row r="238" spans="1:6" ht="24.75" thickBot="1">
      <c r="A238" s="840" t="s">
        <v>528</v>
      </c>
      <c r="B238" s="834" t="s">
        <v>955</v>
      </c>
      <c r="C238" s="1076"/>
      <c r="D238" s="1076"/>
      <c r="E238" s="1076"/>
      <c r="F238" s="1064">
        <v>0.05</v>
      </c>
    </row>
    <row r="239" spans="1:6" ht="24.75" thickBot="1">
      <c r="A239" s="840" t="s">
        <v>528</v>
      </c>
      <c r="B239" s="834" t="s">
        <v>956</v>
      </c>
      <c r="C239" s="1076"/>
      <c r="D239" s="1076"/>
      <c r="E239" s="1076"/>
      <c r="F239" s="1064">
        <v>0.05</v>
      </c>
    </row>
    <row r="240" spans="1:6" ht="24.75" thickBot="1">
      <c r="A240" s="840" t="s">
        <v>528</v>
      </c>
      <c r="B240" s="834" t="s">
        <v>957</v>
      </c>
      <c r="C240" s="1076"/>
      <c r="D240" s="1076"/>
      <c r="E240" s="1076"/>
      <c r="F240" s="1064">
        <v>0.05</v>
      </c>
    </row>
    <row r="241" spans="1:6" ht="24.75" thickBot="1">
      <c r="A241" s="840" t="s">
        <v>528</v>
      </c>
      <c r="B241" s="834" t="s">
        <v>958</v>
      </c>
      <c r="C241" s="1076"/>
      <c r="D241" s="1076"/>
      <c r="E241" s="1076"/>
      <c r="F241" s="1064">
        <v>0.05</v>
      </c>
    </row>
    <row r="242" spans="1:6" ht="24.75" thickBot="1">
      <c r="A242" s="840" t="s">
        <v>528</v>
      </c>
      <c r="B242" s="834" t="s">
        <v>959</v>
      </c>
      <c r="C242" s="1076"/>
      <c r="D242" s="1076"/>
      <c r="E242" s="1076"/>
      <c r="F242" s="1064">
        <v>0.05</v>
      </c>
    </row>
    <row r="243" spans="1:6" ht="24.75" thickBot="1">
      <c r="A243" s="840" t="s">
        <v>528</v>
      </c>
      <c r="B243" s="834" t="s">
        <v>960</v>
      </c>
      <c r="C243" s="1076"/>
      <c r="D243" s="1076"/>
      <c r="E243" s="1076"/>
      <c r="F243" s="1064">
        <v>0.05</v>
      </c>
    </row>
    <row r="244" spans="1:6" ht="24.75" thickBot="1">
      <c r="A244" s="850" t="s">
        <v>528</v>
      </c>
      <c r="B244" s="846" t="s">
        <v>961</v>
      </c>
      <c r="C244" s="1073"/>
      <c r="D244" s="1073"/>
      <c r="E244" s="1073"/>
      <c r="F244" s="1066">
        <v>0.05</v>
      </c>
    </row>
    <row r="245" spans="1:6" ht="14.25" thickBot="1">
      <c r="A245" s="840" t="s">
        <v>530</v>
      </c>
      <c r="B245" s="841" t="s">
        <v>962</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963</v>
      </c>
      <c r="C247" s="1063">
        <v>0.15</v>
      </c>
      <c r="D247" s="1063">
        <v>0.15</v>
      </c>
      <c r="E247" s="1063">
        <v>0.15</v>
      </c>
      <c r="F247" s="1064">
        <v>0.15</v>
      </c>
    </row>
    <row r="248" spans="1:6" ht="14.25" thickBot="1">
      <c r="A248" s="840" t="s">
        <v>530</v>
      </c>
      <c r="B248" s="834" t="s">
        <v>964</v>
      </c>
      <c r="C248" s="1063">
        <v>0.15</v>
      </c>
      <c r="D248" s="1063">
        <v>0.15</v>
      </c>
      <c r="E248" s="1063">
        <v>0.15</v>
      </c>
      <c r="F248" s="1064">
        <v>0.14000000000000001</v>
      </c>
    </row>
    <row r="249" spans="1:6" ht="14.25" thickBot="1">
      <c r="A249" s="840" t="s">
        <v>530</v>
      </c>
      <c r="B249" s="834" t="s">
        <v>965</v>
      </c>
      <c r="C249" s="1063">
        <v>0.15</v>
      </c>
      <c r="D249" s="1063">
        <v>0.14899999999999999</v>
      </c>
      <c r="E249" s="1063">
        <v>0.15</v>
      </c>
      <c r="F249" s="1064">
        <v>0.1</v>
      </c>
    </row>
    <row r="250" spans="1:6" ht="14.25" thickBot="1">
      <c r="A250" s="840" t="s">
        <v>530</v>
      </c>
      <c r="B250" s="834" t="s">
        <v>966</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967</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968</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969</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970</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971</v>
      </c>
      <c r="C273" s="1063">
        <v>0.14199999999999999</v>
      </c>
      <c r="D273" s="1063">
        <v>0.14299999999999999</v>
      </c>
      <c r="E273" s="1063">
        <v>0.15</v>
      </c>
      <c r="F273" s="1064">
        <v>0.1</v>
      </c>
    </row>
    <row r="274" spans="1:6" ht="14.25" thickBot="1">
      <c r="A274" s="840" t="s">
        <v>530</v>
      </c>
      <c r="B274" s="834" t="s">
        <v>972</v>
      </c>
      <c r="C274" s="1063">
        <v>0.14799999999999999</v>
      </c>
      <c r="D274" s="1063">
        <v>0.14799999999999999</v>
      </c>
      <c r="E274" s="1063">
        <v>0.15</v>
      </c>
      <c r="F274" s="1064">
        <v>6.7000000000000004E-2</v>
      </c>
    </row>
    <row r="275" spans="1:6" ht="14.25" thickBot="1">
      <c r="A275" s="840" t="s">
        <v>530</v>
      </c>
      <c r="B275" s="834" t="s">
        <v>973</v>
      </c>
      <c r="C275" s="1063">
        <v>0.15</v>
      </c>
      <c r="D275" s="1063">
        <v>0.15</v>
      </c>
      <c r="E275" s="1063">
        <v>0.15</v>
      </c>
      <c r="F275" s="1064">
        <v>0.15</v>
      </c>
    </row>
    <row r="276" spans="1:6" ht="14.25" thickBot="1">
      <c r="A276" s="840" t="s">
        <v>530</v>
      </c>
      <c r="B276" s="834" t="s">
        <v>974</v>
      </c>
      <c r="C276" s="1063">
        <v>0.14499999999999999</v>
      </c>
      <c r="D276" s="1063">
        <v>0.14299999999999999</v>
      </c>
      <c r="E276" s="1063">
        <v>0.15</v>
      </c>
      <c r="F276" s="1064">
        <v>5.8999999999999997E-2</v>
      </c>
    </row>
    <row r="277" spans="1:6" ht="14.25" thickBot="1">
      <c r="A277" s="840" t="s">
        <v>530</v>
      </c>
      <c r="B277" s="834" t="s">
        <v>975</v>
      </c>
      <c r="C277" s="1063">
        <v>0.15</v>
      </c>
      <c r="D277" s="1063">
        <v>0.15</v>
      </c>
      <c r="E277" s="1063">
        <v>0.15</v>
      </c>
      <c r="F277" s="1064">
        <v>0.121</v>
      </c>
    </row>
    <row r="278" spans="1:6" ht="14.25" thickBot="1">
      <c r="A278" s="840" t="s">
        <v>530</v>
      </c>
      <c r="B278" s="834" t="s">
        <v>976</v>
      </c>
      <c r="C278" s="1063">
        <v>0.15</v>
      </c>
      <c r="D278" s="1063">
        <v>0.15</v>
      </c>
      <c r="E278" s="1063">
        <v>0.15</v>
      </c>
      <c r="F278" s="1064">
        <v>0.13800000000000001</v>
      </c>
    </row>
    <row r="279" spans="1:6" ht="24.75" thickBot="1">
      <c r="A279" s="840" t="s">
        <v>530</v>
      </c>
      <c r="B279" s="834" t="s">
        <v>977</v>
      </c>
      <c r="C279" s="1076"/>
      <c r="D279" s="1076"/>
      <c r="E279" s="1076"/>
      <c r="F279" s="1064">
        <v>0.05</v>
      </c>
    </row>
    <row r="280" spans="1:6" ht="24.75" thickBot="1">
      <c r="A280" s="840" t="s">
        <v>530</v>
      </c>
      <c r="B280" s="834" t="s">
        <v>978</v>
      </c>
      <c r="C280" s="1076"/>
      <c r="D280" s="1076"/>
      <c r="E280" s="1076"/>
      <c r="F280" s="1064">
        <v>0.05</v>
      </c>
    </row>
    <row r="281" spans="1:6" ht="24.75" thickBot="1">
      <c r="A281" s="840" t="s">
        <v>530</v>
      </c>
      <c r="B281" s="834" t="s">
        <v>979</v>
      </c>
      <c r="C281" s="1076"/>
      <c r="D281" s="1076"/>
      <c r="E281" s="1076"/>
      <c r="F281" s="1064">
        <v>0.05</v>
      </c>
    </row>
    <row r="282" spans="1:6" ht="24.75" thickBot="1">
      <c r="A282" s="840" t="s">
        <v>530</v>
      </c>
      <c r="B282" s="834" t="s">
        <v>980</v>
      </c>
      <c r="C282" s="1076"/>
      <c r="D282" s="1076"/>
      <c r="E282" s="1076"/>
      <c r="F282" s="1064">
        <v>0.05</v>
      </c>
    </row>
    <row r="283" spans="1:6" ht="24.75" thickBot="1">
      <c r="A283" s="840" t="s">
        <v>530</v>
      </c>
      <c r="B283" s="834" t="s">
        <v>981</v>
      </c>
      <c r="C283" s="1076"/>
      <c r="D283" s="1076"/>
      <c r="E283" s="1076"/>
      <c r="F283" s="1064">
        <v>0.05</v>
      </c>
    </row>
    <row r="284" spans="1:6" ht="24.75" thickBot="1">
      <c r="A284" s="840" t="s">
        <v>530</v>
      </c>
      <c r="B284" s="834" t="s">
        <v>982</v>
      </c>
      <c r="C284" s="1076"/>
      <c r="D284" s="1076"/>
      <c r="E284" s="1076"/>
      <c r="F284" s="1064">
        <v>0.05</v>
      </c>
    </row>
    <row r="285" spans="1:6" ht="24.75" thickBot="1">
      <c r="A285" s="840" t="s">
        <v>530</v>
      </c>
      <c r="B285" s="834" t="s">
        <v>983</v>
      </c>
      <c r="C285" s="1076"/>
      <c r="D285" s="1076"/>
      <c r="E285" s="1076"/>
      <c r="F285" s="1064">
        <v>0.05</v>
      </c>
    </row>
    <row r="286" spans="1:6" ht="24.75" thickBot="1">
      <c r="A286" s="840" t="s">
        <v>530</v>
      </c>
      <c r="B286" s="834" t="s">
        <v>984</v>
      </c>
      <c r="C286" s="1076"/>
      <c r="D286" s="1076"/>
      <c r="E286" s="1076"/>
      <c r="F286" s="1064">
        <v>0.05</v>
      </c>
    </row>
    <row r="287" spans="1:6" ht="24.75" thickBot="1">
      <c r="A287" s="840" t="s">
        <v>530</v>
      </c>
      <c r="B287" s="834" t="s">
        <v>985</v>
      </c>
      <c r="C287" s="1076"/>
      <c r="D287" s="1076"/>
      <c r="E287" s="1076"/>
      <c r="F287" s="1064">
        <v>0.05</v>
      </c>
    </row>
    <row r="288" spans="1:6" ht="24.75" thickBot="1">
      <c r="A288" s="840" t="s">
        <v>530</v>
      </c>
      <c r="B288" s="834" t="s">
        <v>986</v>
      </c>
      <c r="C288" s="1076"/>
      <c r="D288" s="1076"/>
      <c r="E288" s="1076"/>
      <c r="F288" s="1064">
        <v>0.05</v>
      </c>
    </row>
    <row r="289" spans="1:6" ht="24.75" thickBot="1">
      <c r="A289" s="850" t="s">
        <v>530</v>
      </c>
      <c r="B289" s="846" t="s">
        <v>987</v>
      </c>
      <c r="C289" s="1073"/>
      <c r="D289" s="1073"/>
      <c r="E289" s="1073"/>
      <c r="F289" s="1066">
        <v>0.05</v>
      </c>
    </row>
    <row r="290" spans="1:6" ht="14.25" thickBot="1">
      <c r="A290" s="840" t="s">
        <v>534</v>
      </c>
      <c r="B290" s="841" t="s">
        <v>988</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989</v>
      </c>
      <c r="C292" s="1063">
        <v>0.15</v>
      </c>
      <c r="D292" s="1063">
        <v>0.15</v>
      </c>
      <c r="E292" s="1063">
        <v>0.15</v>
      </c>
      <c r="F292" s="1064">
        <v>0.14699999999999999</v>
      </c>
    </row>
    <row r="293" spans="1:6" ht="14.25" thickBot="1">
      <c r="A293" s="840" t="s">
        <v>534</v>
      </c>
      <c r="B293" s="834" t="s">
        <v>990</v>
      </c>
      <c r="C293" s="1076"/>
      <c r="D293" s="1076"/>
      <c r="E293" s="1076"/>
      <c r="F293" s="1064">
        <v>0.1</v>
      </c>
    </row>
    <row r="294" spans="1:6" ht="14.25" thickBot="1">
      <c r="A294" s="840" t="s">
        <v>534</v>
      </c>
      <c r="B294" s="834" t="s">
        <v>991</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992</v>
      </c>
      <c r="C296" s="1063">
        <v>0.15</v>
      </c>
      <c r="D296" s="1063">
        <v>0.15</v>
      </c>
      <c r="E296" s="1063">
        <v>0.15</v>
      </c>
      <c r="F296" s="1064">
        <v>0.15</v>
      </c>
    </row>
    <row r="297" spans="1:6" ht="14.25" thickBot="1">
      <c r="A297" s="840" t="s">
        <v>534</v>
      </c>
      <c r="B297" s="834" t="s">
        <v>993</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994</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995</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996</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997</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998</v>
      </c>
      <c r="C310" s="1063">
        <v>0.15</v>
      </c>
      <c r="D310" s="1063">
        <v>0.15</v>
      </c>
      <c r="E310" s="1063">
        <v>0.15</v>
      </c>
      <c r="F310" s="1064">
        <v>0.13700000000000001</v>
      </c>
    </row>
    <row r="311" spans="1:6" ht="14.25" thickBot="1">
      <c r="A311" s="840" t="s">
        <v>534</v>
      </c>
      <c r="B311" s="834" t="s">
        <v>999</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1000</v>
      </c>
      <c r="C313" s="1063">
        <v>0.15</v>
      </c>
      <c r="D313" s="1063">
        <v>0.15</v>
      </c>
      <c r="E313" s="1063">
        <v>0.15</v>
      </c>
      <c r="F313" s="1064">
        <v>0.15</v>
      </c>
    </row>
    <row r="314" spans="1:6" ht="24.75" thickBot="1">
      <c r="A314" s="840" t="s">
        <v>534</v>
      </c>
      <c r="B314" s="834" t="s">
        <v>1001</v>
      </c>
      <c r="C314" s="1076"/>
      <c r="D314" s="1076"/>
      <c r="E314" s="1076"/>
      <c r="F314" s="1064">
        <v>0.05</v>
      </c>
    </row>
    <row r="315" spans="1:6" ht="24.75" thickBot="1">
      <c r="A315" s="840" t="s">
        <v>534</v>
      </c>
      <c r="B315" s="834" t="s">
        <v>1002</v>
      </c>
      <c r="C315" s="1076"/>
      <c r="D315" s="1076"/>
      <c r="E315" s="1076"/>
      <c r="F315" s="1064">
        <v>0.05</v>
      </c>
    </row>
    <row r="316" spans="1:6" ht="24.75" thickBot="1">
      <c r="A316" s="850" t="s">
        <v>534</v>
      </c>
      <c r="B316" s="846" t="s">
        <v>1003</v>
      </c>
      <c r="C316" s="1073"/>
      <c r="D316" s="1073"/>
      <c r="E316" s="1073"/>
      <c r="F316" s="1066">
        <v>0.05</v>
      </c>
    </row>
    <row r="317" spans="1:6" ht="14.25" thickBot="1">
      <c r="A317" s="840" t="s">
        <v>1004</v>
      </c>
      <c r="B317" s="841" t="s">
        <v>1005</v>
      </c>
      <c r="C317" s="1061">
        <v>0.15</v>
      </c>
      <c r="D317" s="1061">
        <v>0.15</v>
      </c>
      <c r="E317" s="1061">
        <v>0.15</v>
      </c>
      <c r="F317" s="1062">
        <v>0.15</v>
      </c>
    </row>
    <row r="318" spans="1:6" ht="14.25" thickBot="1">
      <c r="A318" s="840" t="s">
        <v>1004</v>
      </c>
      <c r="B318" s="834" t="s">
        <v>1006</v>
      </c>
      <c r="C318" s="1063">
        <v>0.107</v>
      </c>
      <c r="D318" s="1063">
        <v>0.11</v>
      </c>
      <c r="E318" s="1063">
        <v>0.112</v>
      </c>
      <c r="F318" s="1075"/>
    </row>
    <row r="319" spans="1:6" ht="14.25" thickBot="1">
      <c r="A319" s="840" t="s">
        <v>1004</v>
      </c>
      <c r="B319" s="834" t="s">
        <v>1007</v>
      </c>
      <c r="C319" s="1063">
        <v>0.15</v>
      </c>
      <c r="D319" s="1063">
        <v>0.15</v>
      </c>
      <c r="E319" s="1063">
        <v>0.15</v>
      </c>
      <c r="F319" s="1064">
        <v>0.15</v>
      </c>
    </row>
    <row r="320" spans="1:6" ht="14.25" thickBot="1">
      <c r="A320" s="840" t="s">
        <v>1004</v>
      </c>
      <c r="B320" s="834" t="s">
        <v>223</v>
      </c>
      <c r="C320" s="1063">
        <v>0.15</v>
      </c>
      <c r="D320" s="1063">
        <v>0.15</v>
      </c>
      <c r="E320" s="1063">
        <v>0.15</v>
      </c>
      <c r="F320" s="1075"/>
    </row>
    <row r="321" spans="1:6" ht="14.25" thickBot="1">
      <c r="A321" s="840" t="s">
        <v>1004</v>
      </c>
      <c r="B321" s="834" t="s">
        <v>1008</v>
      </c>
      <c r="C321" s="1063">
        <v>0.15</v>
      </c>
      <c r="D321" s="1063">
        <v>0.15</v>
      </c>
      <c r="E321" s="1063">
        <v>0.15</v>
      </c>
      <c r="F321" s="1075"/>
    </row>
    <row r="322" spans="1:6" ht="14.25" thickBot="1">
      <c r="A322" s="840" t="s">
        <v>1004</v>
      </c>
      <c r="B322" s="834" t="s">
        <v>1009</v>
      </c>
      <c r="C322" s="1063">
        <v>0.15</v>
      </c>
      <c r="D322" s="1063">
        <v>0.15</v>
      </c>
      <c r="E322" s="1063">
        <v>0.15</v>
      </c>
      <c r="F322" s="1064">
        <v>0.15</v>
      </c>
    </row>
    <row r="323" spans="1:6" ht="14.25" thickBot="1">
      <c r="A323" s="840" t="s">
        <v>1004</v>
      </c>
      <c r="B323" s="834" t="s">
        <v>1010</v>
      </c>
      <c r="C323" s="1063">
        <v>0.15</v>
      </c>
      <c r="D323" s="1063">
        <v>0.15</v>
      </c>
      <c r="E323" s="1063">
        <v>0.15</v>
      </c>
      <c r="F323" s="1075"/>
    </row>
    <row r="324" spans="1:6" ht="14.25" thickBot="1">
      <c r="A324" s="840" t="s">
        <v>1004</v>
      </c>
      <c r="B324" s="834" t="s">
        <v>1011</v>
      </c>
      <c r="C324" s="1063">
        <v>0.15</v>
      </c>
      <c r="D324" s="1063">
        <v>0.15</v>
      </c>
      <c r="E324" s="1063">
        <v>0.15</v>
      </c>
      <c r="F324" s="1075"/>
    </row>
    <row r="325" spans="1:6" ht="14.25" thickBot="1">
      <c r="A325" s="840" t="s">
        <v>1004</v>
      </c>
      <c r="B325" s="834" t="s">
        <v>1012</v>
      </c>
      <c r="C325" s="1063">
        <v>0.15</v>
      </c>
      <c r="D325" s="1063">
        <v>0.15</v>
      </c>
      <c r="E325" s="1063">
        <v>0.15</v>
      </c>
      <c r="F325" s="1064">
        <v>0.14699999999999999</v>
      </c>
    </row>
    <row r="326" spans="1:6" ht="14.25" thickBot="1">
      <c r="A326" s="840" t="s">
        <v>1004</v>
      </c>
      <c r="B326" s="834" t="s">
        <v>290</v>
      </c>
      <c r="C326" s="1063">
        <v>0.15</v>
      </c>
      <c r="D326" s="1063">
        <v>0.15</v>
      </c>
      <c r="E326" s="1063">
        <v>0.15</v>
      </c>
      <c r="F326" s="1075"/>
    </row>
    <row r="327" spans="1:6" ht="14.25" thickBot="1">
      <c r="A327" s="840" t="s">
        <v>1004</v>
      </c>
      <c r="B327" s="834" t="s">
        <v>1013</v>
      </c>
      <c r="C327" s="1063">
        <v>0.15</v>
      </c>
      <c r="D327" s="1063">
        <v>0.15</v>
      </c>
      <c r="E327" s="1063">
        <v>0.15</v>
      </c>
      <c r="F327" s="1064">
        <v>0.15</v>
      </c>
    </row>
    <row r="328" spans="1:6" ht="14.25" thickBot="1">
      <c r="A328" s="840" t="s">
        <v>1004</v>
      </c>
      <c r="B328" s="834" t="s">
        <v>310</v>
      </c>
      <c r="C328" s="1063">
        <v>0.15</v>
      </c>
      <c r="D328" s="1063">
        <v>0.15</v>
      </c>
      <c r="E328" s="1063">
        <v>0.15</v>
      </c>
      <c r="F328" s="1064">
        <v>0.14099999999999999</v>
      </c>
    </row>
    <row r="329" spans="1:6" ht="14.25" thickBot="1">
      <c r="A329" s="840" t="s">
        <v>1004</v>
      </c>
      <c r="B329" s="834" t="s">
        <v>320</v>
      </c>
      <c r="C329" s="1063">
        <v>0.15</v>
      </c>
      <c r="D329" s="1063">
        <v>0.15</v>
      </c>
      <c r="E329" s="1063">
        <v>0.15</v>
      </c>
      <c r="F329" s="1064">
        <v>0.15</v>
      </c>
    </row>
    <row r="330" spans="1:6" ht="14.25" thickBot="1">
      <c r="A330" s="840" t="s">
        <v>1004</v>
      </c>
      <c r="B330" s="834" t="s">
        <v>331</v>
      </c>
      <c r="C330" s="1063">
        <v>0.15</v>
      </c>
      <c r="D330" s="1063">
        <v>0.15</v>
      </c>
      <c r="E330" s="1063">
        <v>0.15</v>
      </c>
      <c r="F330" s="1075"/>
    </row>
    <row r="331" spans="1:6" ht="14.25" thickBot="1">
      <c r="A331" s="840" t="s">
        <v>1004</v>
      </c>
      <c r="B331" s="834" t="s">
        <v>1014</v>
      </c>
      <c r="C331" s="1063">
        <v>0.15</v>
      </c>
      <c r="D331" s="1063">
        <v>0.15</v>
      </c>
      <c r="E331" s="1063">
        <v>0.15</v>
      </c>
      <c r="F331" s="1064">
        <v>0.15</v>
      </c>
    </row>
    <row r="332" spans="1:6" ht="14.25" thickBot="1">
      <c r="A332" s="840" t="s">
        <v>1004</v>
      </c>
      <c r="B332" s="834" t="s">
        <v>352</v>
      </c>
      <c r="C332" s="1063">
        <v>0.15</v>
      </c>
      <c r="D332" s="1063">
        <v>0.15</v>
      </c>
      <c r="E332" s="1063">
        <v>0.15</v>
      </c>
      <c r="F332" s="1064">
        <v>0.15</v>
      </c>
    </row>
    <row r="333" spans="1:6" ht="14.25" thickBot="1">
      <c r="A333" s="840" t="s">
        <v>1004</v>
      </c>
      <c r="B333" s="834" t="s">
        <v>1015</v>
      </c>
      <c r="C333" s="1063">
        <v>0.15</v>
      </c>
      <c r="D333" s="1063">
        <v>0.15</v>
      </c>
      <c r="E333" s="1063">
        <v>0.15</v>
      </c>
      <c r="F333" s="1064">
        <v>0.14099999999999999</v>
      </c>
    </row>
    <row r="334" spans="1:6" ht="14.25" thickBot="1">
      <c r="A334" s="840" t="s">
        <v>1004</v>
      </c>
      <c r="B334" s="834" t="s">
        <v>372</v>
      </c>
      <c r="C334" s="1063">
        <v>0.15</v>
      </c>
      <c r="D334" s="1063">
        <v>0.15</v>
      </c>
      <c r="E334" s="1063">
        <v>0.15</v>
      </c>
      <c r="F334" s="1064">
        <v>0.15</v>
      </c>
    </row>
    <row r="335" spans="1:6" ht="14.25" thickBot="1">
      <c r="A335" s="840" t="s">
        <v>1004</v>
      </c>
      <c r="B335" s="834" t="s">
        <v>382</v>
      </c>
      <c r="C335" s="1063">
        <v>0.15</v>
      </c>
      <c r="D335" s="1063">
        <v>0.15</v>
      </c>
      <c r="E335" s="1063">
        <v>0.15</v>
      </c>
      <c r="F335" s="1075"/>
    </row>
    <row r="336" spans="1:6" ht="14.25" thickBot="1">
      <c r="A336" s="840" t="s">
        <v>1004</v>
      </c>
      <c r="B336" s="834" t="s">
        <v>1016</v>
      </c>
      <c r="C336" s="1063">
        <v>0.15</v>
      </c>
      <c r="D336" s="1063">
        <v>0.15</v>
      </c>
      <c r="E336" s="1063">
        <v>0.15</v>
      </c>
      <c r="F336" s="1064">
        <v>0.11799999999999999</v>
      </c>
    </row>
    <row r="337" spans="1:6" ht="14.25" thickBot="1">
      <c r="A337" s="850" t="s">
        <v>1004</v>
      </c>
      <c r="B337" s="846" t="s">
        <v>400</v>
      </c>
      <c r="C337" s="1073"/>
      <c r="D337" s="1073"/>
      <c r="E337" s="1073"/>
      <c r="F337" s="1066">
        <v>0.14299999999999999</v>
      </c>
    </row>
    <row r="338" spans="1:6" ht="14.25" thickBot="1">
      <c r="A338" s="840" t="s">
        <v>1017</v>
      </c>
      <c r="B338" s="841" t="s">
        <v>1018</v>
      </c>
      <c r="C338" s="1061">
        <v>0.15</v>
      </c>
      <c r="D338" s="1061">
        <v>0.15</v>
      </c>
      <c r="E338" s="1061">
        <v>0.15</v>
      </c>
      <c r="F338" s="1078"/>
    </row>
    <row r="339" spans="1:6" ht="14.25" thickBot="1">
      <c r="A339" s="840" t="s">
        <v>1017</v>
      </c>
      <c r="B339" s="834" t="s">
        <v>1019</v>
      </c>
      <c r="C339" s="1063">
        <v>0.15</v>
      </c>
      <c r="D339" s="1063">
        <v>0.15</v>
      </c>
      <c r="E339" s="1063">
        <v>0.15</v>
      </c>
      <c r="F339" s="1075"/>
    </row>
    <row r="340" spans="1:6" ht="14.25" thickBot="1">
      <c r="A340" s="840" t="s">
        <v>1017</v>
      </c>
      <c r="B340" s="834" t="s">
        <v>1020</v>
      </c>
      <c r="C340" s="1063">
        <v>0.15</v>
      </c>
      <c r="D340" s="1063">
        <v>0.15</v>
      </c>
      <c r="E340" s="1063">
        <v>0.15</v>
      </c>
      <c r="F340" s="1075"/>
    </row>
    <row r="341" spans="1:6" ht="14.25" thickBot="1">
      <c r="A341" s="840" t="s">
        <v>1017</v>
      </c>
      <c r="B341" s="834" t="s">
        <v>1021</v>
      </c>
      <c r="C341" s="1063">
        <v>0.15</v>
      </c>
      <c r="D341" s="1063">
        <v>0.15</v>
      </c>
      <c r="E341" s="1063">
        <v>0.15</v>
      </c>
      <c r="F341" s="1064">
        <v>0.15</v>
      </c>
    </row>
    <row r="342" spans="1:6" ht="14.25" thickBot="1">
      <c r="A342" s="840" t="s">
        <v>1017</v>
      </c>
      <c r="B342" s="834" t="s">
        <v>1022</v>
      </c>
      <c r="C342" s="1063">
        <v>0.15</v>
      </c>
      <c r="D342" s="1063">
        <v>0.15</v>
      </c>
      <c r="E342" s="1063">
        <v>0.15</v>
      </c>
      <c r="F342" s="1064">
        <v>0.15</v>
      </c>
    </row>
    <row r="343" spans="1:6" ht="14.25" thickBot="1">
      <c r="A343" s="840" t="s">
        <v>1017</v>
      </c>
      <c r="B343" s="834" t="s">
        <v>1023</v>
      </c>
      <c r="C343" s="1063">
        <v>0.15</v>
      </c>
      <c r="D343" s="1063">
        <v>0.15</v>
      </c>
      <c r="E343" s="1063">
        <v>0.15</v>
      </c>
      <c r="F343" s="1064">
        <v>0.15</v>
      </c>
    </row>
    <row r="344" spans="1:6" ht="14.25" thickBot="1">
      <c r="A344" s="850" t="s">
        <v>1017</v>
      </c>
      <c r="B344" s="846"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43914</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Q8"/>
  <sheetViews>
    <sheetView workbookViewId="0">
      <selection activeCell="I9" sqref="I9"/>
    </sheetView>
  </sheetViews>
  <sheetFormatPr defaultColWidth="9" defaultRowHeight="13.5"/>
  <cols>
    <col min="1" max="1" width="5.75" style="2951" customWidth="1"/>
    <col min="2" max="2" width="17" style="2988" customWidth="1"/>
    <col min="3" max="3" width="13.625" style="2989" customWidth="1"/>
    <col min="4" max="5" width="16" style="2989" customWidth="1"/>
    <col min="6" max="6" width="6.75" style="2989" bestFit="1" customWidth="1"/>
    <col min="7" max="7" width="13.25" style="2990" bestFit="1" customWidth="1"/>
    <col min="8" max="8" width="40.875" style="2991" bestFit="1" customWidth="1"/>
    <col min="9" max="9" width="10.625" style="2991" customWidth="1"/>
    <col min="10" max="10" width="10.5" style="2992" customWidth="1"/>
    <col min="11" max="11" width="8.75" style="2992" bestFit="1" customWidth="1"/>
    <col min="12" max="12" width="10.375" style="2993" customWidth="1"/>
    <col min="13" max="13" width="10.75" style="2950" customWidth="1"/>
    <col min="14" max="15" width="9" style="2951"/>
    <col min="16" max="16" width="13.375" style="2952" customWidth="1"/>
    <col min="17" max="16384" width="9" style="2951"/>
  </cols>
  <sheetData>
    <row r="1" spans="1:17" ht="40.5" customHeight="1">
      <c r="A1" s="3339" t="s">
        <v>3054</v>
      </c>
      <c r="B1" s="3339"/>
      <c r="C1" s="3339"/>
      <c r="D1" s="3339"/>
      <c r="E1" s="3339"/>
      <c r="F1" s="3339"/>
      <c r="G1" s="3339"/>
      <c r="H1" s="3339"/>
      <c r="I1" s="3339"/>
      <c r="J1" s="3339"/>
      <c r="K1" s="3339"/>
      <c r="L1" s="3339"/>
    </row>
    <row r="2" spans="1:17" s="2954" customFormat="1" ht="29.25" customHeight="1">
      <c r="A2" s="2953" t="s">
        <v>3055</v>
      </c>
      <c r="D2" s="2955"/>
      <c r="E2" s="2955"/>
      <c r="F2" s="2955"/>
      <c r="G2" s="2956"/>
      <c r="H2" s="2957"/>
      <c r="I2" s="2957"/>
      <c r="J2" s="2958"/>
      <c r="K2" s="2958"/>
      <c r="L2" s="2959"/>
      <c r="M2" s="2960"/>
      <c r="P2" s="2961"/>
    </row>
    <row r="3" spans="1:17" s="2966" customFormat="1" ht="24" customHeight="1">
      <c r="A3" s="2962" t="s">
        <v>608</v>
      </c>
      <c r="B3" s="2962" t="s">
        <v>3056</v>
      </c>
      <c r="C3" s="2962" t="s">
        <v>3057</v>
      </c>
      <c r="D3" s="2962" t="s">
        <v>3058</v>
      </c>
      <c r="E3" s="2962" t="s">
        <v>3059</v>
      </c>
      <c r="F3" s="2962" t="s">
        <v>3060</v>
      </c>
      <c r="G3" s="2963" t="s">
        <v>3061</v>
      </c>
      <c r="H3" s="2962" t="s">
        <v>3062</v>
      </c>
      <c r="I3" s="2962" t="s">
        <v>3063</v>
      </c>
      <c r="J3" s="2962" t="s">
        <v>3064</v>
      </c>
      <c r="K3" s="2962" t="s">
        <v>3065</v>
      </c>
      <c r="L3" s="2964" t="s">
        <v>3066</v>
      </c>
      <c r="M3" s="2964" t="s">
        <v>3067</v>
      </c>
      <c r="N3" s="2962" t="s">
        <v>3068</v>
      </c>
      <c r="O3" s="2962" t="s">
        <v>3069</v>
      </c>
      <c r="P3" s="2965" t="s">
        <v>3070</v>
      </c>
    </row>
    <row r="4" spans="1:17" s="2954" customFormat="1" ht="49.5" customHeight="1">
      <c r="A4" s="2967">
        <v>1</v>
      </c>
      <c r="B4" s="2967" t="s">
        <v>3071</v>
      </c>
      <c r="C4" s="2968" t="s">
        <v>3072</v>
      </c>
      <c r="D4" s="2969" t="s">
        <v>3073</v>
      </c>
      <c r="E4" s="2969" t="s">
        <v>3074</v>
      </c>
      <c r="F4" s="2969">
        <v>2</v>
      </c>
      <c r="G4" s="2970">
        <f>2163.25-631.32</f>
        <v>1531.9299999999998</v>
      </c>
      <c r="H4" s="2971" t="s">
        <v>3075</v>
      </c>
      <c r="I4" s="2971" t="s">
        <v>3076</v>
      </c>
      <c r="J4" s="2972" t="s">
        <v>3077</v>
      </c>
      <c r="K4" s="2973" t="s">
        <v>3078</v>
      </c>
      <c r="L4" s="2974"/>
      <c r="M4" s="2975"/>
      <c r="N4" s="2976"/>
      <c r="O4" s="2976"/>
      <c r="P4" s="2977"/>
    </row>
    <row r="5" spans="1:17" s="2954" customFormat="1" ht="49.5" customHeight="1">
      <c r="A5" s="2967">
        <v>2</v>
      </c>
      <c r="B5" s="2967" t="s">
        <v>3079</v>
      </c>
      <c r="C5" s="2968" t="s">
        <v>3072</v>
      </c>
      <c r="D5" s="2969" t="s">
        <v>3073</v>
      </c>
      <c r="E5" s="2969" t="s">
        <v>3080</v>
      </c>
      <c r="F5" s="2969">
        <v>1</v>
      </c>
      <c r="G5" s="2970">
        <v>631.32000000000005</v>
      </c>
      <c r="H5" s="2971" t="s">
        <v>3081</v>
      </c>
      <c r="I5" s="2971" t="s">
        <v>3082</v>
      </c>
      <c r="J5" s="2972" t="s">
        <v>3083</v>
      </c>
      <c r="K5" s="2973" t="s">
        <v>3078</v>
      </c>
      <c r="L5" s="2974"/>
      <c r="M5" s="2975"/>
      <c r="N5" s="2976"/>
      <c r="O5" s="2976"/>
      <c r="P5" s="2977"/>
    </row>
    <row r="6" spans="1:17" s="2954" customFormat="1" ht="49.5" customHeight="1">
      <c r="A6" s="2967">
        <v>3</v>
      </c>
      <c r="B6" s="2967" t="s">
        <v>3084</v>
      </c>
      <c r="C6" s="2968" t="s">
        <v>3085</v>
      </c>
      <c r="D6" s="2969" t="s">
        <v>3086</v>
      </c>
      <c r="E6" s="2969" t="s">
        <v>3087</v>
      </c>
      <c r="F6" s="2978">
        <v>2</v>
      </c>
      <c r="G6" s="2979">
        <v>708.8</v>
      </c>
      <c r="H6" s="2973" t="s">
        <v>3088</v>
      </c>
      <c r="I6" s="2973" t="s">
        <v>3089</v>
      </c>
      <c r="J6" s="2972" t="s">
        <v>3090</v>
      </c>
      <c r="K6" s="2973" t="s">
        <v>3091</v>
      </c>
      <c r="L6" s="2974"/>
      <c r="M6" s="2975"/>
      <c r="N6" s="2976"/>
      <c r="O6" s="2976"/>
      <c r="P6" s="2977"/>
      <c r="Q6" s="2980"/>
    </row>
    <row r="7" spans="1:17" s="2954" customFormat="1" ht="49.5" customHeight="1">
      <c r="A7" s="2967">
        <v>4</v>
      </c>
      <c r="B7" s="2967" t="s">
        <v>3092</v>
      </c>
      <c r="C7" s="2968" t="s">
        <v>3093</v>
      </c>
      <c r="D7" s="2969" t="s">
        <v>3094</v>
      </c>
      <c r="E7" s="2969" t="s">
        <v>3095</v>
      </c>
      <c r="F7" s="2978">
        <v>1</v>
      </c>
      <c r="G7" s="2979">
        <v>693.12</v>
      </c>
      <c r="H7" s="2973" t="s">
        <v>3096</v>
      </c>
      <c r="I7" s="2973" t="s">
        <v>3097</v>
      </c>
      <c r="J7" s="2972" t="s">
        <v>3098</v>
      </c>
      <c r="K7" s="2973" t="s">
        <v>3091</v>
      </c>
      <c r="L7" s="2974"/>
      <c r="M7" s="2975"/>
      <c r="N7" s="2976"/>
      <c r="O7" s="2976"/>
      <c r="P7" s="2977"/>
    </row>
    <row r="8" spans="1:17" s="2966" customFormat="1" ht="49.5" customHeight="1">
      <c r="A8" s="2962">
        <v>4</v>
      </c>
      <c r="B8" s="2962" t="s">
        <v>3099</v>
      </c>
      <c r="C8" s="2981"/>
      <c r="D8" s="2981"/>
      <c r="E8" s="2981"/>
      <c r="F8" s="2981">
        <f>SUM(F4:F7)</f>
        <v>6</v>
      </c>
      <c r="G8" s="2982">
        <f>SUM(G4:G7)</f>
        <v>3565.17</v>
      </c>
      <c r="H8" s="2983"/>
      <c r="I8" s="2983"/>
      <c r="J8" s="2962"/>
      <c r="K8" s="2962"/>
      <c r="L8" s="2984">
        <f>SUM(L4:L7)</f>
        <v>0</v>
      </c>
      <c r="M8" s="2985">
        <f>SUM(M4:M7)</f>
        <v>0</v>
      </c>
      <c r="N8" s="2986"/>
      <c r="O8" s="2986"/>
      <c r="P8" s="2987"/>
    </row>
  </sheetData>
  <mergeCells count="1">
    <mergeCell ref="A1:L1"/>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1635</v>
      </c>
      <c r="B2" s="3020" t="s">
        <v>1636</v>
      </c>
      <c r="C2" s="3020" t="s">
        <v>1637</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21"/>
      <c r="B3" s="3021"/>
      <c r="C3" s="3021"/>
      <c r="D3" s="1043" t="s">
        <v>1632</v>
      </c>
      <c r="E3" s="1043" t="s">
        <v>1638</v>
      </c>
      <c r="F3" s="1043" t="s">
        <v>1632</v>
      </c>
      <c r="G3" s="1043" t="s">
        <v>1633</v>
      </c>
      <c r="H3" s="1043" t="s">
        <v>1632</v>
      </c>
      <c r="I3" s="1043" t="s">
        <v>1633</v>
      </c>
    </row>
    <row r="4" spans="1:9" ht="30">
      <c r="A4" s="1971" t="str">
        <f>项目基本情况!S2</f>
        <v>北京市北京经济技术开发区荣华南路7号院4号楼102商业用房出让国有建设用地使用权及在建建筑物房地产</v>
      </c>
      <c r="B4" s="1043">
        <f>项目基本情况!C17</f>
        <v>631.32000000000005</v>
      </c>
      <c r="C4" s="1043">
        <f>项目基本情况!C18</f>
        <v>0</v>
      </c>
      <c r="D4" s="1043" t="e">
        <f ca="1">结果表!D118</f>
        <v>#REF!</v>
      </c>
      <c r="E4" s="1043" t="e">
        <f ca="1">结果表!E118</f>
        <v>#REF!</v>
      </c>
      <c r="F4" s="1043" t="e">
        <f ca="1">结果表!F118</f>
        <v>#REF!</v>
      </c>
      <c r="G4" s="1043" t="e">
        <f ca="1">结果表!G118</f>
        <v>#REF!</v>
      </c>
      <c r="H4" s="1043">
        <f ca="1">结果表!H118</f>
        <v>2717</v>
      </c>
      <c r="I4" s="1043">
        <f ca="1">结果表!I118</f>
        <v>43037</v>
      </c>
    </row>
    <row r="5" spans="1:9" ht="30" customHeight="1">
      <c r="A5" s="3021" t="s">
        <v>1634</v>
      </c>
      <c r="B5" s="3021"/>
      <c r="C5" s="3021"/>
      <c r="D5" s="3022" t="e">
        <f ca="1">结果表!D119</f>
        <v>#REF!</v>
      </c>
      <c r="E5" s="3022"/>
      <c r="F5" s="3022" t="e">
        <f ca="1">结果表!F119</f>
        <v>#REF!</v>
      </c>
      <c r="G5" s="3022"/>
      <c r="H5" s="3022" t="str">
        <f ca="1">结果表!H119</f>
        <v>贰仟柒佰壹拾柒万元整</v>
      </c>
      <c r="I5" s="3022"/>
    </row>
    <row r="6" spans="1:9" ht="15.75">
      <c r="A6" s="3023" t="str">
        <f>结果表!A120</f>
        <v>估价师知悉的法定优先受偿款</v>
      </c>
      <c r="B6" s="3023"/>
      <c r="C6" s="3023"/>
      <c r="D6" s="3023">
        <f>结果表!D120</f>
        <v>0</v>
      </c>
      <c r="E6" s="3023"/>
      <c r="F6" s="3023"/>
      <c r="G6" s="3023"/>
      <c r="H6" s="3023"/>
      <c r="I6" s="3023"/>
    </row>
    <row r="7" spans="1:9" ht="15">
      <c r="A7" s="3021" t="s">
        <v>1634</v>
      </c>
      <c r="B7" s="3021"/>
      <c r="C7" s="3021"/>
      <c r="D7" s="3024" t="str">
        <f>结果表!D121</f>
        <v>零元整</v>
      </c>
      <c r="E7" s="3025"/>
      <c r="F7" s="3025"/>
      <c r="G7" s="3025"/>
      <c r="H7" s="3025"/>
      <c r="I7" s="3026"/>
    </row>
    <row r="8" spans="1:9" ht="15.75">
      <c r="A8" s="3023" t="str">
        <f>结果表!A122</f>
        <v>房地产抵押价值</v>
      </c>
      <c r="B8" s="3023"/>
      <c r="C8" s="3023"/>
      <c r="D8" s="3023">
        <f ca="1">结果表!D122</f>
        <v>2717</v>
      </c>
      <c r="E8" s="3023"/>
      <c r="F8" s="3023"/>
      <c r="G8" s="3023"/>
      <c r="H8" s="3023"/>
      <c r="I8" s="3023"/>
    </row>
    <row r="9" spans="1:9" ht="15">
      <c r="A9" s="3021" t="s">
        <v>1634</v>
      </c>
      <c r="B9" s="3021"/>
      <c r="C9" s="3021"/>
      <c r="D9" s="3022" t="str">
        <f ca="1">结果表!D123</f>
        <v>贰仟柒佰壹拾柒万元整</v>
      </c>
      <c r="E9" s="3022"/>
      <c r="F9" s="3022"/>
      <c r="G9" s="3022"/>
      <c r="H9" s="3022"/>
      <c r="I9" s="3022"/>
    </row>
    <row r="10" spans="1:9" ht="15.75">
      <c r="A10" s="3023" t="str">
        <f>结果表!A124</f>
        <v/>
      </c>
      <c r="B10" s="3023"/>
      <c r="C10" s="3023"/>
      <c r="D10" s="3023" t="str">
        <f>结果表!D124</f>
        <v>——</v>
      </c>
      <c r="E10" s="3023"/>
      <c r="F10" s="3023"/>
      <c r="G10" s="3023"/>
      <c r="H10" s="3023"/>
      <c r="I10" s="3023"/>
    </row>
    <row r="11" spans="1:9" ht="15">
      <c r="A11" s="3021" t="s">
        <v>1634</v>
      </c>
      <c r="B11" s="3021"/>
      <c r="C11" s="3021"/>
      <c r="D11" s="3022" t="e">
        <f>结果表!D125</f>
        <v>#VALUE!</v>
      </c>
      <c r="E11" s="3022"/>
      <c r="F11" s="3022"/>
      <c r="G11" s="3022"/>
      <c r="H11" s="3022"/>
      <c r="I11" s="3022"/>
    </row>
    <row r="12" spans="1:9" ht="15.75">
      <c r="A12" s="3023" t="str">
        <f>结果表!A126</f>
        <v>抵押净值</v>
      </c>
      <c r="B12" s="3023"/>
      <c r="C12" s="3023"/>
      <c r="D12" s="3023">
        <f ca="1">结果表!D126</f>
        <v>2118</v>
      </c>
      <c r="E12" s="3023"/>
      <c r="F12" s="3023"/>
      <c r="G12" s="3023"/>
      <c r="H12" s="3023"/>
      <c r="I12" s="3023"/>
    </row>
    <row r="13" spans="1:9" ht="15.75" thickBot="1">
      <c r="A13" s="3027" t="s">
        <v>1634</v>
      </c>
      <c r="B13" s="3027"/>
      <c r="C13" s="3027"/>
      <c r="D13" s="3028" t="str">
        <f ca="1">结果表!D127</f>
        <v>贰仟壹佰壹拾捌万元整</v>
      </c>
      <c r="E13" s="3028"/>
      <c r="F13" s="3028"/>
      <c r="G13" s="3028"/>
      <c r="H13" s="3028"/>
      <c r="I13" s="3028"/>
    </row>
    <row r="14" spans="1:9" ht="15" thickTop="1">
      <c r="A14" s="3029" t="s">
        <v>1639</v>
      </c>
      <c r="B14" s="3029"/>
      <c r="C14" s="3029"/>
      <c r="D14" s="3029"/>
      <c r="E14" s="3029"/>
      <c r="F14" s="3029"/>
      <c r="G14" s="3029"/>
      <c r="H14" s="3029"/>
      <c r="I14" s="3029"/>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30" t="s">
        <v>1656</v>
      </c>
      <c r="B1" s="3030"/>
      <c r="C1" s="3030"/>
      <c r="D1" s="3030"/>
    </row>
    <row r="2" spans="1:4" ht="18">
      <c r="A2" s="3031" t="s">
        <v>1640</v>
      </c>
      <c r="B2" s="3031"/>
      <c r="C2" s="3031"/>
      <c r="D2" s="3031"/>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31" t="s">
        <v>1646</v>
      </c>
      <c r="B6" s="3031"/>
      <c r="C6" s="3031"/>
      <c r="D6" s="3031"/>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32" t="s">
        <v>1649</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33" t="str">
        <f>IF(项目基本情况!B8="抵押","4.本次评估估价师所知悉的法定优先受偿款情况说明如下：","——")</f>
        <v>4.本次评估估价师所知悉的法定优先受偿款情况说明如下：</v>
      </c>
      <c r="B14" s="3034"/>
      <c r="C14" s="3034"/>
      <c r="D14" s="3034"/>
    </row>
    <row r="15" spans="1:4" ht="42" customHeight="1">
      <c r="A15" s="30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6" t="s">
        <v>1650</v>
      </c>
      <c r="B16" s="3036"/>
      <c r="C16" s="3036"/>
      <c r="D16" s="3036"/>
    </row>
    <row r="17" spans="1:4" ht="144" customHeight="1">
      <c r="A17" s="3036" t="s">
        <v>1651</v>
      </c>
      <c r="B17" s="3036"/>
      <c r="C17" s="3036"/>
      <c r="D17" s="3036"/>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3"/>
      <c r="C20" s="3033"/>
      <c r="D20" s="3033"/>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7"/>
      <c r="C21" s="3037"/>
      <c r="D21" s="3037"/>
    </row>
    <row r="22" spans="1:4" ht="18.75" customHeight="1">
      <c r="A22" s="3038" t="s">
        <v>1652</v>
      </c>
      <c r="B22" s="3038"/>
      <c r="C22" s="3038"/>
      <c r="D22" s="3038"/>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35">
        <v>42551</v>
      </c>
      <c r="D31" s="30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44" t="s">
        <v>1663</v>
      </c>
      <c r="B15" s="3039" t="s">
        <v>136</v>
      </c>
      <c r="C15" s="3040"/>
    </row>
    <row r="16" spans="1:7" ht="13.5">
      <c r="A16" s="3045"/>
      <c r="B16" s="3039" t="s">
        <v>69</v>
      </c>
      <c r="C16" s="3040"/>
    </row>
    <row r="17" spans="1:3" ht="13.5">
      <c r="A17" s="3045"/>
      <c r="B17" s="3042" t="s">
        <v>1664</v>
      </c>
      <c r="C17" s="1998" t="s">
        <v>1663</v>
      </c>
    </row>
    <row r="18" spans="1:3" ht="13.5">
      <c r="A18" s="3045"/>
      <c r="B18" s="3042"/>
      <c r="C18" s="1998" t="s">
        <v>1665</v>
      </c>
    </row>
    <row r="19" spans="1:3" ht="13.5">
      <c r="A19" s="3045"/>
      <c r="B19" s="3042"/>
      <c r="C19" s="1998" t="s">
        <v>1666</v>
      </c>
    </row>
    <row r="20" spans="1:3" ht="13.5">
      <c r="A20" s="3046"/>
      <c r="B20" s="3041" t="s">
        <v>1667</v>
      </c>
      <c r="C20" s="3040"/>
    </row>
    <row r="21" spans="1:3" ht="13.5">
      <c r="A21" s="1999" t="s">
        <v>1668</v>
      </c>
      <c r="B21" s="2000"/>
      <c r="C21" s="2001"/>
    </row>
    <row r="22" spans="1:3" ht="13.5">
      <c r="A22" s="3043" t="s">
        <v>1669</v>
      </c>
      <c r="B22" s="3041" t="s">
        <v>1670</v>
      </c>
      <c r="C22" s="3040"/>
    </row>
    <row r="23" spans="1:3" ht="13.5">
      <c r="A23" s="3043"/>
      <c r="B23" s="3041" t="s">
        <v>1671</v>
      </c>
      <c r="C23" s="3040"/>
    </row>
    <row r="24" spans="1:3" ht="13.5">
      <c r="A24" s="3043"/>
      <c r="B24" s="3041" t="s">
        <v>1672</v>
      </c>
      <c r="C24" s="3040"/>
    </row>
    <row r="25" spans="1:3" ht="13.5">
      <c r="A25" s="3043"/>
      <c r="B25" s="3042" t="s">
        <v>1673</v>
      </c>
      <c r="C25" s="1998" t="s">
        <v>1674</v>
      </c>
    </row>
    <row r="26" spans="1:3" ht="13.5">
      <c r="A26" s="3043"/>
      <c r="B26" s="3042"/>
      <c r="C26" s="1998" t="s">
        <v>1675</v>
      </c>
    </row>
    <row r="27" spans="1:3" ht="13.5">
      <c r="A27" s="3043"/>
      <c r="B27" s="3042"/>
      <c r="C27" s="1998" t="s">
        <v>1676</v>
      </c>
    </row>
    <row r="28" spans="1:3" ht="13.5">
      <c r="A28" s="3043"/>
      <c r="B28" s="3042"/>
      <c r="C28" s="1998" t="s">
        <v>1677</v>
      </c>
    </row>
    <row r="29" spans="1:3" ht="13.5">
      <c r="A29" s="3043"/>
      <c r="B29" s="3042"/>
      <c r="C29" s="1998" t="s">
        <v>1678</v>
      </c>
    </row>
    <row r="30" spans="1:3" ht="13.5">
      <c r="A30" s="3043"/>
      <c r="B30" s="3042"/>
      <c r="C30" s="1998" t="s">
        <v>1679</v>
      </c>
    </row>
    <row r="31" spans="1:3" ht="13.5">
      <c r="A31" s="3043"/>
      <c r="B31" s="3042"/>
      <c r="C31" s="1998" t="s">
        <v>1680</v>
      </c>
    </row>
    <row r="32" spans="1:3" ht="13.5">
      <c r="A32" s="3043"/>
      <c r="B32" s="3042"/>
      <c r="C32" s="1998" t="s">
        <v>1681</v>
      </c>
    </row>
    <row r="33" spans="1:3" ht="13.5">
      <c r="A33" s="3043"/>
      <c r="B33" s="3042"/>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43930</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925">
        <v>44876</v>
      </c>
      <c r="D4" s="2346" t="s">
        <v>832</v>
      </c>
      <c r="E4" s="1022">
        <f ca="1">IF(F4&lt;B2,"已过期",96010014)</f>
        <v>96010014</v>
      </c>
      <c r="F4" s="1030">
        <v>47118</v>
      </c>
    </row>
    <row r="5" spans="1:6" ht="24" customHeight="1">
      <c r="A5" s="1701"/>
      <c r="B5" s="1022"/>
      <c r="C5" s="2343"/>
      <c r="D5" s="2346"/>
      <c r="E5" s="1022"/>
      <c r="F5" s="1030"/>
    </row>
    <row r="6" spans="1:6" ht="24" customHeight="1">
      <c r="A6" s="1701" t="s">
        <v>833</v>
      </c>
      <c r="B6" s="1022">
        <f ca="1">IF(C6&lt;B2,"已过期",1119970111)</f>
        <v>1119970111</v>
      </c>
      <c r="C6" s="2343">
        <v>44876</v>
      </c>
      <c r="D6" s="2346" t="s">
        <v>833</v>
      </c>
      <c r="E6" s="1022">
        <f ca="1">IF(F6&lt;B2,"已过期",94010078)</f>
        <v>94010078</v>
      </c>
      <c r="F6" s="1030">
        <v>46387</v>
      </c>
    </row>
    <row r="7" spans="1:6" ht="24" customHeight="1">
      <c r="A7" s="1701" t="s">
        <v>834</v>
      </c>
      <c r="B7" s="1022">
        <f ca="1">IF(C7&lt;B2,"已过期",1120050019)</f>
        <v>1120050019</v>
      </c>
      <c r="C7" s="2343">
        <v>44395</v>
      </c>
      <c r="D7" s="2346" t="s">
        <v>834</v>
      </c>
      <c r="E7" s="1022">
        <f ca="1">IF(F7&lt;B2,"已过期",2002110030)</f>
        <v>2002110030</v>
      </c>
      <c r="F7" s="1030">
        <v>46387</v>
      </c>
    </row>
    <row r="8" spans="1:6" ht="24" customHeight="1">
      <c r="A8" s="1701" t="s">
        <v>835</v>
      </c>
      <c r="B8" s="1022">
        <f ca="1">IF(C8&lt;B2,"已过期",1120000080)</f>
        <v>1120000080</v>
      </c>
      <c r="C8" s="2925">
        <v>44876</v>
      </c>
      <c r="D8" s="2346" t="s">
        <v>835</v>
      </c>
      <c r="E8" s="1022">
        <f ca="1">IF(F8&lt;B2,"已过期",2000110082)</f>
        <v>2000110082</v>
      </c>
      <c r="F8" s="1030">
        <v>46387</v>
      </c>
    </row>
    <row r="9" spans="1:6" ht="24" customHeight="1">
      <c r="A9" s="1701" t="s">
        <v>836</v>
      </c>
      <c r="B9" s="1022">
        <f ca="1">IF(C9&lt;B2,"已过期",1419970001)</f>
        <v>1419970001</v>
      </c>
      <c r="C9" s="2925">
        <v>44899</v>
      </c>
      <c r="D9" s="2346" t="s">
        <v>836</v>
      </c>
      <c r="E9" s="1022">
        <f ca="1">IF(F9&lt;B2,"已过期",2002110125)</f>
        <v>2002110125</v>
      </c>
      <c r="F9" s="1030">
        <v>47118</v>
      </c>
    </row>
    <row r="10" spans="1:6" ht="24" customHeight="1">
      <c r="A10" s="1701" t="s">
        <v>837</v>
      </c>
      <c r="B10" s="1022">
        <f ca="1">IF(C10&lt;B2,"已过期",1120060040)</f>
        <v>1120060040</v>
      </c>
      <c r="C10" s="2343">
        <v>44554</v>
      </c>
      <c r="D10" s="2346" t="s">
        <v>837</v>
      </c>
      <c r="E10" s="1022">
        <f ca="1">IF(F10&lt;B2,"已过期",2004110096)</f>
        <v>2004110096</v>
      </c>
      <c r="F10" s="1030">
        <v>47118</v>
      </c>
    </row>
    <row r="11" spans="1:6" ht="24" customHeight="1">
      <c r="A11" s="1701" t="s">
        <v>838</v>
      </c>
      <c r="B11" s="1022">
        <f ca="1">IF(C11&lt;B2,"已过期",1120100036)</f>
        <v>1120100036</v>
      </c>
      <c r="C11" s="2343">
        <v>44675</v>
      </c>
      <c r="D11" s="2346" t="s">
        <v>838</v>
      </c>
      <c r="E11" s="1022">
        <f ca="1">IF(F11&lt;B2,"已过期",2010110070)</f>
        <v>2010110070</v>
      </c>
      <c r="F11" s="1030">
        <v>47907</v>
      </c>
    </row>
    <row r="12" spans="1:6" ht="24" customHeight="1">
      <c r="A12" s="1701"/>
      <c r="B12" s="1022"/>
      <c r="C12" s="2925"/>
      <c r="D12" s="1701"/>
      <c r="E12" s="1022"/>
      <c r="F12" s="1030"/>
    </row>
    <row r="13" spans="1:6" ht="24" customHeight="1">
      <c r="A13" s="1701" t="s">
        <v>839</v>
      </c>
      <c r="B13" s="1022">
        <f ca="1">IF(C13&lt;B2,"已过期",1120070131)</f>
        <v>1120070131</v>
      </c>
      <c r="C13" s="2343">
        <v>44849</v>
      </c>
      <c r="D13" s="2346" t="s">
        <v>839</v>
      </c>
      <c r="E13" s="1022">
        <f ca="1">IF(F13&lt;B2,"已过期",2014110011)</f>
        <v>2014110011</v>
      </c>
      <c r="F13" s="1030">
        <v>49302</v>
      </c>
    </row>
    <row r="14" spans="1:6" ht="24" customHeight="1">
      <c r="A14" s="1701" t="s">
        <v>3041</v>
      </c>
      <c r="B14" s="1022">
        <f ca="1">IF(C14&lt;B2,"已过期",1120040230)</f>
        <v>1120040230</v>
      </c>
      <c r="C14" s="2343">
        <v>44864</v>
      </c>
      <c r="D14" s="2346" t="s">
        <v>3041</v>
      </c>
      <c r="E14" s="1022">
        <f ca="1">IF(F14&lt;B2,"已过期",98030020)</f>
        <v>98030020</v>
      </c>
      <c r="F14" s="1030">
        <v>47118</v>
      </c>
    </row>
    <row r="15" spans="1:6" ht="24" customHeight="1">
      <c r="A15" s="1702"/>
      <c r="B15" s="1022"/>
      <c r="C15" s="2343"/>
      <c r="D15" s="2347"/>
      <c r="E15" s="1022"/>
      <c r="F15" s="1023"/>
    </row>
    <row r="16" spans="1:6" ht="24" customHeight="1">
      <c r="A16" s="1701"/>
      <c r="B16" s="1022"/>
      <c r="C16" s="2925"/>
      <c r="D16" s="2346"/>
      <c r="E16" s="1022"/>
      <c r="F16" s="1030"/>
    </row>
    <row r="17" spans="1:7" ht="24" customHeight="1">
      <c r="A17" s="1701"/>
      <c r="B17" s="1022"/>
      <c r="C17" s="2343"/>
      <c r="D17" s="2346"/>
      <c r="E17" s="1022"/>
      <c r="F17" s="1030"/>
    </row>
    <row r="18" spans="1:7" ht="24" customHeight="1">
      <c r="A18" s="1701" t="s">
        <v>3048</v>
      </c>
      <c r="B18" s="1022">
        <v>1120190079</v>
      </c>
      <c r="C18" s="2925">
        <v>44826</v>
      </c>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840</v>
      </c>
      <c r="E21" s="1022">
        <f ca="1">IF(F21&lt;B2,"已过期",2011110090)</f>
        <v>2011110090</v>
      </c>
      <c r="F21" s="1030">
        <v>48302</v>
      </c>
    </row>
    <row r="22" spans="1:7" ht="24" customHeight="1">
      <c r="A22" s="1701" t="s">
        <v>841</v>
      </c>
      <c r="B22" s="1022">
        <f ca="1">IF(C22&lt;B2,"已过期",1120020033)</f>
        <v>1120020033</v>
      </c>
      <c r="C22" s="2925">
        <v>44339</v>
      </c>
      <c r="D22" s="2346" t="s">
        <v>841</v>
      </c>
      <c r="E22" s="1022">
        <f ca="1">IF(F22&lt;B2,"已过期",2000110137)</f>
        <v>2000110137</v>
      </c>
      <c r="F22" s="1030">
        <v>46387</v>
      </c>
    </row>
    <row r="23" spans="1:7" ht="24" customHeight="1">
      <c r="A23" s="1701" t="s">
        <v>3050</v>
      </c>
      <c r="B23" s="1022">
        <v>1119980106</v>
      </c>
      <c r="C23" s="2343">
        <v>43916</v>
      </c>
      <c r="D23" s="1701" t="s">
        <v>3053</v>
      </c>
      <c r="E23" s="1022">
        <v>96010063</v>
      </c>
      <c r="F23" s="1030">
        <v>47118</v>
      </c>
    </row>
    <row r="24" spans="1:7" s="1024" customFormat="1" ht="24" customHeight="1">
      <c r="A24" s="1702" t="s">
        <v>1328</v>
      </c>
      <c r="B24" s="1702" t="s">
        <v>1328</v>
      </c>
      <c r="C24" s="2344" t="s">
        <v>1328</v>
      </c>
      <c r="D24" s="2347" t="s">
        <v>1328</v>
      </c>
      <c r="E24" s="1702" t="s">
        <v>1328</v>
      </c>
      <c r="F24" s="1702" t="s">
        <v>1328</v>
      </c>
    </row>
    <row r="25" spans="1:7" ht="24" customHeight="1">
      <c r="A25" s="3047" t="s">
        <v>842</v>
      </c>
      <c r="B25" s="3047"/>
      <c r="C25" s="3047"/>
      <c r="D25" s="3047"/>
      <c r="E25" s="3047"/>
      <c r="F25" s="3047"/>
      <c r="G25" s="3047"/>
    </row>
    <row r="26" spans="1:7" s="1025" customFormat="1" ht="24" customHeight="1">
      <c r="A26" s="3048" t="s">
        <v>843</v>
      </c>
      <c r="B26" s="3048"/>
      <c r="C26" s="3049"/>
      <c r="D26" s="3050" t="s">
        <v>844</v>
      </c>
      <c r="E26" s="3048"/>
      <c r="F26" s="3048"/>
    </row>
    <row r="27" spans="1:7" s="1027" customFormat="1" ht="24" customHeight="1">
      <c r="A27" s="1026" t="s">
        <v>845</v>
      </c>
      <c r="B27" s="1021" t="s">
        <v>846</v>
      </c>
      <c r="C27" s="2342" t="s">
        <v>847</v>
      </c>
      <c r="D27" s="2349" t="s">
        <v>845</v>
      </c>
      <c r="E27" s="1021" t="s">
        <v>846</v>
      </c>
      <c r="F27" s="1021" t="s">
        <v>847</v>
      </c>
    </row>
    <row r="28" spans="1:7" s="1027" customFormat="1" ht="24" customHeight="1">
      <c r="A28" s="1028" t="s">
        <v>848</v>
      </c>
      <c r="B28" s="1029" t="s">
        <v>849</v>
      </c>
      <c r="C28" s="1030">
        <v>44820</v>
      </c>
      <c r="D28" s="2350" t="s">
        <v>850</v>
      </c>
      <c r="E28" s="1028" t="s">
        <v>851</v>
      </c>
      <c r="F28" s="1057">
        <v>44377</v>
      </c>
    </row>
    <row r="29" spans="1:7" s="1027" customFormat="1" ht="24" customHeight="1">
      <c r="A29" s="1028"/>
      <c r="B29" s="1028"/>
      <c r="C29" s="2348"/>
      <c r="D29" s="2350" t="s">
        <v>852</v>
      </c>
      <c r="E29" s="1201" t="s">
        <v>3049</v>
      </c>
      <c r="F29" s="1202">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51" priority="105" stopIfTrue="1" operator="lessThan">
      <formula>$B$2</formula>
    </cfRule>
  </conditionalFormatting>
  <conditionalFormatting sqref="C5">
    <cfRule type="expression" dxfId="250" priority="100">
      <formula>AND($C5-TODAY()&lt;30,TODAY()&lt;$C5)</formula>
    </cfRule>
  </conditionalFormatting>
  <conditionalFormatting sqref="C5 F5">
    <cfRule type="cellIs" dxfId="249" priority="101" stopIfTrue="1" operator="lessThan">
      <formula>$B$2</formula>
    </cfRule>
  </conditionalFormatting>
  <conditionalFormatting sqref="F6 F8 F10">
    <cfRule type="cellIs" dxfId="248" priority="99" stopIfTrue="1" operator="lessThan">
      <formula>$B$2</formula>
    </cfRule>
  </conditionalFormatting>
  <conditionalFormatting sqref="C5:C7 C13 C23 C17 C19:C21 C10:C11">
    <cfRule type="expression" dxfId="247" priority="97">
      <formula>AND($C5-TODAY()&lt;30,TODAY()&lt;$C5)</formula>
    </cfRule>
  </conditionalFormatting>
  <conditionalFormatting sqref="F7 F9 F11 C5:C7 C13 C23 C17 C19:C21 C10:C11">
    <cfRule type="cellIs" dxfId="246" priority="98" stopIfTrue="1" operator="lessThan">
      <formula>$B$2</formula>
    </cfRule>
  </conditionalFormatting>
  <conditionalFormatting sqref="C20">
    <cfRule type="expression" dxfId="245" priority="85">
      <formula>AND($C20-TODAY()&lt;30,TODAY()&lt;$C20)</formula>
    </cfRule>
  </conditionalFormatting>
  <conditionalFormatting sqref="C20">
    <cfRule type="cellIs" dxfId="244" priority="86" stopIfTrue="1" operator="lessThan">
      <formula>$B$2</formula>
    </cfRule>
  </conditionalFormatting>
  <conditionalFormatting sqref="C17">
    <cfRule type="expression" dxfId="243" priority="79">
      <formula>AND($C17-TODAY()&lt;30,TODAY()&lt;$C17)</formula>
    </cfRule>
  </conditionalFormatting>
  <conditionalFormatting sqref="C17">
    <cfRule type="cellIs" dxfId="242" priority="80" stopIfTrue="1" operator="lessThan">
      <formula>$B$2</formula>
    </cfRule>
  </conditionalFormatting>
  <conditionalFormatting sqref="C19">
    <cfRule type="expression" dxfId="241" priority="77">
      <formula>AND($C19-TODAY()&lt;30,TODAY()&lt;$C19)</formula>
    </cfRule>
  </conditionalFormatting>
  <conditionalFormatting sqref="C19">
    <cfRule type="cellIs" dxfId="240" priority="78" stopIfTrue="1" operator="lessThan">
      <formula>$B$2</formula>
    </cfRule>
  </conditionalFormatting>
  <conditionalFormatting sqref="C21">
    <cfRule type="expression" dxfId="239" priority="75">
      <formula>AND($C21-TODAY()&lt;30,TODAY()&lt;$C21)</formula>
    </cfRule>
  </conditionalFormatting>
  <conditionalFormatting sqref="C21">
    <cfRule type="cellIs" dxfId="238" priority="76" stopIfTrue="1" operator="lessThan">
      <formula>$B$2</formula>
    </cfRule>
  </conditionalFormatting>
  <conditionalFormatting sqref="C23">
    <cfRule type="expression" dxfId="237" priority="73">
      <formula>AND($C23-TODAY()&lt;30,TODAY()&lt;$C23)</formula>
    </cfRule>
  </conditionalFormatting>
  <conditionalFormatting sqref="C23">
    <cfRule type="cellIs" dxfId="236" priority="74" stopIfTrue="1" operator="lessThan">
      <formula>$B$2</formula>
    </cfRule>
  </conditionalFormatting>
  <conditionalFormatting sqref="F18">
    <cfRule type="cellIs" dxfId="235" priority="70" stopIfTrue="1" operator="lessThan">
      <formula>$B$2</formula>
    </cfRule>
  </conditionalFormatting>
  <conditionalFormatting sqref="F22">
    <cfRule type="cellIs" dxfId="234" priority="69" stopIfTrue="1" operator="lessThan">
      <formula>$B$2</formula>
    </cfRule>
  </conditionalFormatting>
  <conditionalFormatting sqref="F21">
    <cfRule type="cellIs" dxfId="233" priority="68" stopIfTrue="1" operator="lessThan">
      <formula>$B$2</formula>
    </cfRule>
  </conditionalFormatting>
  <conditionalFormatting sqref="B4:B11 E4:E11 B17 E18:E22 B13 E13 B19:B23">
    <cfRule type="cellIs" dxfId="232" priority="66" stopIfTrue="1" operator="equal">
      <formula>"已过期"</formula>
    </cfRule>
  </conditionalFormatting>
  <conditionalFormatting sqref="A24:F24">
    <cfRule type="cellIs" dxfId="231" priority="62" stopIfTrue="1" operator="equal">
      <formula>"已过期"</formula>
    </cfRule>
  </conditionalFormatting>
  <conditionalFormatting sqref="F28">
    <cfRule type="expression" dxfId="230" priority="60">
      <formula>AND($E28-TODAY()&lt;30,TODAY()&lt;$E28)</formula>
    </cfRule>
  </conditionalFormatting>
  <conditionalFormatting sqref="F28">
    <cfRule type="cellIs" dxfId="229" priority="61" stopIfTrue="1" operator="lessThan">
      <formula>$B$2</formula>
    </cfRule>
  </conditionalFormatting>
  <conditionalFormatting sqref="F29">
    <cfRule type="expression" dxfId="228" priority="56" stopIfTrue="1">
      <formula>AND($E29-TODAY()&lt;30,TODAY()&lt;$E29)</formula>
    </cfRule>
  </conditionalFormatting>
  <conditionalFormatting sqref="F29">
    <cfRule type="cellIs" dxfId="227" priority="57" stopIfTrue="1" operator="lessThan">
      <formula>$B$2</formula>
    </cfRule>
  </conditionalFormatting>
  <conditionalFormatting sqref="F13">
    <cfRule type="cellIs" dxfId="226" priority="49"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2">
    <cfRule type="expression" dxfId="223" priority="45">
      <formula>AND($C12-TODAY()&lt;30,TODAY()&lt;$C12)</formula>
    </cfRule>
  </conditionalFormatting>
  <conditionalFormatting sqref="C12">
    <cfRule type="cellIs" dxfId="222" priority="46" stopIfTrue="1" operator="lessThan">
      <formula>$B$2</formula>
    </cfRule>
  </conditionalFormatting>
  <conditionalFormatting sqref="B12">
    <cfRule type="cellIs" dxfId="221" priority="44" stopIfTrue="1" operator="equal">
      <formula>"已过期"</formula>
    </cfRule>
  </conditionalFormatting>
  <conditionalFormatting sqref="E12">
    <cfRule type="cellIs" dxfId="220" priority="43" stopIfTrue="1" operator="equal">
      <formula>"已过期"</formula>
    </cfRule>
  </conditionalFormatting>
  <conditionalFormatting sqref="F12">
    <cfRule type="cellIs" dxfId="219" priority="42" stopIfTrue="1" operator="lessThan">
      <formula>$B$2</formula>
    </cfRule>
  </conditionalFormatting>
  <conditionalFormatting sqref="C22">
    <cfRule type="expression" dxfId="218" priority="40">
      <formula>AND($C22-TODAY()&lt;30,TODAY()&lt;$C22)</formula>
    </cfRule>
  </conditionalFormatting>
  <conditionalFormatting sqref="C22">
    <cfRule type="cellIs" dxfId="217" priority="41" stopIfTrue="1" operator="lessThan">
      <formula>$B$2</formula>
    </cfRule>
  </conditionalFormatting>
  <conditionalFormatting sqref="C22">
    <cfRule type="expression" dxfId="216" priority="38">
      <formula>AND($C22-TODAY()&lt;30,TODAY()&lt;$C22)</formula>
    </cfRule>
  </conditionalFormatting>
  <conditionalFormatting sqref="C22">
    <cfRule type="cellIs" dxfId="215" priority="39" stopIfTrue="1" operator="lessThan">
      <formula>$B$2</formula>
    </cfRule>
  </conditionalFormatting>
  <conditionalFormatting sqref="C16">
    <cfRule type="expression" dxfId="214" priority="36">
      <formula>AND($C16-TODAY()&lt;30,TODAY()&lt;$C16)</formula>
    </cfRule>
  </conditionalFormatting>
  <conditionalFormatting sqref="C16">
    <cfRule type="cellIs" dxfId="213" priority="37" stopIfTrue="1" operator="lessThan">
      <formula>$B$2</formula>
    </cfRule>
  </conditionalFormatting>
  <conditionalFormatting sqref="C16">
    <cfRule type="expression" dxfId="212" priority="34">
      <formula>AND($C16-TODAY()&lt;30,TODAY()&lt;$C16)</formula>
    </cfRule>
  </conditionalFormatting>
  <conditionalFormatting sqref="C16">
    <cfRule type="cellIs" dxfId="211" priority="35" stopIfTrue="1" operator="lessThan">
      <formula>$B$2</formula>
    </cfRule>
  </conditionalFormatting>
  <conditionalFormatting sqref="B16">
    <cfRule type="cellIs" dxfId="210" priority="33" stopIfTrue="1" operator="equal">
      <formula>"已过期"</formula>
    </cfRule>
  </conditionalFormatting>
  <conditionalFormatting sqref="C14:C15">
    <cfRule type="expression" dxfId="209" priority="31">
      <formula>AND($C14-TODAY()&lt;30,TODAY()&lt;$C14)</formula>
    </cfRule>
  </conditionalFormatting>
  <conditionalFormatting sqref="C14:C15">
    <cfRule type="cellIs" dxfId="208" priority="32" stopIfTrue="1" operator="lessThan">
      <formula>$B$2</formula>
    </cfRule>
  </conditionalFormatting>
  <conditionalFormatting sqref="C14">
    <cfRule type="expression" dxfId="207" priority="29">
      <formula>AND($C14-TODAY()&lt;30,TODAY()&lt;$C14)</formula>
    </cfRule>
  </conditionalFormatting>
  <conditionalFormatting sqref="C14">
    <cfRule type="cellIs" dxfId="206" priority="30" stopIfTrue="1" operator="lessThan">
      <formula>$B$2</formula>
    </cfRule>
  </conditionalFormatting>
  <conditionalFormatting sqref="C15">
    <cfRule type="expression" dxfId="205" priority="27">
      <formula>AND($C15-TODAY()&lt;30,TODAY()&lt;$C15)</formula>
    </cfRule>
  </conditionalFormatting>
  <conditionalFormatting sqref="C15">
    <cfRule type="cellIs" dxfId="204" priority="28" stopIfTrue="1" operator="lessThan">
      <formula>$B$2</formula>
    </cfRule>
  </conditionalFormatting>
  <conditionalFormatting sqref="B14">
    <cfRule type="cellIs" dxfId="203" priority="26" stopIfTrue="1" operator="equal">
      <formula>"已过期"</formula>
    </cfRule>
  </conditionalFormatting>
  <conditionalFormatting sqref="B15">
    <cfRule type="cellIs" dxfId="202" priority="25" stopIfTrue="1" operator="equal">
      <formula>"已过期"</formula>
    </cfRule>
  </conditionalFormatting>
  <conditionalFormatting sqref="A15">
    <cfRule type="cellIs" dxfId="201" priority="24" stopIfTrue="1" operator="equal">
      <formula>"已过期"</formula>
    </cfRule>
  </conditionalFormatting>
  <conditionalFormatting sqref="C15">
    <cfRule type="expression" dxfId="200" priority="23">
      <formula>AND($C15-TODAY()&lt;30,TODAY()&lt;$C15)</formula>
    </cfRule>
  </conditionalFormatting>
  <conditionalFormatting sqref="F16">
    <cfRule type="cellIs" dxfId="199" priority="22" stopIfTrue="1" operator="lessThan">
      <formula>$B$2</formula>
    </cfRule>
  </conditionalFormatting>
  <conditionalFormatting sqref="E16 E14">
    <cfRule type="cellIs" dxfId="198" priority="21" stopIfTrue="1" operator="equal">
      <formula>"已过期"</formula>
    </cfRule>
  </conditionalFormatting>
  <conditionalFormatting sqref="E15">
    <cfRule type="cellIs" dxfId="197" priority="20" stopIfTrue="1" operator="equal">
      <formula>"已过期"</formula>
    </cfRule>
  </conditionalFormatting>
  <conditionalFormatting sqref="D15">
    <cfRule type="cellIs" dxfId="196" priority="19" stopIfTrue="1" operator="equal">
      <formula>"已过期"</formula>
    </cfRule>
  </conditionalFormatting>
  <conditionalFormatting sqref="F17">
    <cfRule type="cellIs" dxfId="195" priority="18" stopIfTrue="1" operator="lessThan">
      <formula>$B$2</formula>
    </cfRule>
  </conditionalFormatting>
  <conditionalFormatting sqref="E17">
    <cfRule type="cellIs" dxfId="194" priority="17" stopIfTrue="1" operator="equal">
      <formula>"已过期"</formula>
    </cfRule>
  </conditionalFormatting>
  <conditionalFormatting sqref="F14">
    <cfRule type="cellIs" dxfId="193" priority="16" stopIfTrue="1" operator="lessThan">
      <formula>$B$2</formula>
    </cfRule>
  </conditionalFormatting>
  <conditionalFormatting sqref="C18">
    <cfRule type="expression" dxfId="192" priority="14">
      <formula>AND($C18-TODAY()&lt;30,TODAY()&lt;$C18)</formula>
    </cfRule>
  </conditionalFormatting>
  <conditionalFormatting sqref="C18">
    <cfRule type="cellIs" dxfId="191" priority="15" stopIfTrue="1" operator="lessThan">
      <formula>$B$2</formula>
    </cfRule>
  </conditionalFormatting>
  <conditionalFormatting sqref="C18">
    <cfRule type="expression" dxfId="190" priority="12">
      <formula>AND($C18-TODAY()&lt;30,TODAY()&lt;$C18)</formula>
    </cfRule>
  </conditionalFormatting>
  <conditionalFormatting sqref="C18">
    <cfRule type="cellIs" dxfId="189" priority="13" stopIfTrue="1" operator="lessThan">
      <formula>$B$2</formula>
    </cfRule>
  </conditionalFormatting>
  <conditionalFormatting sqref="B18">
    <cfRule type="cellIs" dxfId="188" priority="11" stopIfTrue="1" operator="equal">
      <formula>"已过期"</formula>
    </cfRule>
  </conditionalFormatting>
  <conditionalFormatting sqref="C28">
    <cfRule type="expression" dxfId="187" priority="9">
      <formula>AND($C28-TODAY()&lt;30,TODAY()&lt;$C28)</formula>
    </cfRule>
  </conditionalFormatting>
  <conditionalFormatting sqref="C28">
    <cfRule type="cellIs" dxfId="186" priority="10" stopIfTrue="1" operator="lessThan">
      <formula>$B$2</formula>
    </cfRule>
  </conditionalFormatting>
  <conditionalFormatting sqref="C4">
    <cfRule type="expression" dxfId="185" priority="7">
      <formula>AND($C4-TODAY()&lt;30,TODAY()&lt;$C4)</formula>
    </cfRule>
  </conditionalFormatting>
  <conditionalFormatting sqref="C4">
    <cfRule type="cellIs" dxfId="184" priority="8" stopIfTrue="1" operator="lessThan">
      <formula>$B$2</formula>
    </cfRule>
  </conditionalFormatting>
  <conditionalFormatting sqref="C8">
    <cfRule type="expression" dxfId="183" priority="5">
      <formula>AND($C8-TODAY()&lt;30,TODAY()&lt;$C8)</formula>
    </cfRule>
  </conditionalFormatting>
  <conditionalFormatting sqref="C8">
    <cfRule type="cellIs" dxfId="182" priority="6" stopIfTrue="1" operator="lessThan">
      <formula>$B$2</formula>
    </cfRule>
  </conditionalFormatting>
  <conditionalFormatting sqref="C9">
    <cfRule type="expression" dxfId="181" priority="3">
      <formula>AND($C9-TODAY()&lt;30,TODAY()&lt;$C9)</formula>
    </cfRule>
  </conditionalFormatting>
  <conditionalFormatting sqref="C9">
    <cfRule type="cellIs" dxfId="180" priority="4" stopIfTrue="1" operator="lessThan">
      <formula>$B$2</formula>
    </cfRule>
  </conditionalFormatting>
  <conditionalFormatting sqref="F23">
    <cfRule type="cellIs" dxfId="179" priority="2" stopIfTrue="1" operator="lessThan">
      <formula>$B$2</formula>
    </cfRule>
  </conditionalFormatting>
  <conditionalFormatting sqref="E23">
    <cfRule type="cellIs" dxfId="178"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162</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比较法-商业租金</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'比较法-商业租金'!商业层高</vt:lpstr>
      <vt:lpstr>商业层高</vt:lpstr>
      <vt:lpstr>'比较法-商业 (2)'!商业成新度</vt:lpstr>
      <vt:lpstr>'比较法-商业租金'!商业成新度</vt:lpstr>
      <vt:lpstr>商业成新度</vt:lpstr>
      <vt:lpstr>商业繁华度</vt:lpstr>
      <vt:lpstr>'比较法-商业 (2)'!商业公共部分装修</vt:lpstr>
      <vt:lpstr>'比较法-商业租金'!商业公共部分装修</vt:lpstr>
      <vt:lpstr>商业公共部分装修</vt:lpstr>
      <vt:lpstr>'比较法-商业 (2)'!商业基础设施水平</vt:lpstr>
      <vt:lpstr>'比较法-商业租金'!商业基础设施水平</vt:lpstr>
      <vt:lpstr>商业基础设施水平</vt:lpstr>
      <vt:lpstr>'比较法-商业 (2)'!商业建筑结构</vt:lpstr>
      <vt:lpstr>'比较法-商业租金'!商业建筑结构</vt:lpstr>
      <vt:lpstr>商业建筑结构</vt:lpstr>
      <vt:lpstr>'比较法-商业 (2)'!商业交易情况</vt:lpstr>
      <vt:lpstr>'比较法-商业租金'!商业交易情况</vt:lpstr>
      <vt:lpstr>商业交易情况</vt:lpstr>
      <vt:lpstr>商业街名称</vt:lpstr>
      <vt:lpstr>'比较法-商业 (2)'!商业进深比</vt:lpstr>
      <vt:lpstr>'比较法-商业租金'!商业进深比</vt:lpstr>
      <vt:lpstr>商业进深比</vt:lpstr>
      <vt:lpstr>'比较法-商业 (2)'!商业类型</vt:lpstr>
      <vt:lpstr>'比较法-商业租金'!商业类型</vt:lpstr>
      <vt:lpstr>商业类型</vt:lpstr>
      <vt:lpstr>'比较法-商业 (2)'!商业临街状况</vt:lpstr>
      <vt:lpstr>'比较法-商业租金'!商业临街状况</vt:lpstr>
      <vt:lpstr>商业临街状况</vt:lpstr>
      <vt:lpstr>'比较法-商业 (2)'!商业楼层</vt:lpstr>
      <vt:lpstr>'比较法-商业租金'!商业楼层</vt:lpstr>
      <vt:lpstr>商业楼层</vt:lpstr>
      <vt:lpstr>'比较法-商业 (2)'!商业内部装修</vt:lpstr>
      <vt:lpstr>'比较法-商业租金'!商业内部装修</vt:lpstr>
      <vt:lpstr>商业内部装修</vt:lpstr>
      <vt:lpstr>'比较法-商业 (2)'!商业人流量</vt:lpstr>
      <vt:lpstr>'比较法-商业租金'!商业人流量</vt:lpstr>
      <vt:lpstr>商业人流量</vt:lpstr>
      <vt:lpstr>'比较法-商业 (2)'!商业业态</vt:lpstr>
      <vt:lpstr>'比较法-商业租金'!商业业态</vt:lpstr>
      <vt:lpstr>商业业态</vt:lpstr>
      <vt:lpstr>'比较法-商业 (2)'!商业用途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2020-04-09T05:51:18Z</dcterms:modified>
</cp:coreProperties>
</file>