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90" windowWidth="11385" windowHeight="940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'比较法-商业租金'!$B$116:$M$116</definedName>
    <definedName name="商业层高">'比较法-商业'!$B$116:$M$116</definedName>
    <definedName name="商业成新度" localSheetId="26">'比较法-商业租金'!$B$109:$M$109</definedName>
    <definedName name="商业成新度">'比较法-商业'!$B$109:$M$109</definedName>
    <definedName name="商业繁华度">定义!$L$1:$L$6</definedName>
    <definedName name="商业公共部分装修" localSheetId="26">'比较法-商业租金'!$B$107:$M$107</definedName>
    <definedName name="商业公共部分装修">'比较法-商业'!$B$107:$M$107</definedName>
    <definedName name="商业基础设施水平" localSheetId="26">'比较法-商业租金'!$B$112:$M$112</definedName>
    <definedName name="商业基础设施水平">'比较法-商业'!$B$112:$M$112</definedName>
    <definedName name="商业建筑结构" localSheetId="26">'比较法-商业租金'!$B$105:$M$105</definedName>
    <definedName name="商业建筑结构">'比较法-商业'!$B$105:$M$105</definedName>
    <definedName name="商业交易情况" localSheetId="26">'比较法-商业租金'!$A$61:$M$61</definedName>
    <definedName name="商业交易情况">'比较法-商业'!$A$61:$M$61</definedName>
    <definedName name="商业街名称">修正!$C$59:$C$119</definedName>
    <definedName name="商业进深比" localSheetId="26">'比较法-商业租金'!$B$120:$M$120</definedName>
    <definedName name="商业进深比">'比较法-商业'!$B$120:$M$120</definedName>
    <definedName name="商业类型" localSheetId="26">'比较法-商业租金'!$B$100:$M$100</definedName>
    <definedName name="商业类型">'比较法-商业'!$B$100:$M$100</definedName>
    <definedName name="商业临街状况" localSheetId="26">'比较法-商业租金'!$B$86:$M$86</definedName>
    <definedName name="商业临街状况">'比较法-商业'!$B$86:$M$86</definedName>
    <definedName name="商业楼层" localSheetId="26">'比较法-商业租金'!$B$92:$M$92</definedName>
    <definedName name="商业楼层">'比较法-商业'!$B$92:$M$92</definedName>
    <definedName name="商业内部装修" localSheetId="26">'比较法-商业租金'!$B$122:$M$122</definedName>
    <definedName name="商业内部装修">'比较法-商业'!$B$122:$M$122</definedName>
    <definedName name="商业人流量" localSheetId="26">'比较法-商业租金'!$B$90:$M$90</definedName>
    <definedName name="商业人流量">'比较法-商业'!$B$90:$M$90</definedName>
    <definedName name="商业业态" localSheetId="26">'比较法-商业租金'!$B$114:$M$114</definedName>
    <definedName name="商业业态">'比较法-商业'!$B$114:$M$114</definedName>
    <definedName name="商业用途" localSheetId="26">'比较法-商业租金'!$B$63:$M$63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A6" i="1"/>
  <c r="G1" i="15"/>
  <c r="R47" i="78"/>
  <c r="B2" i="1"/>
  <c r="C7" i="78"/>
  <c r="C58"/>
  <c r="D58"/>
  <c r="E58"/>
  <c r="F58"/>
  <c r="G58"/>
  <c r="H58"/>
  <c r="I58"/>
  <c r="J58"/>
  <c r="K58"/>
  <c r="L58"/>
  <c r="M58"/>
  <c r="N58"/>
  <c r="O58"/>
  <c r="F7"/>
  <c r="AA7"/>
  <c r="F8"/>
  <c r="AA8"/>
  <c r="C63"/>
  <c r="F9"/>
  <c r="AA9"/>
  <c r="G66"/>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F19" i="6"/>
  <c r="C33" i="78"/>
  <c r="F33"/>
  <c r="AA33"/>
  <c r="F34"/>
  <c r="AA34"/>
  <c r="F35"/>
  <c r="AA35"/>
  <c r="D111"/>
  <c r="E111"/>
  <c r="F111"/>
  <c r="N6" i="1"/>
  <c r="C36" i="78"/>
  <c r="F36"/>
  <c r="AA36"/>
  <c r="F37"/>
  <c r="AA37"/>
  <c r="F38"/>
  <c r="AA38"/>
  <c r="F39"/>
  <c r="AA39"/>
  <c r="F40"/>
  <c r="AA40"/>
  <c r="F41"/>
  <c r="AA41"/>
  <c r="D123"/>
  <c r="E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U6" i="1"/>
  <c r="F6" i="15"/>
  <c r="F8"/>
  <c r="E19" i="6"/>
  <c r="K6" i="1"/>
  <c r="F7" i="15"/>
  <c r="F9"/>
  <c r="C6"/>
  <c r="C1" i="73"/>
  <c r="L1"/>
  <c r="F4"/>
  <c r="I1"/>
  <c r="B39" i="1"/>
  <c r="F11" i="15"/>
  <c r="C10"/>
  <c r="C5"/>
  <c r="B43" i="1"/>
  <c r="B41"/>
  <c r="F32" i="15"/>
  <c r="C42" i="1"/>
  <c r="C32" i="15"/>
  <c r="F33"/>
  <c r="C33"/>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R6" i="1"/>
  <c r="F35" i="15"/>
  <c r="B52" i="1"/>
  <c r="F34" i="15"/>
  <c r="C34"/>
  <c r="C31"/>
  <c r="M6" i="1"/>
  <c r="S6"/>
  <c r="T6"/>
  <c r="C14" i="15"/>
  <c r="F15"/>
  <c r="C15"/>
  <c r="F16"/>
  <c r="C16"/>
  <c r="F43"/>
  <c r="F17"/>
  <c r="C17"/>
  <c r="F18"/>
  <c r="C18"/>
  <c r="C19"/>
  <c r="F20"/>
  <c r="C20"/>
  <c r="J1" i="73"/>
  <c r="D5"/>
  <c r="B22" i="1"/>
  <c r="E1" i="73"/>
  <c r="K1"/>
  <c r="G1"/>
  <c r="B40" i="1"/>
  <c r="F24" i="15"/>
  <c r="F23"/>
  <c r="C23"/>
  <c r="F26"/>
  <c r="C26"/>
  <c r="F21"/>
  <c r="C24"/>
  <c r="C27"/>
  <c r="F28"/>
  <c r="C28"/>
  <c r="C29"/>
  <c r="F36"/>
  <c r="C36"/>
  <c r="Y6" i="1"/>
  <c r="F13" i="15"/>
  <c r="C13"/>
  <c r="F37"/>
  <c r="C37"/>
  <c r="F38"/>
  <c r="C38"/>
  <c r="C30"/>
  <c r="C39"/>
  <c r="F42"/>
  <c r="F40"/>
  <c r="E15" i="4"/>
  <c r="F6" i="1"/>
  <c r="L48" i="15"/>
  <c r="M47"/>
  <c r="B24" i="1"/>
  <c r="J50" i="15"/>
  <c r="J51"/>
  <c r="J53"/>
  <c r="F1"/>
  <c r="AE6" i="1"/>
  <c r="F41" i="15"/>
  <c r="C40"/>
  <c r="M6"/>
  <c r="M8"/>
  <c r="M7"/>
  <c r="M9"/>
  <c r="J6"/>
  <c r="M11"/>
  <c r="J10"/>
  <c r="J5"/>
  <c r="J26"/>
  <c r="J29"/>
  <c r="J60"/>
  <c r="L46"/>
  <c r="B2"/>
  <c r="C19" i="9"/>
  <c r="E47" i="33"/>
  <c r="R47"/>
  <c r="C7"/>
  <c r="C58"/>
  <c r="D58"/>
  <c r="E58"/>
  <c r="F58"/>
  <c r="G58"/>
  <c r="H58"/>
  <c r="I58"/>
  <c r="J58"/>
  <c r="K58"/>
  <c r="L58"/>
  <c r="M58"/>
  <c r="N58"/>
  <c r="O58"/>
  <c r="F7"/>
  <c r="AA7"/>
  <c r="F8"/>
  <c r="AA8"/>
  <c r="C63"/>
  <c r="F9"/>
  <c r="AA9"/>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C33"/>
  <c r="F33"/>
  <c r="AA33"/>
  <c r="F34"/>
  <c r="AA34"/>
  <c r="F35"/>
  <c r="AA35"/>
  <c r="D111"/>
  <c r="E111"/>
  <c r="F111"/>
  <c r="C36"/>
  <c r="F36"/>
  <c r="AA36"/>
  <c r="F37"/>
  <c r="AA37"/>
  <c r="F38"/>
  <c r="AA38"/>
  <c r="F39"/>
  <c r="AA39"/>
  <c r="F40"/>
  <c r="AA40"/>
  <c r="F41"/>
  <c r="AA41"/>
  <c r="D123"/>
  <c r="E123"/>
  <c r="F42"/>
  <c r="AA42"/>
  <c r="D125"/>
  <c r="F43"/>
  <c r="AA43"/>
  <c r="B126"/>
  <c r="F44"/>
  <c r="AA44"/>
  <c r="B128"/>
  <c r="F45"/>
  <c r="AA45"/>
  <c r="B130"/>
  <c r="F46"/>
  <c r="AA46"/>
  <c r="R48"/>
  <c r="G47"/>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I47"/>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D3"/>
  <c r="B2"/>
  <c r="D19" i="9"/>
  <c r="C17"/>
  <c r="D17"/>
  <c r="C18"/>
  <c r="D18"/>
  <c r="G19"/>
  <c r="C24"/>
  <c r="C32"/>
  <c r="H118"/>
  <c r="H101"/>
  <c r="E107"/>
  <c r="H105"/>
  <c r="H106"/>
  <c r="H103"/>
  <c r="H107"/>
  <c r="M49"/>
  <c r="D45"/>
  <c r="C64"/>
  <c r="C63"/>
  <c r="C75"/>
  <c r="C66"/>
  <c r="C67"/>
  <c r="D68"/>
  <c r="C68"/>
  <c r="D54"/>
  <c r="D48"/>
  <c r="M52"/>
  <c r="I55"/>
  <c r="D55"/>
  <c r="M53"/>
  <c r="C72"/>
  <c r="D78"/>
  <c r="C78"/>
  <c r="C76"/>
  <c r="D77"/>
  <c r="C77"/>
  <c r="C74"/>
  <c r="C73"/>
  <c r="C79"/>
  <c r="C80"/>
  <c r="C81"/>
  <c r="D58"/>
  <c r="D56"/>
  <c r="M54"/>
  <c r="D59"/>
  <c r="M55"/>
  <c r="K6" i="4"/>
  <c r="M56" i="9"/>
  <c r="N57"/>
  <c r="N59"/>
  <c r="E111"/>
  <c r="H111"/>
  <c r="D126"/>
  <c r="I14" i="74"/>
  <c r="D14"/>
  <c r="D122" i="9"/>
  <c r="G14" i="74"/>
  <c r="E125" i="78"/>
  <c r="F125"/>
  <c r="G125"/>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D91"/>
  <c r="E91"/>
  <c r="F91"/>
  <c r="G91"/>
  <c r="H91"/>
  <c r="I91"/>
  <c r="J91"/>
  <c r="K91"/>
  <c r="L91"/>
  <c r="M91"/>
  <c r="D87"/>
  <c r="E87"/>
  <c r="F87"/>
  <c r="G87"/>
  <c r="H87"/>
  <c r="I87"/>
  <c r="J87"/>
  <c r="K87"/>
  <c r="L87"/>
  <c r="M87"/>
  <c r="E85"/>
  <c r="F85"/>
  <c r="G85"/>
  <c r="D83"/>
  <c r="E83"/>
  <c r="F83"/>
  <c r="G83"/>
  <c r="E81"/>
  <c r="F81"/>
  <c r="G81"/>
  <c r="E79"/>
  <c r="F79"/>
  <c r="G79"/>
  <c r="E77"/>
  <c r="F77"/>
  <c r="G77"/>
  <c r="D69"/>
  <c r="E69"/>
  <c r="F69"/>
  <c r="G69"/>
  <c r="H69"/>
  <c r="I69"/>
  <c r="J69"/>
  <c r="K69"/>
  <c r="L69"/>
  <c r="M69"/>
  <c r="M67"/>
  <c r="L67"/>
  <c r="K67"/>
  <c r="J67"/>
  <c r="I67"/>
  <c r="H67"/>
  <c r="G67"/>
  <c r="F67"/>
  <c r="E67"/>
  <c r="D67"/>
  <c r="C67"/>
  <c r="H66"/>
  <c r="I66"/>
  <c r="I54"/>
  <c r="J54"/>
  <c r="G54"/>
  <c r="H54"/>
  <c r="E54"/>
  <c r="F54"/>
  <c r="I48"/>
  <c r="E48"/>
  <c r="I53"/>
  <c r="J53"/>
  <c r="G48"/>
  <c r="G53"/>
  <c r="H53"/>
  <c r="E53"/>
  <c r="F53"/>
  <c r="I52"/>
  <c r="J52"/>
  <c r="G52"/>
  <c r="H52"/>
  <c r="E52"/>
  <c r="F52"/>
  <c r="P49"/>
  <c r="C49"/>
  <c r="P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M18" i="9"/>
  <c r="B118"/>
  <c r="B14" i="74"/>
  <c r="U20" i="1"/>
  <c r="BB5" i="3"/>
  <c r="BB10"/>
  <c r="BC10"/>
  <c r="BD10"/>
  <c r="BE10"/>
  <c r="BF10"/>
  <c r="BG10"/>
  <c r="BH10"/>
  <c r="BI10"/>
  <c r="BJ10"/>
  <c r="BK10"/>
  <c r="BC5"/>
  <c r="BD5"/>
  <c r="BE5"/>
  <c r="BF5"/>
  <c r="BG5"/>
  <c r="BH5"/>
  <c r="BI5"/>
  <c r="BJ5"/>
  <c r="BK5"/>
  <c r="E8" i="6"/>
  <c r="F27"/>
  <c r="L20"/>
  <c r="K20"/>
  <c r="M20"/>
  <c r="I20"/>
  <c r="H20"/>
  <c r="D20"/>
  <c r="R20"/>
  <c r="A7" i="1"/>
  <c r="R7"/>
  <c r="AE7"/>
  <c r="B3" i="15"/>
  <c r="C20" i="9"/>
  <c r="B3" i="33"/>
  <c r="D20" i="9"/>
  <c r="G20"/>
  <c r="R24" i="31"/>
  <c r="B25"/>
  <c r="B26"/>
  <c r="B24"/>
  <c r="K7" i="1"/>
  <c r="A8"/>
  <c r="K8"/>
  <c r="A9"/>
  <c r="K9"/>
  <c r="A10"/>
  <c r="K10"/>
  <c r="A11"/>
  <c r="K11"/>
  <c r="A12"/>
  <c r="K12"/>
  <c r="A13"/>
  <c r="K13"/>
  <c r="K14"/>
  <c r="BM5" i="3"/>
  <c r="BO5"/>
  <c r="F29" i="6"/>
  <c r="BN5" i="3"/>
  <c r="BP5"/>
  <c r="G29" i="6"/>
  <c r="E29"/>
  <c r="K15" i="1"/>
  <c r="K16"/>
  <c r="B29"/>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C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I107" i="40"/>
  <c r="B22" i="31"/>
  <c r="N56" i="9"/>
  <c r="K56"/>
  <c r="E15" i="74"/>
  <c r="F15"/>
  <c r="E16"/>
  <c r="F16"/>
  <c r="E17"/>
  <c r="F17"/>
  <c r="E18"/>
  <c r="F18"/>
  <c r="E19"/>
  <c r="F19"/>
  <c r="E20"/>
  <c r="F20"/>
  <c r="E21"/>
  <c r="F21"/>
  <c r="E22"/>
  <c r="F22"/>
  <c r="E23"/>
  <c r="F23"/>
  <c r="B3"/>
  <c r="F34" i="68"/>
  <c r="M7" i="1"/>
  <c r="M8"/>
  <c r="M9"/>
  <c r="M10"/>
  <c r="M11"/>
  <c r="M12"/>
  <c r="M13"/>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E5" i="6"/>
  <c r="D9" i="68"/>
  <c r="E6" i="6"/>
  <c r="D10" i="68"/>
  <c r="D19"/>
  <c r="D37"/>
  <c r="E37"/>
  <c r="C37"/>
  <c r="F38"/>
  <c r="C38"/>
  <c r="C3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A122"/>
  <c r="A8" i="52"/>
  <c r="A126" i="9"/>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E26"/>
  <c r="G26"/>
  <c r="I26"/>
  <c r="K26"/>
  <c r="M26"/>
  <c r="O26"/>
  <c r="Q26"/>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E25"/>
  <c r="G25"/>
  <c r="I25"/>
  <c r="K25"/>
  <c r="M25"/>
  <c r="O25"/>
  <c r="Q25"/>
  <c r="R25"/>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24" i="15"/>
  <c r="O8" i="1"/>
  <c r="P8"/>
  <c r="O13"/>
  <c r="P13"/>
  <c r="F35" i="11"/>
  <c r="F36"/>
  <c r="F38"/>
  <c r="E37"/>
  <c r="F20"/>
  <c r="F21"/>
  <c r="C21"/>
  <c r="F7"/>
  <c r="C7"/>
  <c r="C5"/>
  <c r="F12" i="12"/>
  <c r="F13"/>
  <c r="F15"/>
  <c r="E14"/>
  <c r="E19"/>
  <c r="E20"/>
  <c r="E17"/>
  <c r="F22"/>
  <c r="F23"/>
  <c r="F55" i="9"/>
  <c r="O53"/>
  <c r="D89"/>
  <c r="C89"/>
  <c r="C87"/>
  <c r="G12" i="1"/>
  <c r="J55" i="9"/>
  <c r="B31" i="1"/>
  <c r="M20" i="15"/>
  <c r="T4" i="1"/>
  <c r="D3" i="35"/>
  <c r="E59" i="9"/>
  <c r="N55"/>
  <c r="K55"/>
  <c r="F59"/>
  <c r="N54"/>
  <c r="N53"/>
  <c r="E48"/>
  <c r="N52"/>
  <c r="O55"/>
  <c r="F56"/>
  <c r="O54"/>
  <c r="D101"/>
  <c r="C101"/>
  <c r="H104"/>
  <c r="D10" i="53"/>
  <c r="B26" i="72"/>
  <c r="C30" i="40"/>
  <c r="C28"/>
  <c r="C23" i="39"/>
  <c r="C19" i="40"/>
  <c r="D27" i="9"/>
  <c r="C25"/>
  <c r="E90"/>
  <c r="H77"/>
  <c r="D11" i="53"/>
  <c r="B27" i="72"/>
  <c r="D12" i="53"/>
  <c r="B28" i="72"/>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D113" i="33"/>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D101"/>
  <c r="E101"/>
  <c r="D87"/>
  <c r="E87"/>
  <c r="E85"/>
  <c r="E81"/>
  <c r="E79"/>
  <c r="E77"/>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S505" i="31"/>
  <c r="S503"/>
  <c r="S501"/>
  <c r="S499"/>
  <c r="O27"/>
  <c r="O28"/>
  <c r="M27"/>
  <c r="M28"/>
  <c r="S25"/>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S28" i="31"/>
  <c r="S27"/>
  <c r="S26"/>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S8" i="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F54" i="9"/>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N61" i="9"/>
  <c r="H112"/>
  <c r="D21" i="53"/>
  <c r="B39" i="72"/>
  <c r="D19" i="53"/>
  <c r="B38" i="72"/>
  <c r="D20" i="53"/>
  <c r="B40" i="72"/>
  <c r="B8" i="74"/>
  <c r="D127" i="9"/>
  <c r="D13" i="52"/>
  <c r="D12"/>
  <c r="D8" i="74"/>
  <c r="C8"/>
  <c r="AD3" i="71"/>
  <c r="B4" i="62"/>
  <c r="B71" i="72"/>
  <c r="C65" i="40"/>
  <c r="D63"/>
  <c r="G16" i="1"/>
  <c r="C36" i="11"/>
  <c r="C33"/>
  <c r="C39"/>
  <c r="C46"/>
  <c r="C45"/>
  <c r="C13" i="12"/>
  <c r="C30" i="69"/>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85" i="9"/>
  <c r="C93"/>
  <c r="C86"/>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E80" i="9"/>
  <c r="E81"/>
  <c r="C80" i="15"/>
  <c r="C79"/>
  <c r="C58" i="67"/>
  <c r="C67"/>
  <c r="C68"/>
  <c r="C95" i="9"/>
  <c r="Q67" i="67"/>
  <c r="Q67" i="15"/>
  <c r="C96" i="9"/>
  <c r="E96"/>
  <c r="E97"/>
  <c r="C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<sst xmlns="http://schemas.openxmlformats.org/spreadsheetml/2006/main" count="7707" uniqueCount="3142">
  <si>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</si>
  <si>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</si>
  <si>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</si>
  <si>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</si>
  <si>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</si>
  <si>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</si>
  <si>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</si>
  <si>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</si>
  <si>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</si>
  <si>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</si>
  <si>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</si>
  <si>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</si>
  <si>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</si>
  <si>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</si>
  <si>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</si>
  <si>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</si>
  <si>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</si>
  <si>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</si>
  <si>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</si>
  <si>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</si>
  <si>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</si>
  <si>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</si>
  <si>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</si>
  <si>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</si>
  <si>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</si>
  <si>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</si>
  <si>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</si>
  <si>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</si>
  <si>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</si>
  <si>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</si>
  <si>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</si>
  <si>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</si>
  <si>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</si>
  <si>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</si>
  <si>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</si>
  <si>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</si>
  <si>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</si>
  <si>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</si>
  <si>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</si>
  <si>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</si>
  <si>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</si>
  <si>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</si>
  <si>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</si>
  <si>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</si>
  <si>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</si>
  <si>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</si>
  <si>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</si>
  <si>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</si>
  <si>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</si>
  <si>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</si>
  <si>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</si>
  <si>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</si>
  <si>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</si>
  <si>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</si>
  <si>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</si>
  <si>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</si>
  <si>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</si>
  <si>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</si>
  <si>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</si>
  <si>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</si>
  <si>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</si>
  <si>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</si>
  <si>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</si>
  <si>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</si>
  <si>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</si>
  <si>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</si>
  <si>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</si>
  <si>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</si>
  <si>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</si>
  <si>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</si>
  <si>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</si>
  <si>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</si>
  <si>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</si>
  <si>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</si>
  <si>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</si>
  <si>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</si>
  <si>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</si>
  <si>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</si>
  <si>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</si>
  <si>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</si>
  <si>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</si>
  <si>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</si>
  <si>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</si>
  <si>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</si>
  <si>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</si>
  <si>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</si>
  <si>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</si>
  <si>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</si>
  <si>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</si>
  <si>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</si>
  <si>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</si>
  <si>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</si>
  <si>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</si>
  <si>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</si>
  <si>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</si>
  <si>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</si>
  <si>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</si>
  <si>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</si>
  <si>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</si>
  <si>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</si>
  <si>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</si>
  <si>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</si>
  <si>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</si>
  <si>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</si>
  <si>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</si>
  <si>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</si>
  <si>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</si>
  <si>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</si>
  <si>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</si>
  <si>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</si>
  <si>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</si>
  <si>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</si>
  <si>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</si>
  <si>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</si>
  <si>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</si>
  <si>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</si>
  <si>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</si>
  <si>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</si>
  <si>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</si>
  <si>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</si>
  <si>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</si>
  <si>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</si>
  <si>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</si>
  <si>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</si>
  <si>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</si>
  <si>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</si>
  <si>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</si>
  <si>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</si>
  <si>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</si>
  <si>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</si>
  <si>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</si>
  <si>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</si>
  <si>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</si>
  <si>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</si>
  <si>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</si>
  <si>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</si>
  <si>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</si>
  <si>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</si>
  <si>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</si>
  <si>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</si>
  <si>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</si>
  <si>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</si>
  <si>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</si>
  <si>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</si>
  <si>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</si>
  <si>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</si>
  <si>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</si>
  <si>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</si>
  <si>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</si>
  <si>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</si>
  <si>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</si>
  <si>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</si>
  <si>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</si>
  <si>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</si>
  <si>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</si>
  <si>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</si>
  <si>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</si>
  <si>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</si>
  <si>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</si>
  <si>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</si>
  <si>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</si>
  <si>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</si>
  <si>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</si>
  <si>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</si>
  <si>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</si>
  <si>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</si>
  <si>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</si>
  <si>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</si>
  <si>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</si>
  <si>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</si>
  <si>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</si>
  <si>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</si>
  <si>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</si>
  <si>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</si>
  <si>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</si>
  <si>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</si>
  <si>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</si>
  <si>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</si>
  <si>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</si>
  <si>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</si>
  <si>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</si>
  <si>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</si>
  <si>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</si>
  <si>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</si>
  <si>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</si>
  <si>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</si>
  <si>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</si>
  <si>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</si>
  <si>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</si>
  <si>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</si>
  <si>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</si>
  <si>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</si>
  <si>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</si>
  <si>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</si>
  <si>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</si>
  <si>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</si>
  <si>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</si>
  <si>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</si>
  <si>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</si>
  <si>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</si>
  <si>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</si>
  <si>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</si>
  <si>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</si>
  <si>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</si>
  <si>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</si>
  <si>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</si>
  <si>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</si>
  <si>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</si>
  <si>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</si>
  <si>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</si>
  <si>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</si>
  <si>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</si>
  <si>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</si>
  <si>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</si>
  <si>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</si>
  <si>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</si>
  <si>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</si>
  <si>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</si>
  <si>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</si>
  <si>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</si>
  <si>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</si>
  <si>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</si>
  <si>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</si>
  <si>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</si>
  <si>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</si>
  <si>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</si>
  <si>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</si>
  <si>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</si>
  <si>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</si>
  <si>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</si>
  <si>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</si>
  <si>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</si>
  <si>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</si>
  <si>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</si>
  <si>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</si>
  <si>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</si>
  <si>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</si>
  <si>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</si>
  <si>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</si>
  <si>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</si>
  <si>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</si>
  <si>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</si>
  <si>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</si>
  <si>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</si>
  <si>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</si>
  <si>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</si>
  <si>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</si>
  <si>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</si>
  <si>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</si>
  <si>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</si>
  <si>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</si>
  <si>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</si>
  <si>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</si>
  <si>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</si>
  <si>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</si>
  <si>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</si>
  <si>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</si>
  <si>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</si>
  <si>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</si>
  <si>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</si>
  <si>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</si>
  <si>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</si>
  <si>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</si>
  <si>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</si>
  <si>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</si>
  <si>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</si>
  <si>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</si>
  <si>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</si>
  <si>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</si>
  <si>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</si>
  <si>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</si>
  <si>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</si>
  <si>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</si>
  <si>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</si>
  <si>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</si>
  <si>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</si>
  <si>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</si>
  <si>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</si>
  <si>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</si>
  <si>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</si>
  <si>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</si>
  <si>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</si>
  <si>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</si>
  <si>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</si>
  <si>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</si>
  <si>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</si>
  <si>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</si>
  <si>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</si>
  <si>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</si>
  <si>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</si>
  <si>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</si>
  <si>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</si>
  <si>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</si>
  <si>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</si>
  <si>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</si>
  <si>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</si>
  <si>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</si>
  <si>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</si>
  <si>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</si>
  <si>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</si>
  <si>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</si>
  <si>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</si>
  <si>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</si>
  <si>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</si>
  <si>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</si>
  <si>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</si>
  <si>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</si>
  <si>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</si>
  <si>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</si>
  <si>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</si>
  <si>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</si>
  <si>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</si>
  <si>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</si>
  <si>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</si>
  <si>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</si>
  <si>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</si>
  <si>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</si>
  <si>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</si>
  <si>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</si>
  <si>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</si>
  <si>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</si>
  <si>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</si>
  <si>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</si>
  <si>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</si>
  <si>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</si>
  <si>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</si>
  <si>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</si>
  <si>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</si>
  <si>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</si>
  <si>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</si>
  <si>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</si>
  <si>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</si>
  <si>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</si>
  <si>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</si>
  <si>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</si>
  <si>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</si>
  <si>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</si>
  <si>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</si>
  <si>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</si>
  <si>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</si>
  <si>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</si>
  <si>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</si>
  <si>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</si>
  <si>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</si>
  <si>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</si>
  <si>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</si>
  <si>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</si>
  <si>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</si>
  <si>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</si>
  <si>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</si>
  <si>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</si>
  <si>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</si>
  <si>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</si>
  <si>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</si>
  <si>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</si>
  <si>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</si>
  <si>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</si>
  <si>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</si>
  <si>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</si>
  <si>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</si>
  <si>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</si>
  <si>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</si>
  <si>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</si>
  <si>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</si>
  <si>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</si>
  <si>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</si>
  <si>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</si>
  <si>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</si>
  <si>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</si>
  <si>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</si>
  <si>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</si>
  <si>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</si>
  <si>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</si>
  <si>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</si>
  <si>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</si>
  <si>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</si>
  <si>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</si>
  <si>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</si>
  <si>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</si>
  <si>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</si>
  <si>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</si>
  <si>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</si>
  <si>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</si>
  <si>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</si>
  <si>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</si>
  <si>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</si>
  <si>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</si>
  <si>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</si>
  <si>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</si>
  <si>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</si>
  <si>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</si>
  <si>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</si>
  <si>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</si>
  <si>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</si>
  <si>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</si>
  <si>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</si>
  <si>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</si>
  <si>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</si>
  <si>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</si>
  <si>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</si>
  <si>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</si>
  <si>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</si>
  <si>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</si>
  <si>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</si>
  <si>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</si>
  <si>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</si>
  <si>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</si>
  <si>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</si>
  <si>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</si>
  <si>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</si>
  <si>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</si>
  <si>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</si>
  <si>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</si>
  <si>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</si>
  <si>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</si>
  <si>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</si>
  <si>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</si>
  <si>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</si>
  <si>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</si>
  <si>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</si>
  <si>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</si>
  <si>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</si>
  <si>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</si>
  <si>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</si>
  <si>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</si>
  <si>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</si>
  <si>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</si>
  <si>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</si>
  <si>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</si>
  <si>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</si>
  <si>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</si>
  <si>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</si>
  <si>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</si>
  <si>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</si>
  <si>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</si>
  <si>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</si>
  <si>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</si>
  <si>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</si>
  <si>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</si>
  <si>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</si>
  <si>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</si>
  <si>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</si>
  <si>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</si>
  <si>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</si>
  <si>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</si>
  <si>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</si>
  <si>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</si>
  <si>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</si>
  <si>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</si>
  <si>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</si>
  <si>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</si>
  <si>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</si>
  <si>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</si>
  <si>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</si>
  <si>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</si>
  <si>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</si>
  <si>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</si>
  <si>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</si>
  <si>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</si>
  <si>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</si>
  <si>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</si>
  <si>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</si>
  <si>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</si>
  <si>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</si>
  <si>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</si>
  <si>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</si>
  <si>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</si>
  <si>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</si>
  <si>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</si>
  <si>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</si>
  <si>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</si>
  <si>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</si>
  <si>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</si>
  <si>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</si>
  <si>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</si>
  <si>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</si>
  <si>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</si>
  <si>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</si>
  <si>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</si>
  <si>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</si>
  <si>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</si>
  <si>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</si>
  <si>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</si>
  <si>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</si>
  <si>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</si>
  <si>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</si>
  <si>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</si>
  <si>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</si>
  <si>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</si>
  <si>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</si>
  <si>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</si>
  <si>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</si>
  <si>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</si>
  <si>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</si>
  <si>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</si>
  <si>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</si>
  <si>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</si>
  <si>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</si>
  <si>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</si>
  <si>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</si>
  <si>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</si>
  <si>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</si>
  <si>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</si>
  <si>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</si>
  <si>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</si>
  <si>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</si>
  <si>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</si>
  <si>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</si>
  <si>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</si>
  <si>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</si>
  <si>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</si>
  <si>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</si>
  <si>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</si>
  <si>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</si>
  <si>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</si>
  <si>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</si>
  <si>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</si>
  <si>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</si>
  <si>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</si>
  <si>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</si>
  <si>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</si>
  <si>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</si>
  <si>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</si>
  <si>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</si>
  <si>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</si>
  <si>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</si>
  <si>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</si>
  <si>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</si>
  <si>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</si>
  <si>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</si>
  <si>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</si>
  <si>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</si>
  <si>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</si>
  <si>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</si>
  <si>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</si>
  <si>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</si>
  <si>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</si>
  <si>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</si>
  <si>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</si>
  <si>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</si>
  <si>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</si>
  <si>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</si>
  <si>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</si>
  <si>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</si>
  <si>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</si>
  <si>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</si>
  <si>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</si>
  <si>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</si>
  <si>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</si>
  <si>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</si>
  <si>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</si>
  <si>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</si>
  <si>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</si>
  <si>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</si>
  <si>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</si>
  <si>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</si>
  <si>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</si>
  <si>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</si>
  <si>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</si>
  <si>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</si>
  <si>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</si>
  <si>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</si>
  <si>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</si>
  <si>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</si>
  <si>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</si>
  <si>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</si>
  <si>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</si>
  <si>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</si>
  <si>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</si>
  <si>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</si>
  <si>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</si>
  <si>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</si>
  <si>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</si>
  <si>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</si>
  <si>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</si>
  <si>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</si>
  <si>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</si>
  <si>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</si>
  <si>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</si>
  <si>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</si>
  <si>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</si>
  <si>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</si>
  <si>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</si>
  <si>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</si>
  <si>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</si>
  <si>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</si>
  <si>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</si>
  <si>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</si>
  <si>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</si>
  <si>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</si>
  <si>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</si>
  <si>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</si>
  <si>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</si>
  <si>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</si>
  <si>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</si>
  <si>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</si>
  <si>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</si>
  <si>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</si>
  <si>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</si>
  <si>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</si>
  <si>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</si>
  <si>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</si>
  <si>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</si>
  <si>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</si>
  <si>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</si>
  <si>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</si>
  <si>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</si>
  <si>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</si>
  <si>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</si>
  <si>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</si>
  <si>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</si>
  <si>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</si>
  <si>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</si>
  <si>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</si>
  <si>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</si>
  <si>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</si>
  <si>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</si>
  <si>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</si>
  <si>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</si>
  <si>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</si>
  <si>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</si>
  <si>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</si>
  <si>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</si>
  <si>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</si>
  <si>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</si>
  <si>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</si>
  <si>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</si>
  <si>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</si>
  <si>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</si>
  <si>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</si>
  <si>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</si>
  <si>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</si>
  <si>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</si>
  <si>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</si>
  <si>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</si>
  <si>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</si>
  <si>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</si>
  <si>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</si>
  <si>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</si>
  <si>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</si>
  <si>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</si>
  <si>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</si>
  <si>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</si>
  <si>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</si>
  <si>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</si>
  <si>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</si>
  <si>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</si>
  <si>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</si>
  <si>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</si>
  <si>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</si>
  <si>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</si>
  <si>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</si>
  <si>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</si>
  <si>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</si>
  <si>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</si>
  <si>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</si>
  <si>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</si>
  <si>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</si>
  <si>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</si>
  <si>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</si>
  <si>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</si>
  <si>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</si>
  <si>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</si>
  <si>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</si>
  <si>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</si>
  <si>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</si>
  <si>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</si>
  <si>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</si>
  <si>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</si>
  <si>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</si>
  <si>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</si>
  <si>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</si>
  <si>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</si>
  <si>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</si>
  <si>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</si>
  <si>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</si>
  <si>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</si>
  <si>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</si>
  <si>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</si>
  <si>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</si>
  <si>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</si>
  <si>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</si>
  <si>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</si>
  <si>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</si>
  <si>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</si>
  <si>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</si>
  <si>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</si>
  <si>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</si>
  <si>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</si>
  <si>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</si>
  <si>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</si>
  <si>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</si>
  <si>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</si>
  <si>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</si>
  <si>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</si>
  <si>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</si>
  <si>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</si>
  <si>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</si>
  <si>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</si>
  <si>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</si>
  <si>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</si>
  <si>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</si>
  <si>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</si>
  <si>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</si>
  <si>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</si>
  <si>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</si>
  <si>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</si>
  <si>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</si>
  <si>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</si>
  <si>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</si>
  <si>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</si>
  <si>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</si>
  <si>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</si>
  <si>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</si>
  <si>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</si>
  <si>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</si>
  <si>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</si>
  <si>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</si>
  <si>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</si>
  <si>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</si>
  <si>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</si>
  <si>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</si>
  <si>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</si>
  <si>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</si>
  <si>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</si>
  <si>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</si>
  <si>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</si>
  <si>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</si>
  <si>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</si>
  <si>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</si>
  <si>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</si>
  <si>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</si>
  <si>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</si>
  <si>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</si>
  <si>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</si>
  <si>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</si>
  <si>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</si>
  <si>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</si>
  <si>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</si>
  <si>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</si>
  <si>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</si>
  <si>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</si>
  <si>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</si>
  <si>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</si>
  <si>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</si>
  <si>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</si>
  <si>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</si>
  <si>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</si>
  <si>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</si>
  <si>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</si>
  <si>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</si>
  <si>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</si>
  <si>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</si>
  <si>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</si>
  <si>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</si>
  <si>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</si>
  <si>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</si>
  <si>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</si>
  <si>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</si>
  <si>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</si>
  <si>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</si>
  <si>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</si>
  <si>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</si>
  <si>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</si>
  <si>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</si>
  <si>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</si>
  <si>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</si>
  <si>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</si>
  <si>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</si>
  <si>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</si>
  <si>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</si>
  <si>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</si>
  <si>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</si>
  <si>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</si>
  <si>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</si>
  <si>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</si>
  <si>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</si>
  <si>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</si>
  <si>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</si>
  <si>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</si>
  <si>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</si>
  <si>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</si>
  <si>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</si>
  <si>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</si>
  <si>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</si>
  <si>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</si>
  <si>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</si>
  <si>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</si>
  <si>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</si>
  <si>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</si>
  <si>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</si>
  <si>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</si>
  <si>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</si>
  <si>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</si>
  <si>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</si>
  <si>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</si>
  <si>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</si>
  <si>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</si>
  <si>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</si>
  <si>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</si>
  <si>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</si>
  <si>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</si>
  <si>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</si>
  <si>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</si>
  <si>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</si>
  <si>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</si>
  <si>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</si>
  <si>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</si>
  <si>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</si>
  <si>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</si>
  <si>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</si>
  <si>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</si>
  <si>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</si>
  <si>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</si>
  <si>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</si>
  <si>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</si>
  <si>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</si>
  <si>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</si>
  <si>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</si>
  <si>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</si>
  <si>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</si>
  <si>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</si>
  <si>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</si>
  <si>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</si>
  <si>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</si>
  <si>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</si>
  <si>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</si>
  <si>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</si>
  <si>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</si>
  <si>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</si>
  <si>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</si>
  <si>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</si>
  <si>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</si>
  <si>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</si>
  <si>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</si>
  <si>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</si>
  <si>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</si>
  <si>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</si>
  <si>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</si>
  <si>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</si>
  <si>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</si>
  <si>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</si>
  <si>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</si>
  <si>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</si>
  <si>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</si>
  <si>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</si>
  <si>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</si>
  <si>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</si>
  <si>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</si>
  <si>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</si>
  <si>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</si>
  <si>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</si>
  <si>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</si>
  <si>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</si>
  <si>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</si>
  <si>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</si>
  <si>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</si>
  <si>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</si>
  <si>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</si>
  <si>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</si>
  <si>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</si>
  <si>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</si>
  <si>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</si>
  <si>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</si>
  <si>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</si>
  <si>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</si>
  <si>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</si>
  <si>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</si>
  <si>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</si>
  <si>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</si>
  <si>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</si>
  <si>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</si>
  <si>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</si>
  <si>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</si>
  <si>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</si>
  <si>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</si>
  <si>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</si>
  <si>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</si>
  <si>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</si>
  <si>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</si>
  <si>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</si>
  <si>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</si>
  <si>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</si>
  <si>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</si>
  <si>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</si>
  <si>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</si>
  <si>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</si>
  <si>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</si>
  <si>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</si>
  <si>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</si>
  <si>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</si>
  <si>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</si>
  <si>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</si>
  <si>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</si>
  <si>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</si>
  <si>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</si>
  <si>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</si>
  <si>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</si>
  <si>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</si>
  <si>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</si>
  <si>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</si>
  <si>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</si>
  <si>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</si>
  <si>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</si>
  <si>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</si>
  <si>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</si>
  <si>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</si>
  <si>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</si>
  <si>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</si>
  <si>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</si>
  <si>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</si>
  <si>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</si>
  <si>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</si>
  <si>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</si>
  <si>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</si>
  <si>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</si>
  <si>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</si>
  <si>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</si>
  <si>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</si>
  <si>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</si>
  <si>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</si>
  <si>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</si>
  <si>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</si>
  <si>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</si>
  <si>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</si>
  <si>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</si>
  <si>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</si>
  <si>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</si>
  <si>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</si>
  <si>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</si>
  <si>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</si>
  <si>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</si>
  <si>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</si>
  <si>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</si>
  <si>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</si>
  <si>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</si>
  <si>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</si>
  <si>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</si>
  <si>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</si>
  <si>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</si>
  <si>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</si>
  <si>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</si>
  <si>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</si>
  <si>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</si>
  <si>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</si>
  <si>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</si>
  <si>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</si>
  <si>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</si>
  <si>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</si>
  <si>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</si>
  <si>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</si>
  <si>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</si>
  <si>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</si>
  <si>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</si>
  <si>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</si>
  <si>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</si>
  <si>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</si>
  <si>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</si>
  <si>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</si>
  <si>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</si>
  <si>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</si>
  <si>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</si>
  <si>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</si>
  <si>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</si>
  <si>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</si>
  <si>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</si>
  <si>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</si>
  <si>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</si>
  <si>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</si>
  <si>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</si>
  <si>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</si>
  <si>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</si>
  <si>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</si>
  <si>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</si>
  <si>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</si>
  <si>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</si>
  <si>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</si>
  <si>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</si>
  <si>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</si>
  <si>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</si>
  <si>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</si>
  <si>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</si>
  <si>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</si>
  <si>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</si>
  <si>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</si>
  <si>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</si>
  <si>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</si>
  <si>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</si>
  <si>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</si>
  <si>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</si>
  <si>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</si>
  <si>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</si>
  <si>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</si>
  <si>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</si>
  <si>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</si>
  <si>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</si>
  <si>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</si>
  <si>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</si>
  <si>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</si>
  <si>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</si>
  <si>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</si>
  <si>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</si>
  <si>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</si>
  <si>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</si>
  <si>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</si>
  <si>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</si>
  <si>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</si>
  <si>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</si>
  <si>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</si>
  <si>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</si>
  <si>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</si>
  <si>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</si>
  <si>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</si>
  <si>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</si>
  <si>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</si>
  <si>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</si>
  <si>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</si>
  <si>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</si>
  <si>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</si>
  <si>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</si>
  <si>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</si>
  <si>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</si>
  <si>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</si>
  <si>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</si>
  <si>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</si>
  <si>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</si>
  <si>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</si>
  <si>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</si>
  <si>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</si>
  <si>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</si>
  <si>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</si>
  <si>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</si>
  <si>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</si>
  <si>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</si>
  <si>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</si>
  <si>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</si>
  <si>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</si>
  <si>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</si>
  <si>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</si>
  <si>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</si>
  <si>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</si>
  <si>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</si>
  <si>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</si>
  <si>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</si>
  <si>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</si>
  <si>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</si>
  <si>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</si>
  <si>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</si>
  <si>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</si>
  <si>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</si>
  <si>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</si>
  <si>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</si>
  <si>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</si>
  <si>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</si>
  <si>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</si>
  <si>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</si>
  <si>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</si>
  <si>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</si>
  <si>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</si>
  <si>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</si>
  <si>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</si>
  <si>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</si>
  <si>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</si>
  <si>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</si>
  <si>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</si>
  <si>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</si>
  <si>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</si>
  <si>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</si>
  <si>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</si>
  <si>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</si>
  <si>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</si>
  <si>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</si>
  <si>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</si>
  <si>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</si>
  <si>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</si>
  <si>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</si>
  <si>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</si>
  <si>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</si>
  <si>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</si>
  <si>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</si>
  <si>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</si>
  <si>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</si>
  <si>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</si>
  <si>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</si>
  <si>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</si>
  <si>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</si>
  <si>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</si>
  <si>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</si>
  <si>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</si>
  <si>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</si>
  <si>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</si>
  <si>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</si>
  <si>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</si>
  <si>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</si>
  <si>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</si>
  <si>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</si>
  <si>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</si>
  <si>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</si>
  <si>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</si>
  <si>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</si>
  <si>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</si>
  <si>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</si>
  <si>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</si>
  <si>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</si>
  <si>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</si>
  <si>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</si>
  <si>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</si>
  <si>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</si>
  <si>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</si>
  <si>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</si>
  <si>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</si>
  <si>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</si>
  <si>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</si>
  <si>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</si>
  <si>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</si>
  <si>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</si>
  <si>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</si>
  <si>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</si>
  <si>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</si>
  <si>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</si>
  <si>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</si>
  <si>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</si>
  <si>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</si>
  <si>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</si>
  <si>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</si>
  <si>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</si>
  <si>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</si>
  <si>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</si>
  <si>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</si>
  <si>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</si>
  <si>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</si>
  <si>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</si>
  <si>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</si>
  <si>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</si>
  <si>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</si>
  <si>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</si>
  <si>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</si>
  <si>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</si>
  <si>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</si>
  <si>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</si>
  <si>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</si>
  <si>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</si>
  <si>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</si>
  <si>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</si>
  <si>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</si>
  <si>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</si>
  <si>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</si>
  <si>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</si>
  <si>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</si>
  <si>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</si>
  <si>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</si>
  <si>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</si>
  <si>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</si>
  <si>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</si>
  <si>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</si>
  <si>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</si>
  <si>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</si>
  <si>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</si>
  <si>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</si>
  <si>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</si>
  <si>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</si>
  <si>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</si>
  <si>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</si>
  <si>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</si>
  <si>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</si>
  <si>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</si>
  <si>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</si>
  <si>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</si>
  <si>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</si>
  <si>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</si>
  <si>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</si>
  <si>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</si>
  <si>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</si>
  <si>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</si>
  <si>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</si>
  <si>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</si>
  <si>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</si>
  <si>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</si>
  <si>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</si>
  <si>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</si>
  <si>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</si>
  <si>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</si>
  <si>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</si>
  <si>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</si>
  <si>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</si>
  <si>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</si>
  <si>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</si>
  <si>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</si>
  <si>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</si>
  <si>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</si>
  <si>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</si>
  <si>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</si>
  <si>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</si>
  <si>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</si>
  <si>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</si>
  <si>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</si>
  <si>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</si>
  <si>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</si>
  <si>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</si>
  <si>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</si>
  <si>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</si>
  <si>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</si>
  <si>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</si>
  <si>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</si>
  <si>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</si>
  <si>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</si>
  <si>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</si>
  <si>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</si>
  <si>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</si>
  <si>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</si>
  <si>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</si>
  <si>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</si>
  <si>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</si>
  <si>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</si>
  <si>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</si>
  <si>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</si>
  <si>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</si>
  <si>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</si>
  <si>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</si>
  <si>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</si>
  <si>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</si>
  <si>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</si>
  <si>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</si>
  <si>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</si>
  <si>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</si>
  <si>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</si>
  <si>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</si>
  <si>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</si>
  <si>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</si>
  <si>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</si>
  <si>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</si>
  <si>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</si>
  <si>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</si>
  <si>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</si>
  <si>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</si>
  <si>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</si>
  <si>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</si>
  <si>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</si>
  <si>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</si>
  <si>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</si>
  <si>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</si>
  <si>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</si>
  <si>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</si>
  <si>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</si>
  <si>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</si>
  <si>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</si>
  <si>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</si>
  <si>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</si>
  <si>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</si>
  <si>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</si>
  <si>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</si>
  <si>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</si>
  <si>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</si>
  <si>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</si>
  <si>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</si>
  <si>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</si>
  <si>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</si>
  <si>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</si>
  <si>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</si>
  <si>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</si>
  <si>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</si>
  <si>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</si>
  <si>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</si>
  <si>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</si>
  <si>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</si>
  <si>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</si>
  <si>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</si>
  <si>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</si>
  <si>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</si>
  <si>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</si>
  <si>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</si>
  <si>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</si>
  <si>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</si>
  <si>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</si>
  <si>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</si>
  <si>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</si>
  <si>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</si>
  <si>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</si>
  <si>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</si>
  <si>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</si>
  <si>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</si>
  <si>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</si>
  <si>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</si>
  <si>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</si>
  <si>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</si>
  <si>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</si>
  <si>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</si>
  <si>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</si>
  <si>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</si>
  <si>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</si>
  <si>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</si>
  <si>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</si>
  <si>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</si>
  <si>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</si>
  <si>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</si>
  <si>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</si>
  <si>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</si>
  <si>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</si>
  <si>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</si>
  <si>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</si>
  <si>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</si>
  <si>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</si>
  <si>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</si>
  <si>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</si>
  <si>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</si>
  <si>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</si>
  <si>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</si>
  <si>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</si>
  <si>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</si>
  <si>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</si>
  <si>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</si>
  <si>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</si>
  <si>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</si>
  <si>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</si>
  <si>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</si>
  <si>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</si>
  <si>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</si>
  <si>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</si>
  <si>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</si>
  <si>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</si>
  <si>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</si>
  <si>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</si>
  <si>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</si>
  <si>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</si>
  <si>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</si>
  <si>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</si>
  <si>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</si>
  <si>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</si>
  <si>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</si>
  <si>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</si>
  <si>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</si>
  <si>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</si>
  <si>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</si>
  <si>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</si>
  <si>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</si>
  <si>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</si>
  <si>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</si>
  <si>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</si>
  <si>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</si>
  <si>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</si>
  <si>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</si>
  <si>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</si>
  <si>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</si>
  <si>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</si>
  <si>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</si>
  <si>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</si>
  <si>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</si>
  <si>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</si>
  <si>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</si>
  <si>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</si>
  <si>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</si>
  <si>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</si>
  <si>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</si>
  <si>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</si>
  <si>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</si>
  <si>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</si>
  <si>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</si>
  <si>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</si>
  <si>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</si>
  <si>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</si>
  <si>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</si>
  <si>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</si>
  <si>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</si>
  <si>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</si>
  <si>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</si>
  <si>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</si>
  <si>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</si>
  <si>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</si>
  <si>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</si>
  <si>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</si>
  <si>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</si>
  <si>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</si>
  <si>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</si>
  <si>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</si>
  <si>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</si>
  <si>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</si>
  <si>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</si>
  <si>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</si>
  <si>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</si>
  <si>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</si>
  <si>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</si>
  <si>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</si>
  <si>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</si>
  <si>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</si>
  <si>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</si>
  <si>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</si>
  <si>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</si>
  <si>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</si>
  <si>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</si>
  <si>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</si>
  <si>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</si>
  <si>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</si>
  <si>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</si>
  <si>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</si>
  <si>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</si>
  <si>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</si>
  <si>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</si>
  <si>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</si>
  <si>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</si>
  <si>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</si>
  <si>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</si>
  <si>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</si>
  <si>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</si>
  <si>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</si>
  <si>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</si>
  <si>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</si>
  <si>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</si>
  <si>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</si>
  <si>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</si>
  <si>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</si>
  <si>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</si>
  <si>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</si>
  <si>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</si>
  <si>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</si>
  <si>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</si>
  <si>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</si>
  <si>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</si>
  <si>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</si>
  <si>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</si>
  <si>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</si>
  <si>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</si>
  <si>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</si>
  <si>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</si>
  <si>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</si>
  <si>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</si>
  <si>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</si>
  <si>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</si>
  <si>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</si>
  <si>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</si>
  <si>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</si>
  <si>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</si>
  <si>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</si>
  <si>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</si>
  <si>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</si>
  <si>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</si>
  <si>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</si>
  <si>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</si>
  <si>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</si>
  <si>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</si>
  <si>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</si>
  <si>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</si>
  <si>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</si>
  <si>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</si>
  <si>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</si>
  <si>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</si>
  <si>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</si>
  <si>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</si>
  <si>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</si>
  <si>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</si>
  <si>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</si>
  <si>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</si>
  <si>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</si>
  <si>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</si>
  <si>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</si>
  <si>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</si>
  <si>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</si>
  <si>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</si>
  <si>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</si>
  <si>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</si>
  <si>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</si>
  <si>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</si>
  <si>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</si>
  <si>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</si>
  <si>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</si>
  <si>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</si>
  <si>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</si>
  <si>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</si>
  <si>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</si>
  <si>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</si>
  <si>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</si>
  <si>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</si>
  <si>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</si>
  <si>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</si>
  <si>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</si>
  <si>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</si>
  <si>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</si>
  <si>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</si>
  <si>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</si>
  <si>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</si>
  <si>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</si>
  <si>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</si>
  <si>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</si>
  <si>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</si>
  <si>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</si>
  <si>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</si>
  <si>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</si>
  <si>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</si>
  <si>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</si>
  <si>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</si>
  <si>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</si>
  <si>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</si>
  <si>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</si>
  <si>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</si>
  <si>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</si>
  <si>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</si>
  <si>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</si>
  <si>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</si>
  <si>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</si>
  <si>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</si>
  <si>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</si>
  <si>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</si>
  <si>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</si>
  <si>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</si>
  <si>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</si>
  <si>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</si>
  <si>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</si>
  <si>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</si>
  <si>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</si>
  <si>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</si>
  <si>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</si>
  <si>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</si>
  <si>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</si>
  <si>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</si>
  <si>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</si>
  <si>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</si>
  <si>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</si>
  <si>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</si>
  <si>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</si>
  <si>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</si>
  <si>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</si>
  <si>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</si>
  <si>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</si>
  <si>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</si>
  <si>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</si>
  <si>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</si>
  <si>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</si>
  <si>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</si>
  <si>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</si>
  <si>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</si>
  <si>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</si>
  <si>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</si>
  <si>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</si>
  <si>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</si>
  <si>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</si>
  <si>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</si>
  <si>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</si>
  <si>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</si>
  <si>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</si>
  <si>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</si>
  <si>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</si>
  <si>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</si>
  <si>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</si>
  <si>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</si>
  <si>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</si>
  <si>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</si>
  <si>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</si>
  <si>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</si>
  <si>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</si>
  <si>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</si>
  <si>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</si>
  <si>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</si>
  <si>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</si>
  <si>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</si>
  <si>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</si>
  <si>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</si>
  <si>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</si>
  <si>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</si>
  <si>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</si>
  <si>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</si>
  <si>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</si>
  <si>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</si>
  <si>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</si>
  <si>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</si>
  <si>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</si>
  <si>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</si>
  <si>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</si>
  <si>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</si>
  <si>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</si>
  <si>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</si>
  <si>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</si>
  <si>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</si>
  <si>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</si>
  <si>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</si>
  <si>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</si>
  <si>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</si>
  <si>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</si>
  <si>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</si>
  <si>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</si>
  <si>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</si>
  <si>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</si>
  <si>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</si>
  <si>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</si>
  <si>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</si>
  <si>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</si>
  <si>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</si>
  <si>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</si>
  <si>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</si>
  <si>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</si>
  <si>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</si>
  <si>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</si>
  <si>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</si>
  <si>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</si>
  <si>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</si>
  <si>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</si>
  <si>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</si>
  <si>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</si>
  <si>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</si>
  <si>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</si>
  <si>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</si>
  <si>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</si>
  <si>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</si>
  <si>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</si>
  <si>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</si>
  <si>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</si>
  <si>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</si>
  <si>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</si>
  <si>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</si>
  <si>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</si>
  <si>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</si>
  <si>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</si>
  <si>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</si>
  <si>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</si>
  <si>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</si>
  <si>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</si>
  <si>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</si>
  <si>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</si>
  <si>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</si>
  <si>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</si>
  <si>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</si>
  <si>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</si>
  <si>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</si>
  <si>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</si>
  <si>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</si>
  <si>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</si>
  <si>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</si>
  <si>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</si>
  <si>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</si>
  <si>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</si>
  <si>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</si>
  <si>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</si>
  <si>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</si>
  <si>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</si>
  <si>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</si>
  <si>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</si>
  <si>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</si>
  <si>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</si>
  <si>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</si>
  <si>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</si>
  <si>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</si>
  <si>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</si>
  <si>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</si>
  <si>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</si>
  <si>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</si>
  <si>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</si>
  <si>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</si>
  <si>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</si>
  <si>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</si>
  <si>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</si>
  <si>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</si>
  <si>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</si>
  <si>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</si>
  <si>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</si>
  <si>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</si>
  <si>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</si>
  <si>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</si>
  <si>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</si>
  <si>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</si>
  <si>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</si>
  <si>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</si>
  <si>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</si>
  <si>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</si>
  <si>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</si>
  <si>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</si>
  <si>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</si>
  <si>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</si>
  <si>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</si>
  <si>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</si>
  <si>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</si>
  <si>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</si>
  <si>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</si>
  <si>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</si>
  <si>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</si>
  <si>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</si>
  <si>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</si>
  <si>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</si>
  <si>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</si>
  <si>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</si>
  <si>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</si>
  <si>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</si>
  <si>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</si>
  <si>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</si>
  <si>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</si>
  <si>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</si>
  <si>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</si>
  <si>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</si>
  <si>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</si>
  <si>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</si>
  <si>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</si>
  <si>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</si>
  <si>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</si>
  <si>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</si>
  <si>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</si>
  <si>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</si>
  <si>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</si>
  <si>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</si>
  <si>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</si>
  <si>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</si>
  <si>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</si>
  <si>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</si>
  <si>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</si>
  <si>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</si>
  <si>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</si>
  <si>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</si>
  <si>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</si>
  <si>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</si>
  <si>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</si>
  <si>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</si>
  <si>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</si>
  <si>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</si>
  <si>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</si>
  <si>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</si>
  <si>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</si>
  <si>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</si>
  <si>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</si>
  <si>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</si>
  <si>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</si>
  <si>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</si>
  <si>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</si>
  <si>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</si>
  <si>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</si>
  <si>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</si>
  <si>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</si>
  <si>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</si>
  <si>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</si>
  <si>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</si>
  <si>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</si>
  <si>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</si>
  <si>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</si>
  <si>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</si>
  <si>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</si>
  <si>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</si>
  <si>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</si>
  <si>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</si>
  <si>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</si>
  <si>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</si>
  <si>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</si>
  <si>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</si>
  <si>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</si>
  <si>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</si>
  <si>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</si>
  <si>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</si>
  <si>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</si>
  <si>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</si>
  <si>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</si>
  <si>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</si>
  <si>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</si>
  <si>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</si>
  <si>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</si>
  <si>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</si>
  <si>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</si>
  <si>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</si>
  <si>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</si>
  <si>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</si>
  <si>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</si>
  <si>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</si>
  <si>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</si>
  <si>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</si>
  <si>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</si>
  <si>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</si>
  <si>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</si>
  <si>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</si>
  <si>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</si>
  <si>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</si>
  <si>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</si>
  <si>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</si>
  <si>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</si>
  <si>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</si>
  <si>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</si>
  <si>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</si>
  <si>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</si>
  <si>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</si>
  <si>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</si>
  <si>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</si>
  <si>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</si>
  <si>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</si>
  <si>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</si>
  <si>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</si>
  <si>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</si>
  <si>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</si>
  <si>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</si>
  <si>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</si>
  <si>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</si>
  <si>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</si>
  <si>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</si>
  <si>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</si>
  <si>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</si>
  <si>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</si>
  <si>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</si>
  <si>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</si>
  <si>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</si>
  <si>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</si>
  <si>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</si>
  <si>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</si>
  <si>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</si>
  <si>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</si>
  <si>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</si>
  <si>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</si>
  <si>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</si>
  <si>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</si>
  <si>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</si>
  <si>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</si>
  <si>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</si>
  <si>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</si>
  <si>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</si>
  <si>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</si>
  <si>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</si>
  <si>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</si>
  <si>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</si>
  <si>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</si>
  <si>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</si>
  <si>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</si>
  <si>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</si>
  <si>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</si>
  <si>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</si>
  <si>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</si>
  <si>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</si>
  <si>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</si>
  <si>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</si>
  <si>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</si>
  <si>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</si>
  <si>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</si>
  <si>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</si>
  <si>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</si>
  <si>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</si>
  <si>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</si>
  <si>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</si>
  <si>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</si>
  <si>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</si>
  <si>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</si>
  <si>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</si>
  <si>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</si>
  <si>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</si>
  <si>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</si>
  <si>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</si>
  <si>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</si>
  <si>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</si>
  <si>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</si>
  <si>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</si>
  <si>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</si>
  <si>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</si>
  <si>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</si>
  <si>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</si>
  <si>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</si>
  <si>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</si>
  <si>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</si>
  <si>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</si>
  <si>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</si>
  <si>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</si>
  <si>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</si>
  <si>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</si>
  <si>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</si>
  <si>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</si>
  <si>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</si>
  <si>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</si>
  <si>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</si>
  <si>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</si>
  <si>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</si>
  <si>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</si>
  <si>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</si>
  <si>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</si>
  <si>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</si>
  <si>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</si>
  <si>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</si>
  <si>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</si>
  <si>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</si>
  <si>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</si>
  <si>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</si>
  <si>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</si>
  <si>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</si>
  <si>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</si>
  <si>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</si>
  <si>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</si>
  <si>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</si>
  <si>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</si>
  <si>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</si>
  <si>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</si>
  <si>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</si>
  <si>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</si>
  <si>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</si>
  <si>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</si>
  <si>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</si>
  <si>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</si>
  <si>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</si>
  <si>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</si>
  <si>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</si>
  <si>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</si>
  <si>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</si>
  <si>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</si>
  <si>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</si>
  <si>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</si>
  <si>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</si>
  <si>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</si>
  <si>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</si>
  <si>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</si>
  <si>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</si>
  <si>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</si>
  <si>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</si>
  <si>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</si>
  <si>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</si>
  <si>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</si>
  <si>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</si>
  <si>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</si>
  <si>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</si>
  <si>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</si>
  <si>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</si>
  <si>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</si>
  <si>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</si>
  <si>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</si>
  <si>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</si>
  <si>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</si>
  <si>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</si>
  <si>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</si>
  <si>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</si>
  <si>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</si>
  <si>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</si>
  <si>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</si>
  <si>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</si>
  <si>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</si>
  <si>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</si>
  <si>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</si>
  <si>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</si>
  <si>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</si>
  <si>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</si>
  <si>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</si>
  <si>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</si>
  <si>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</si>
  <si>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</si>
  <si>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</si>
  <si>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</si>
  <si>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</si>
  <si>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</si>
  <si>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</si>
  <si>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</si>
  <si>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</si>
  <si>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</si>
  <si>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</si>
  <si>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</si>
  <si>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</si>
  <si>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</si>
  <si>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</si>
  <si>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</si>
  <si>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</si>
  <si>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</si>
  <si>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</si>
  <si>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</si>
  <si>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</si>
  <si>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</si>
  <si>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</si>
  <si>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</si>
  <si>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</si>
  <si>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</si>
  <si>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</si>
  <si>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</si>
  <si>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</si>
  <si>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</si>
  <si>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</si>
  <si>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</si>
  <si>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</si>
  <si>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</si>
  <si>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</si>
  <si>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</si>
  <si>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</si>
  <si>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</si>
  <si>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</si>
  <si>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</si>
  <si>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</si>
  <si>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</si>
  <si>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</si>
  <si>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</si>
  <si>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</si>
  <si>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</si>
  <si>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</si>
  <si>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</si>
  <si>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</si>
  <si>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</si>
  <si>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</si>
  <si>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</si>
  <si>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</si>
  <si>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</si>
  <si>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</si>
  <si>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</si>
  <si>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</si>
  <si>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</si>
  <si>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</si>
  <si>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</si>
  <si>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</si>
  <si>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</si>
  <si>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</si>
  <si>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</si>
  <si>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</si>
  <si>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</si>
  <si>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</si>
  <si>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</si>
  <si>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</si>
  <si>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</si>
  <si>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</si>
  <si>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</si>
  <si>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</si>
  <si>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</si>
  <si>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</si>
  <si>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</si>
  <si>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</si>
  <si>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</si>
  <si>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</si>
  <si>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</si>
  <si>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</si>
  <si>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</si>
  <si>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</si>
  <si>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</si>
  <si>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</si>
  <si>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</si>
  <si>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</si>
  <si>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</si>
  <si>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</si>
  <si>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</si>
  <si>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</si>
  <si>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</si>
  <si>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</si>
  <si>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</si>
  <si>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</si>
  <si>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</si>
  <si>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</si>
  <si>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</si>
  <si>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</si>
  <si>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</si>
  <si>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</si>
  <si>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</si>
  <si>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</si>
  <si>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</si>
  <si>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</si>
  <si>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</si>
  <si>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</si>
  <si>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</si>
  <si>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</si>
  <si>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</si>
  <si>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</si>
  <si>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</si>
  <si>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</si>
  <si>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</si>
  <si>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</si>
  <si>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</si>
  <si>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</si>
  <si>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</si>
  <si>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</si>
  <si>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</si>
  <si>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</si>
  <si>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</si>
  <si>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</si>
  <si>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</si>
  <si>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</si>
  <si>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</si>
  <si>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</si>
  <si>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</si>
  <si>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</si>
  <si>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</si>
  <si>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</si>
  <si>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</si>
  <si>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</si>
  <si>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</si>
  <si>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</si>
  <si>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</si>
  <si>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</si>
  <si>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</si>
  <si>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</si>
  <si>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</si>
  <si>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</si>
  <si>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</si>
  <si>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</si>
  <si>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</si>
  <si>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</si>
  <si>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</si>
  <si>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</si>
  <si>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</si>
  <si>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</si>
  <si>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</si>
  <si>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</si>
  <si>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</si>
  <si>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</si>
  <si>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</si>
  <si>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</si>
  <si>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</si>
  <si>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</si>
  <si>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</si>
  <si>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</si>
  <si>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</si>
  <si>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</si>
  <si>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</si>
  <si>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</si>
  <si>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</si>
  <si>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</si>
  <si>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</si>
  <si>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</si>
  <si>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</si>
  <si>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</si>
  <si>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</si>
  <si>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</si>
  <si>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</si>
  <si>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</si>
  <si>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</si>
  <si>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</si>
  <si>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</si>
  <si>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</si>
  <si>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</si>
  <si>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</si>
  <si>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</si>
  <si>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</si>
  <si>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</si>
  <si>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</si>
  <si>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</si>
  <si>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</si>
  <si>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</si>
  <si>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</si>
  <si>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</si>
  <si>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</si>
  <si>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</si>
  <si>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</si>
  <si>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</si>
  <si>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</si>
  <si>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</si>
  <si>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</si>
  <si>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</si>
  <si>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</si>
  <si>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</si>
  <si>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</si>
  <si>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</si>
  <si>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</si>
  <si>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</si>
  <si>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</si>
  <si>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</si>
  <si>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</si>
  <si>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</si>
  <si>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</si>
  <si>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</si>
  <si>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</si>
  <si>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</si>
  <si>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</si>
  <si>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</si>
  <si>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</si>
  <si>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</si>
  <si>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</si>
  <si>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</si>
  <si>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</si>
  <si>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</si>
  <si>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</si>
  <si>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</si>
  <si>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</si>
  <si>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</si>
  <si>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</si>
  <si>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</si>
  <si>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</si>
  <si>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</si>
  <si>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</si>
  <si>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</si>
  <si>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</si>
  <si>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</si>
  <si>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</si>
  <si>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</si>
  <si>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</si>
  <si>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</si>
  <si>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</si>
  <si>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</si>
  <si>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</si>
  <si>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</si>
  <si>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</si>
  <si>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</si>
  <si>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</si>
  <si>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</si>
  <si>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</si>
  <si>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</si>
  <si>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</si>
  <si>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</si>
  <si>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</si>
  <si>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</si>
  <si>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</si>
  <si>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</si>
  <si>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</si>
  <si>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</si>
  <si>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</si>
  <si>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</si>
  <si>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</si>
  <si>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</si>
  <si>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</si>
  <si>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</si>
  <si>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</si>
  <si>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</si>
  <si>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</si>
  <si>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</si>
  <si>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</si>
  <si>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</si>
  <si>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</si>
  <si>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</si>
  <si>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</si>
  <si>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</si>
  <si>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</si>
  <si>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</si>
  <si>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</si>
  <si>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</si>
  <si>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</si>
  <si>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</si>
  <si>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</si>
  <si>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</si>
  <si>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</si>
  <si>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</si>
  <si>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</si>
  <si>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</si>
  <si>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</si>
  <si>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</si>
  <si>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</si>
  <si>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</si>
  <si>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</si>
  <si>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</si>
  <si>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</si>
  <si>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</si>
  <si>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</si>
  <si>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</si>
  <si>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</si>
  <si>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</si>
  <si>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</si>
  <si>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</si>
  <si>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</si>
  <si>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</si>
  <si>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</si>
  <si>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</si>
  <si>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</si>
  <si>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</si>
  <si>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</si>
  <si>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</si>
  <si>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</si>
  <si>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</si>
  <si>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</si>
  <si>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</si>
  <si>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</si>
  <si>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</si>
  <si>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</si>
  <si>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</si>
  <si>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</si>
  <si>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</si>
  <si>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</si>
  <si>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</si>
  <si>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</si>
  <si>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</si>
  <si>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</si>
  <si>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</si>
  <si>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</si>
  <si>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</si>
  <si>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</si>
  <si>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</si>
  <si>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</si>
  <si>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</si>
  <si>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</si>
  <si>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</si>
  <si>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</si>
  <si>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</si>
  <si>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</si>
  <si>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</si>
  <si>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</si>
  <si>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</si>
  <si>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</si>
  <si>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</si>
  <si>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</si>
  <si>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</si>
  <si>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</si>
  <si>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</si>
  <si>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</si>
  <si>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</si>
  <si>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</si>
  <si>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</si>
  <si>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</si>
  <si>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</si>
  <si>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</si>
  <si>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</si>
  <si>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</si>
  <si>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</si>
  <si>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</si>
  <si>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</si>
  <si>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</si>
  <si>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</si>
  <si>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</si>
  <si>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</si>
  <si>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</si>
  <si>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</si>
  <si>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</si>
  <si>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</si>
  <si>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</si>
  <si>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</si>
  <si>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</si>
  <si>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</si>
  <si>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</si>
  <si>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</si>
  <si>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</si>
  <si>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</si>
  <si>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</si>
  <si>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</si>
  <si>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</si>
  <si>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</si>
  <si>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</si>
  <si>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</si>
  <si>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</si>
  <si>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</si>
  <si>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</si>
  <si>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</si>
  <si>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</si>
  <si>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</si>
  <si>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</si>
  <si>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</si>
  <si>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</si>
  <si>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</si>
  <si>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</si>
  <si>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</si>
  <si>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</si>
  <si>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</si>
  <si>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</si>
  <si>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</si>
  <si>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</si>
  <si>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</si>
  <si>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</si>
  <si>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</si>
  <si>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</si>
  <si>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</si>
  <si>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</si>
  <si>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</si>
  <si>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</si>
  <si>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</si>
  <si>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</si>
  <si>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</si>
  <si>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</si>
  <si>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</si>
  <si>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</si>
  <si>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</si>
  <si>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</si>
  <si>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</si>
  <si>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</si>
  <si>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</si>
  <si>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</si>
  <si>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</si>
  <si>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</si>
  <si>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</si>
  <si>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</si>
  <si>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</si>
  <si>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</si>
  <si>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</si>
  <si>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</si>
  <si>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</si>
  <si>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</si>
  <si>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</si>
  <si>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</si>
  <si>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</si>
  <si>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</si>
  <si>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</si>
  <si>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</si>
  <si>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</si>
  <si>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</si>
  <si>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</si>
  <si>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</si>
  <si>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</si>
  <si>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</si>
  <si>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</si>
  <si>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</si>
  <si>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</si>
  <si>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</si>
  <si>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</si>
  <si>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</si>
  <si>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</si>
  <si>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</si>
  <si>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</si>
  <si>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</si>
  <si>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</si>
  <si>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</si>
  <si>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</si>
  <si>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</si>
  <si>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</si>
  <si>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</si>
  <si>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</si>
  <si>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</si>
  <si>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</si>
  <si>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</si>
  <si>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</si>
  <si>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</si>
  <si>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</si>
  <si>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</si>
  <si>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</si>
  <si>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</si>
  <si>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</si>
  <si>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</si>
  <si>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</si>
  <si>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</si>
  <si>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</si>
  <si>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</si>
  <si>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</si>
  <si>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</si>
  <si>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</si>
  <si>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</si>
  <si>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</si>
  <si>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</si>
  <si>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</si>
  <si>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</si>
  <si>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</si>
  <si>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</si>
  <si>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</si>
  <si>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</si>
  <si>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</si>
  <si>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</si>
  <si>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</si>
  <si>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</si>
  <si>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</si>
  <si>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</si>
  <si>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</si>
  <si>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</si>
  <si>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</si>
  <si>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</si>
  <si>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</si>
  <si>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</si>
  <si>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</si>
  <si>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</si>
  <si>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</si>
  <si>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</si>
  <si>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</si>
  <si>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</si>
  <si>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</si>
  <si>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</si>
  <si>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</si>
  <si>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</si>
  <si>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</si>
  <si>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</si>
  <si>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</si>
  <si>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</si>
  <si>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</si>
  <si>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</si>
  <si>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</si>
  <si>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</si>
  <si>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</si>
  <si>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</si>
  <si>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</si>
  <si>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</si>
  <si>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</si>
  <si>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</si>
  <si>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</si>
  <si>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</si>
  <si>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</si>
  <si>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</si>
  <si>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</si>
  <si>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</si>
  <si>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</si>
  <si>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</si>
  <si>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</si>
  <si>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</si>
  <si>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</si>
  <si>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</si>
  <si>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</si>
  <si>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</si>
  <si>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</si>
  <si>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</si>
  <si>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</si>
  <si>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</si>
  <si>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</si>
  <si>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</si>
  <si>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</si>
  <si>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</si>
  <si>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</si>
  <si>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</si>
  <si>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</si>
  <si>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</si>
  <si>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</si>
  <si>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</si>
  <si>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</si>
  <si>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</si>
  <si>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</si>
  <si>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</si>
  <si>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</si>
  <si>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</si>
  <si>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</si>
  <si>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</si>
  <si>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</si>
  <si>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</si>
  <si>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</si>
  <si>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</si>
  <si>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</si>
  <si>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</si>
  <si>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</si>
  <si>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</si>
  <si>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</si>
  <si>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</si>
  <si>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</si>
  <si>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</si>
  <si>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</si>
  <si>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</si>
  <si>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</si>
  <si>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</si>
  <si>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</si>
  <si>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</si>
  <si>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</si>
  <si>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</si>
  <si>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</si>
  <si>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</si>
  <si>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</si>
  <si>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</si>
  <si>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</si>
  <si>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</si>
  <si>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</si>
  <si>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</si>
  <si>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</si>
  <si>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</si>
  <si>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</si>
  <si>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</si>
  <si>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</si>
  <si>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</si>
  <si>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</si>
  <si>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</si>
  <si>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</si>
  <si>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</si>
  <si>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</si>
  <si>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</si>
  <si>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</si>
  <si>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</si>
  <si>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</si>
  <si>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</si>
  <si>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</si>
  <si>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</si>
  <si>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</si>
  <si>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</si>
  <si>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</si>
  <si>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</si>
  <si>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</si>
  <si>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</si>
  <si>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</si>
  <si>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</si>
  <si>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</si>
  <si>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</si>
  <si>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</si>
  <si>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</si>
  <si>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</si>
  <si>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</si>
  <si>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</si>
  <si>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</si>
  <si>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</si>
  <si>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</si>
  <si>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</si>
  <si>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</si>
  <si>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</si>
  <si>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</si>
  <si>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</si>
  <si>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</si>
  <si>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</si>
  <si>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</si>
  <si>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</si>
  <si>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</si>
  <si>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</si>
  <si>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</si>
  <si>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</si>
  <si>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</si>
  <si>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</si>
  <si>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</si>
  <si>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</si>
  <si>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</si>
  <si>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</si>
  <si>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</si>
  <si>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</si>
  <si>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</si>
  <si>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</si>
  <si>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</si>
  <si>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</si>
  <si>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</si>
  <si>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</si>
  <si>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</si>
  <si>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</si>
  <si>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</si>
  <si>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</si>
  <si>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</si>
  <si>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</si>
  <si>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</si>
  <si>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</si>
  <si>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</si>
  <si>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</si>
  <si>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</si>
  <si>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</si>
  <si>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</si>
  <si>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</si>
  <si>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</si>
  <si>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</si>
  <si>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</si>
  <si>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</si>
  <si>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</si>
  <si>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</si>
  <si>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</si>
  <si>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</si>
  <si>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</si>
  <si>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</si>
  <si>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</si>
  <si>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</si>
  <si>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</si>
  <si>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</si>
  <si>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</si>
  <si>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</si>
  <si>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</si>
  <si>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</si>
  <si>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</si>
  <si>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</si>
  <si>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</si>
  <si>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</si>
  <si>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</si>
  <si>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</si>
  <si>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</si>
  <si>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</si>
  <si>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</si>
  <si>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</si>
  <si>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</si>
  <si>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</si>
  <si>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</si>
  <si>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</si>
  <si>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</si>
  <si>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</si>
  <si>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</si>
  <si>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</si>
  <si>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</si>
  <si>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</si>
  <si>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</si>
  <si>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</si>
  <si>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</si>
  <si>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</si>
  <si>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</si>
  <si>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</si>
  <si>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</si>
  <si>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</si>
  <si>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</si>
  <si>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</si>
  <si>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</si>
  <si>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</si>
  <si>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</si>
  <si>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</si>
  <si>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</si>
  <si>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</si>
  <si>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</si>
  <si>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</si>
  <si>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</si>
  <si>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</si>
  <si>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</si>
  <si>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</si>
  <si>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</si>
  <si>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</si>
  <si>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</si>
  <si>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</si>
  <si>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</si>
  <si>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</si>
  <si>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</si>
  <si>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</si>
  <si>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</si>
  <si>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</si>
  <si>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</si>
  <si>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</si>
  <si>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</si>
  <si>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</si>
  <si>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</si>
  <si>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</si>
  <si>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</si>
  <si>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</si>
  <si>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</si>
  <si>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</si>
  <si>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</si>
  <si>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</si>
  <si>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</si>
  <si>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</si>
  <si>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</si>
  <si>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</si>
  <si>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</si>
  <si>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</si>
  <si>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</si>
  <si>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</si>
  <si>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</si>
  <si>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</si>
  <si>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</si>
  <si>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</si>
  <si>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</si>
  <si>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</si>
  <si>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</si>
  <si>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</si>
  <si>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</si>
  <si>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</si>
  <si>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</si>
  <si>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</si>
  <si>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</si>
  <si>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</si>
  <si>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</si>
  <si>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</si>
  <si>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</si>
  <si>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</si>
  <si>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</si>
  <si>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</si>
  <si>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</si>
  <si>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</si>
  <si>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</si>
  <si>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</si>
  <si>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</si>
  <si>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</si>
  <si>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</si>
  <si>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</si>
  <si>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</si>
  <si>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</si>
  <si>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</si>
  <si>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</si>
  <si>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</si>
  <si>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</si>
  <si>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</si>
  <si>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</si>
  <si>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</si>
  <si>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</si>
  <si>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</si>
  <si>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</si>
  <si>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</si>
  <si>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</si>
  <si>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</si>
  <si>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</si>
  <si>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</si>
  <si>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</si>
  <si>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</si>
  <si>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</si>
  <si>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</si>
  <si>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</si>
  <si>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</si>
  <si>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</si>
  <si>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</si>
  <si>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</si>
  <si>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</si>
  <si>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</si>
  <si>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</si>
  <si>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</si>
  <si>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</si>
  <si>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</si>
  <si>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</si>
  <si>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</si>
  <si>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</si>
  <si>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</si>
  <si>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</si>
  <si>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</si>
  <si>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</si>
  <si>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</si>
  <si>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</si>
  <si>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</si>
  <si>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</si>
  <si>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</si>
  <si>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</si>
  <si>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</si>
  <si>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</si>
  <si>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</si>
  <si>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</si>
  <si>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</si>
  <si>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</si>
  <si>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</si>
  <si>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</si>
  <si>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</si>
  <si>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</si>
  <si>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</si>
  <si>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</si>
  <si>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</si>
  <si>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</si>
  <si>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</si>
  <si>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</si>
  <si>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</si>
  <si>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</si>
  <si>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</si>
  <si>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</si>
  <si>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</si>
  <si>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</si>
  <si>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</si>
  <si>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</si>
  <si>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</si>
  <si>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</si>
  <si>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</si>
  <si>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</si>
  <si>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</si>
  <si>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</si>
  <si>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</si>
  <si>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</si>
  <si>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</si>
  <si>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</si>
  <si>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</si>
  <si>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</si>
  <si>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</si>
  <si>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</si>
  <si>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</si>
  <si>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</si>
  <si>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</si>
  <si>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</si>
  <si>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</si>
  <si>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</si>
  <si>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</si>
  <si>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</si>
  <si>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</si>
  <si>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</si>
  <si>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</si>
  <si>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</si>
  <si>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</si>
  <si>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</si>
  <si>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</si>
  <si>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</si>
  <si>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</si>
  <si>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</si>
  <si>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</si>
  <si>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</si>
  <si>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</si>
  <si>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</si>
  <si>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</si>
  <si>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</si>
  <si>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</si>
  <si>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</si>
  <si>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</si>
  <si>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</si>
  <si>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</si>
  <si>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</si>
  <si>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</si>
  <si>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</si>
  <si>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</si>
  <si>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</si>
  <si>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</si>
  <si>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</si>
  <si>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</si>
  <si>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</si>
  <si>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</si>
  <si>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</si>
  <si>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</si>
  <si>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</si>
  <si>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</si>
  <si>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</si>
  <si>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</si>
  <si>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</si>
  <si>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</si>
  <si>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</si>
  <si>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</si>
  <si>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</si>
  <si>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</si>
  <si>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</si>
  <si>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</si>
  <si>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</si>
  <si>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</si>
  <si>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</si>
  <si>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</si>
  <si>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</si>
  <si>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</si>
  <si>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</si>
  <si>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</si>
  <si>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</si>
  <si>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</si>
  <si>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</si>
  <si>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</si>
  <si>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</si>
  <si>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</si>
  <si>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</si>
  <si>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</si>
  <si>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</si>
  <si>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</si>
  <si>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</si>
  <si>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</si>
  <si>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</si>
  <si>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</si>
  <si>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</si>
  <si>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</si>
  <si>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</si>
  <si>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</si>
  <si>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</si>
  <si>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</si>
  <si>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</si>
  <si>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</si>
  <si>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</si>
  <si>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</si>
  <si>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</si>
  <si>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</si>
  <si>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</si>
  <si>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</si>
  <si>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</si>
  <si>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</si>
  <si>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</si>
  <si>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</si>
  <si>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</si>
  <si>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</si>
  <si>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</si>
  <si>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</si>
  <si>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</si>
  <si>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</si>
  <si>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</si>
  <si>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</si>
  <si>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</si>
  <si>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</si>
  <si>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</si>
  <si>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</si>
  <si>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</si>
  <si>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</si>
  <si>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</si>
  <si>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</si>
  <si>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</si>
  <si>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</si>
  <si>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</si>
  <si>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</si>
  <si>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</si>
  <si>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</si>
  <si>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</si>
  <si>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</si>
  <si>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</si>
  <si>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</si>
  <si>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</si>
  <si>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</si>
  <si>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</si>
  <si>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</si>
  <si>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</si>
  <si>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</si>
  <si>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</si>
  <si>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</si>
  <si>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</si>
  <si>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</si>
  <si>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</si>
  <si>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</si>
  <si>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</si>
  <si>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</si>
  <si>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</si>
  <si>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</si>
  <si>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</si>
  <si>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</si>
  <si>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</si>
  <si>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</si>
  <si>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</si>
  <si>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</si>
  <si>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</si>
  <si>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</si>
  <si>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</si>
  <si>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</si>
  <si>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</si>
  <si>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</si>
  <si>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</si>
  <si>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</si>
  <si>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</si>
  <si>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</si>
  <si>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</si>
  <si>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</si>
  <si>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</si>
  <si>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</si>
  <si>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</si>
  <si>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</si>
  <si>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</si>
  <si>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</si>
  <si>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</si>
  <si>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</si>
  <si>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</si>
  <si>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</si>
  <si>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</si>
  <si>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</si>
  <si>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</si>
  <si>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</si>
  <si>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</si>
  <si>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</si>
  <si>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</si>
  <si>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</si>
  <si>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</si>
  <si>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</si>
  <si>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</si>
  <si>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</si>
  <si>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</si>
  <si>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</si>
  <si>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</si>
  <si>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</si>
  <si>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</si>
  <si>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</si>
  <si>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</si>
  <si>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</si>
  <si>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</si>
  <si>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</si>
  <si>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</si>
  <si>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</si>
  <si>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</si>
  <si>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</si>
  <si>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</si>
  <si>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</si>
  <si>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</si>
  <si>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</si>
  <si>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</si>
  <si>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</si>
  <si>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</si>
  <si>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</si>
  <si>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</si>
  <si>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</si>
  <si>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</si>
  <si>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</si>
  <si>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</si>
  <si>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</si>
  <si>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</si>
  <si>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</si>
  <si>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</si>
  <si>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</si>
  <si>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</si>
  <si>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</si>
  <si>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</si>
  <si>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</si>
  <si>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</si>
  <si>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</si>
  <si>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</si>
  <si>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</si>
  <si>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</si>
  <si>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</si>
  <si>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</si>
  <si>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</si>
  <si>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</si>
  <si>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</si>
  <si>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</si>
  <si>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</si>
  <si>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</si>
  <si>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</si>
  <si>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</si>
  <si>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</si>
  <si>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</si>
  <si>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</si>
  <si>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</si>
  <si>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</si>
  <si>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</si>
  <si>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</si>
  <si>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</si>
  <si>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</si>
  <si>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</si>
  <si>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</si>
  <si>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</si>
  <si>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</si>
  <si>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</si>
  <si>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</si>
  <si>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</si>
  <si>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</si>
  <si>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</si>
  <si>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</si>
  <si>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</si>
  <si>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</si>
  <si>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</si>
  <si>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</si>
  <si>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</si>
  <si>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</si>
  <si>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</si>
  <si>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</si>
  <si>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</si>
  <si>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</si>
  <si>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</si>
  <si>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</si>
  <si>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</si>
  <si>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</si>
  <si>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</si>
  <si>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</si>
  <si>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</si>
  <si>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</si>
  <si>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</si>
  <si>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</si>
  <si>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</si>
  <si>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</si>
  <si>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</si>
  <si>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</si>
  <si>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</si>
  <si>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</si>
  <si>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</si>
  <si>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</si>
  <si>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</si>
  <si>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</si>
  <si>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</si>
  <si>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</si>
  <si>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</si>
  <si>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</si>
  <si>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</si>
  <si>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</si>
  <si>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</si>
  <si>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</si>
  <si>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</si>
  <si>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</si>
  <si>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</si>
  <si>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</si>
  <si>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</si>
  <si>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</si>
  <si>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</si>
  <si>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</si>
  <si>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</si>
  <si>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</si>
  <si>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</si>
  <si>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</si>
  <si>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</si>
  <si>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</si>
  <si>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</si>
  <si>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</si>
  <si>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</si>
  <si>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</si>
  <si>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</si>
  <si>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</si>
  <si>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</si>
  <si>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</si>
  <si>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</si>
  <si>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</si>
  <si>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</si>
  <si>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</si>
  <si>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</si>
  <si>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</si>
  <si>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</si>
  <si>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</si>
  <si>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</si>
  <si>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</si>
  <si>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</si>
  <si>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</si>
  <si>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</si>
  <si>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</si>
  <si>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</si>
  <si>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</si>
  <si>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</si>
  <si>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</si>
  <si>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</si>
  <si>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</si>
  <si>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</si>
  <si>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</si>
  <si>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</si>
  <si>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</si>
  <si>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</si>
  <si>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</si>
  <si>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</si>
  <si>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</si>
  <si>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</si>
  <si>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</si>
  <si>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</si>
  <si>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</si>
  <si>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否</t>
  </si>
  <si>
    <t>转让取得</t>
  </si>
  <si>
    <t>非个人房产</t>
  </si>
  <si>
    <t>抵押</t>
  </si>
  <si>
    <t>房地产抵押价值</t>
  </si>
  <si>
    <t>仅含出让金</t>
  </si>
  <si>
    <t>情况4</t>
  </si>
  <si>
    <t>林肯公园</t>
    <phoneticPr fontId="3" type="noConversion"/>
  </si>
  <si>
    <t>商业</t>
    <phoneticPr fontId="31" type="noConversion"/>
  </si>
  <si>
    <t>较好</t>
  </si>
  <si>
    <t>七通</t>
  </si>
  <si>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</si>
  <si>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</si>
  <si>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</si>
  <si>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</si>
  <si>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</si>
  <si>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</si>
  <si>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</si>
  <si>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</si>
  <si>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</si>
  <si>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</si>
  <si>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</si>
  <si>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</si>
  <si>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租金</t>
  </si>
  <si>
    <t>20-30（含）</t>
  </si>
  <si>
    <t>精装修</t>
  </si>
  <si>
    <t>企业提供（在右侧录入）</t>
  </si>
</sst>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估价对象为北京市出让国有建设用地使用权及在建建筑物房地产，为所有。根据《国有土地使用证》[]，估价对象（分摊）出让国有建设用地使用权面积为0平方米，建筑面积为631.32平方米。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2776</v>
      </c>
    </row>
    <row r="21" spans="1:2" s="1593" customFormat="1">
      <c r="A21" s="1591" t="s">
        <v>1230</v>
      </c>
      <c r="B21" s="1592">
        <f ca="1">'预评函-2'!D7</f>
        <v>43971</v>
      </c>
    </row>
    <row r="22" spans="1:2" s="1593" customFormat="1">
      <c r="A22" s="1591" t="s">
        <v>1231</v>
      </c>
      <c r="B22" s="1592" t="str">
        <f ca="1">'预评函-2'!D6</f>
        <v>贰仟柒佰柒拾陆万元整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2776</v>
      </c>
    </row>
    <row r="31" spans="1:2" s="1593" customFormat="1">
      <c r="A31" s="1591" t="s">
        <v>1269</v>
      </c>
      <c r="B31" s="1592">
        <f ca="1">'预评函-2'!D15</f>
        <v>43971</v>
      </c>
    </row>
    <row r="32" spans="1:2" s="1593" customFormat="1">
      <c r="A32" s="1591" t="s">
        <v>1236</v>
      </c>
      <c r="B32" s="1592" t="str">
        <f ca="1">'预评函-2'!D14</f>
        <v>贰仟柒佰柒拾陆万元整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2146</v>
      </c>
    </row>
    <row r="39" spans="1:2" s="1593" customFormat="1">
      <c r="A39" s="1591" t="s">
        <v>1238</v>
      </c>
      <c r="B39" s="1592">
        <f ca="1">'预评函-2'!D21</f>
        <v>33992</v>
      </c>
    </row>
    <row r="40" spans="1:2" s="1593" customFormat="1">
      <c r="A40" s="1591" t="s">
        <v>1239</v>
      </c>
      <c r="B40" s="1592" t="str">
        <f ca="1">'预评函-2'!D20</f>
        <v>贰仟壹佰肆拾陆万元整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631.32000000000005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5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1" t="s">
        <v>860</v>
      </c>
      <c r="C54" s="2018" t="s">
        <v>1276</v>
      </c>
    </row>
    <row r="55" spans="1:4">
      <c r="A55" s="3054"/>
      <c r="B55" s="2021" t="s">
        <v>861</v>
      </c>
      <c r="C55" s="2018" t="s">
        <v>1277</v>
      </c>
    </row>
    <row r="56" spans="1:4">
      <c r="A56" s="3054"/>
      <c r="B56" s="2021" t="s">
        <v>862</v>
      </c>
      <c r="C56" s="2018" t="s">
        <v>1281</v>
      </c>
    </row>
    <row r="57" spans="1:4">
      <c r="A57" s="305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5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6"/>
      <c r="D1" s="3056"/>
      <c r="E1" s="3056"/>
      <c r="F1" s="3056"/>
      <c r="G1" s="3056"/>
      <c r="H1" s="3056"/>
      <c r="I1" s="305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3118</v>
      </c>
      <c r="C8" s="2055"/>
      <c r="D8" s="3058" t="s">
        <v>1779</v>
      </c>
      <c r="E8" s="2056" t="s">
        <v>3119</v>
      </c>
      <c r="F8" s="2057"/>
      <c r="G8" s="2025"/>
      <c r="H8" s="2025"/>
      <c r="I8" s="2025"/>
      <c r="J8" s="2041"/>
      <c r="K8" s="2042"/>
      <c r="L8" s="2027"/>
      <c r="M8" s="2027"/>
      <c r="N8" s="2028"/>
      <c r="O8" s="2029"/>
      <c r="P8" s="2028"/>
      <c r="Q8" s="2028"/>
      <c r="R8" s="2028"/>
    </row>
    <row r="9" spans="1:19" ht="18" customHeight="1" thickBot="1">
      <c r="A9" s="2039" t="s">
        <v>1780</v>
      </c>
      <c r="B9" s="2058" t="s">
        <v>3119</v>
      </c>
      <c r="C9" s="2059"/>
      <c r="D9" s="3059"/>
      <c r="E9" s="2058" t="s">
        <v>1280</v>
      </c>
      <c r="F9" s="2060"/>
      <c r="G9" s="2061"/>
      <c r="H9" s="2061"/>
      <c r="I9" s="2061"/>
      <c r="J9" s="2041"/>
      <c r="K9" s="2053"/>
      <c r="L9" s="2027"/>
      <c r="M9" s="2027"/>
      <c r="N9" s="2028"/>
      <c r="O9" s="2029"/>
      <c r="P9" s="2028"/>
      <c r="Q9" s="2028"/>
      <c r="R9" s="2028"/>
    </row>
    <row r="10" spans="1:19" ht="18" customHeight="1" thickTop="1">
      <c r="A10" s="2062" t="s">
        <v>1781</v>
      </c>
      <c r="B10" s="2063" t="s">
        <v>3100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3101</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3102</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54584</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29.23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65"/>
      <c r="C16" s="3066"/>
      <c r="D16" s="3067"/>
      <c r="E16" s="2085" t="s">
        <v>1796</v>
      </c>
      <c r="F16" s="3068"/>
      <c r="G16" s="3069"/>
      <c r="H16" s="3069"/>
      <c r="I16" s="3070"/>
      <c r="J16" s="2028"/>
      <c r="K16" s="2082"/>
      <c r="L16" s="2083"/>
      <c r="M16" s="2083"/>
      <c r="N16" s="2084"/>
      <c r="O16" s="2083"/>
      <c r="P16" s="2084"/>
      <c r="Q16" s="2028"/>
      <c r="R16" s="2028"/>
    </row>
    <row r="17" spans="1:22" ht="18" customHeight="1">
      <c r="A17" s="2086" t="s">
        <v>1797</v>
      </c>
      <c r="B17" s="2034" t="s">
        <v>1798</v>
      </c>
      <c r="C17" s="1054">
        <f>'数据-汇总表'!E3</f>
        <v>631.32000000000005</v>
      </c>
      <c r="D17" s="2087" t="s">
        <v>1799</v>
      </c>
      <c r="E17" s="3071" t="s">
        <v>1800</v>
      </c>
      <c r="F17" s="3072"/>
      <c r="G17" s="3072"/>
      <c r="H17" s="3072"/>
      <c r="I17" s="3073"/>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74" t="s">
        <v>1803</v>
      </c>
      <c r="F18" s="3075"/>
      <c r="G18" s="3075"/>
      <c r="H18" s="3075"/>
      <c r="I18" s="3076"/>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61" t="s">
        <v>1808</v>
      </c>
      <c r="C20" s="3062"/>
      <c r="D20" s="3063" t="s">
        <v>1809</v>
      </c>
      <c r="E20" s="3064"/>
      <c r="F20" s="2097" t="s">
        <v>1810</v>
      </c>
      <c r="G20" s="2041"/>
      <c r="H20" s="2041"/>
      <c r="I20" s="2041"/>
      <c r="J20" s="2041"/>
      <c r="K20" s="306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6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78"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78"/>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78"/>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79"/>
      <c r="B30" s="2034" t="s">
        <v>1827</v>
      </c>
      <c r="C30" s="3080"/>
      <c r="D30" s="308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82"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77" t="s">
        <v>1837</v>
      </c>
      <c r="T34" s="2134" t="str">
        <f>NUMBERSTRING(7-K34,1)&amp;"通"</f>
        <v>七通</v>
      </c>
      <c r="U34" s="2028"/>
      <c r="V34" s="2028"/>
    </row>
    <row r="35" spans="1:22" ht="18" customHeight="1">
      <c r="A35" s="2135"/>
      <c r="B35" s="3084" t="s">
        <v>1838</v>
      </c>
      <c r="C35" s="3084"/>
      <c r="D35" s="3084"/>
      <c r="E35" s="308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7"/>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2163.25</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631.32000000000005</v>
      </c>
      <c r="BA5" s="18">
        <f t="shared" si="1"/>
        <v>631.32000000000005</v>
      </c>
      <c r="BB5" s="18">
        <f t="shared" si="1"/>
        <v>631.32000000000005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3103</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3115</v>
      </c>
      <c r="E13" s="16">
        <f>IF($C$3="是",ROUND($A$3*G13/$B$3,2),ROUND($A$3*(G13-AT13)/$B$3,2))</f>
        <v>0</v>
      </c>
      <c r="F13" s="32"/>
      <c r="G13" s="33">
        <f>H13+AC13+AT13</f>
        <v>765.92</v>
      </c>
      <c r="H13" s="20">
        <f>SUMIF(I$12:AB$12,"总值",I13:AB13)</f>
        <v>765.92</v>
      </c>
      <c r="I13" s="2214">
        <v>765.92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t="s">
        <v>3105</v>
      </c>
      <c r="E14" s="16">
        <f>IF($C$3="是",ROUND($A$3*G14/$B$3,2),ROUND($A$3*(G14-AT14)/$B$3,2))</f>
        <v>0</v>
      </c>
      <c r="F14" s="32"/>
      <c r="G14" s="33">
        <f>H14+AC14+AT14</f>
        <v>631.32000000000005</v>
      </c>
      <c r="H14" s="20">
        <f>SUMIF(I$12:AB$12,"总值",I14:AB14)</f>
        <v>631.32000000000005</v>
      </c>
      <c r="I14" s="2214">
        <v>631.32000000000005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631.32000000000005</v>
      </c>
      <c r="BA14" s="16">
        <f>SUM(BB14:BK14)</f>
        <v>631.32000000000005</v>
      </c>
      <c r="BB14" s="16">
        <f>IF($D14="是",I14-J14,0)</f>
        <v>631.32000000000005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t="s">
        <v>3115</v>
      </c>
      <c r="E15" s="16">
        <f>IF($C$3="是",ROUND($A$3*G15/$B$3,2),ROUND($A$3*(G15-AT15)/$B$3,2))</f>
        <v>0</v>
      </c>
      <c r="F15" s="32"/>
      <c r="G15" s="33">
        <f>H15+AC15+AT15</f>
        <v>766.01</v>
      </c>
      <c r="H15" s="20">
        <f>SUMIF(I$12:AB$12,"总值",I15:AB15)</f>
        <v>766.01</v>
      </c>
      <c r="I15" s="2214">
        <v>766.01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96" t="s">
        <v>1934</v>
      </c>
      <c r="B2" s="3096"/>
      <c r="C2" s="3096"/>
      <c r="D2" s="967" t="s">
        <v>1910</v>
      </c>
      <c r="E2" s="2227" t="s">
        <v>1911</v>
      </c>
      <c r="F2" s="1392"/>
      <c r="G2" s="2228"/>
      <c r="H2" s="2229"/>
      <c r="I2" s="2230" t="s">
        <v>1935</v>
      </c>
      <c r="J2" s="1392"/>
      <c r="K2" s="1392"/>
      <c r="L2" s="1392"/>
      <c r="M2" s="1392"/>
      <c r="N2" s="1427"/>
      <c r="O2" s="1392"/>
      <c r="P2" s="1392"/>
    </row>
    <row r="3" spans="1:16" ht="15.75" thickBot="1">
      <c r="A3" s="3097" t="s">
        <v>1908</v>
      </c>
      <c r="B3" s="3097"/>
      <c r="C3" s="3097"/>
      <c r="D3" s="46">
        <f>'数据-基础表'!AY6</f>
        <v>0</v>
      </c>
      <c r="E3" s="46">
        <f>'数据-基础表'!AZ5</f>
        <v>631.32000000000005</v>
      </c>
      <c r="F3" s="1392"/>
      <c r="G3" s="1399"/>
      <c r="H3" s="1247" t="s">
        <v>1909</v>
      </c>
      <c r="I3" s="55" t="e">
        <f>ROUND('数据-基础表'!B3/'数据-基础表'!A3,2)</f>
        <v>#DIV/0!</v>
      </c>
      <c r="J3" s="1392"/>
      <c r="K3" s="1392"/>
      <c r="L3" s="1392"/>
      <c r="M3" s="1392"/>
      <c r="N3" s="1427"/>
      <c r="O3" s="1392"/>
      <c r="P3" s="1392"/>
    </row>
    <row r="4" spans="1:16" ht="15">
      <c r="A4" s="3098"/>
      <c r="B4" s="3099"/>
      <c r="C4" s="310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01" t="s">
        <v>1913</v>
      </c>
      <c r="C5" s="310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01" t="s">
        <v>1914</v>
      </c>
      <c r="C6" s="3101"/>
      <c r="D6" s="48">
        <f>ROUND($D$3*E6/$E$3,2)</f>
        <v>0</v>
      </c>
      <c r="E6" s="49">
        <f>E3-E5</f>
        <v>631.32000000000005</v>
      </c>
      <c r="F6" s="1392"/>
      <c r="G6" s="2235" t="s">
        <v>1915</v>
      </c>
      <c r="H6" s="1399" t="s">
        <v>1916</v>
      </c>
      <c r="I6" s="939" t="e">
        <f>ROUND(F31/D31,2)</f>
        <v>#DIV/0!</v>
      </c>
      <c r="J6" s="1392"/>
      <c r="K6" s="1392"/>
      <c r="L6" s="1392"/>
      <c r="M6" s="1392"/>
      <c r="N6" s="1392"/>
      <c r="O6" s="1392"/>
      <c r="P6" s="1392"/>
    </row>
    <row r="7" spans="1:16" ht="15">
      <c r="A7" s="3093"/>
      <c r="B7" s="3094"/>
      <c r="C7" s="3095"/>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631.32000000000005</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631.32000000000005</v>
      </c>
      <c r="F16" s="1392"/>
      <c r="G16" s="2237"/>
      <c r="H16" s="2240" t="s">
        <v>1938</v>
      </c>
      <c r="I16" s="2241"/>
      <c r="J16" s="1392"/>
      <c r="K16" s="3090" t="s">
        <v>1938</v>
      </c>
      <c r="L16" s="3091"/>
      <c r="M16" s="3091"/>
      <c r="N16" s="3091"/>
      <c r="O16" s="3091"/>
      <c r="P16" s="3092"/>
    </row>
    <row r="17" spans="1:19" ht="15">
      <c r="A17" s="2242" t="s">
        <v>1939</v>
      </c>
      <c r="B17" s="2243" t="s">
        <v>1940</v>
      </c>
      <c r="C17" s="2244" t="s">
        <v>1941</v>
      </c>
      <c r="D17" s="2245" t="s">
        <v>1929</v>
      </c>
      <c r="E17" s="2246" t="s">
        <v>1930</v>
      </c>
      <c r="F17" s="2247"/>
      <c r="G17" s="2248"/>
      <c r="H17" s="2249" t="s">
        <v>1942</v>
      </c>
      <c r="I17" s="2250" t="s">
        <v>1927</v>
      </c>
      <c r="J17" s="1392"/>
      <c r="K17" s="3087" t="s">
        <v>1943</v>
      </c>
      <c r="L17" s="3088"/>
      <c r="M17" s="3089"/>
      <c r="N17" s="3087" t="s">
        <v>1944</v>
      </c>
      <c r="O17" s="3088"/>
      <c r="P17" s="308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102</v>
      </c>
      <c r="D19" s="48">
        <f>ROUND($D$3*E19/$E$3,2)</f>
        <v>0</v>
      </c>
      <c r="E19" s="56">
        <f t="shared" ref="E19:E26" si="1">SUM(F19:G19)</f>
        <v>631.32000000000005</v>
      </c>
      <c r="F19" s="57">
        <f>'数据-基础表'!I14</f>
        <v>631.32000000000005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631.32000000000005</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631.32000000000005</v>
      </c>
      <c r="F27" s="1393">
        <f>IF(SUM(F19:F26)=E8,SUM(F19:F26),"地上面积有误")</f>
        <v>631.32000000000005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631.32000000000005</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631.32000000000005</v>
      </c>
      <c r="F31" s="730">
        <f>F27+F30</f>
        <v>631.32000000000005</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3107</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102</v>
      </c>
      <c r="B6" s="2307" t="str">
        <f>IF(A6=0,"","经营性")</f>
        <v>经营性</v>
      </c>
      <c r="C6" s="2308" t="s">
        <v>1372</v>
      </c>
      <c r="D6" s="1051">
        <f>SUMIF(项目基本情况!D$12:I$12,C6,项目基本情况!D$14:I$14)</f>
        <v>40</v>
      </c>
      <c r="E6" s="1048">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1">
        <f>SUMIF('数据-汇总表'!C$19:C$33,A6,'数据-汇总表'!E$19:E$33)</f>
        <v>631.32000000000005</v>
      </c>
      <c r="L6" s="803">
        <v>3000</v>
      </c>
      <c r="M6" s="75">
        <f t="shared" ref="M6:M14" si="0">ROUND(K6*L6/10000,0)</f>
        <v>189</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'比较法-商业租金'!C48</f>
        <v>9.5</v>
      </c>
      <c r="V6" s="79">
        <v>2.5000000000000001E-2</v>
      </c>
      <c r="W6" s="79">
        <v>0.1</v>
      </c>
      <c r="X6" s="1261"/>
      <c r="Y6" s="80">
        <f>N6</f>
        <v>0.86699999999999999</v>
      </c>
      <c r="Z6" s="81"/>
      <c r="AA6" s="74"/>
      <c r="AB6" s="74"/>
      <c r="AC6" s="1261"/>
      <c r="AD6" s="82"/>
      <c r="AE6" s="1262">
        <f ca="1">IF(AN6="",0,SUMIF(INDIRECT("'"&amp;AN6&amp;"'"&amp;"!E:E"),$AE$5,INDIRECT("'"&amp;AN6&amp;"'"&amp;"!F:F")))</f>
        <v>29.23</v>
      </c>
      <c r="AF6" s="1804"/>
      <c r="AG6" s="147">
        <f>IF(AF6="",0,AE6-AF6)</f>
        <v>0</v>
      </c>
      <c r="AH6" s="83"/>
      <c r="AI6" s="85">
        <v>365</v>
      </c>
      <c r="AJ6" s="86"/>
      <c r="AK6" s="87">
        <v>1.4999999999999999E-2</v>
      </c>
      <c r="AL6" s="88">
        <v>1.5E-3</v>
      </c>
      <c r="AM6" s="89">
        <v>0.01</v>
      </c>
      <c r="AN6" s="2309" t="s">
        <v>3106</v>
      </c>
      <c r="AO6" s="55">
        <f ca="1">SUMIF(INDIRECT("'"&amp;AN6&amp;"'"&amp;"!A:A"),"总价",INDIRECT("'"&amp;AN6&amp;"'"&amp;"!B:B"))</f>
        <v>2805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0.88600000000000001</v>
      </c>
      <c r="H16" s="99">
        <f>ROUND(SUMPRODUCT(H6:H13,K6:K13)/SUMPRODUCT((H6:H13&gt;0)*(K6:K13)),3)</f>
        <v>0.05</v>
      </c>
      <c r="I16" s="100"/>
      <c r="J16" s="100"/>
      <c r="K16" s="101">
        <f>SUM(K6:K15)</f>
        <v>631.32000000000005</v>
      </c>
      <c r="L16" s="102">
        <f>ROUND(M16*10000/SUM(K6:K14),0)</f>
        <v>2994</v>
      </c>
      <c r="M16" s="102">
        <f>SUM(M6:M14)</f>
        <v>189</v>
      </c>
      <c r="N16" s="103">
        <f>ROUND(SUMPRODUCT(M6:M14,N6:N14)/M16,3)</f>
        <v>0.86699999999999999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f>8*0.7</f>
        <v>5.6</v>
      </c>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ROUND(B28*K16/10000,0)</f>
        <v>12</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2" t="s">
        <v>2079</v>
      </c>
      <c r="B1" s="3103"/>
      <c r="C1" s="3103"/>
      <c r="D1" s="3103"/>
      <c r="E1" s="3103"/>
      <c r="F1" s="3103"/>
      <c r="G1" s="310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I14" sqref="I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631.32000000000005</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2776</v>
      </c>
      <c r="C5" s="1743">
        <f ca="1">ROUND(B5*10000/$B$1,0)</f>
        <v>43971</v>
      </c>
      <c r="D5" s="1743" t="e">
        <f ca="1">ROUND(B5*10000/$B$2,0)</f>
        <v>#DIV/0!</v>
      </c>
      <c r="E5" s="1742"/>
      <c r="F5" s="1740"/>
      <c r="G5" s="1740"/>
    </row>
    <row r="6" spans="1:10" ht="16.5">
      <c r="A6" s="1743" t="s">
        <v>1351</v>
      </c>
      <c r="B6" s="1743">
        <f ca="1">SUM(G14:G23)</f>
        <v>2776</v>
      </c>
      <c r="C6" s="1743">
        <f ca="1">ROUND(B6*10000/$B$1,0)</f>
        <v>43971</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2146</v>
      </c>
      <c r="C8" s="1743">
        <f ca="1">ROUND(B8*10000/$B$1,0)</f>
        <v>33992</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631.32000000000005</v>
      </c>
      <c r="C14" s="1741">
        <f>结果表!C118</f>
        <v>0</v>
      </c>
      <c r="D14" s="1741">
        <f ca="1">结果表!H118</f>
        <v>2776</v>
      </c>
      <c r="E14" s="1741">
        <f ca="1">ROUND(D14*10000/B14,0)</f>
        <v>43971</v>
      </c>
      <c r="F14" s="1741" t="e">
        <f ca="1">ROUND(D14*10000/C14,0)</f>
        <v>#DIV/0!</v>
      </c>
      <c r="G14" s="1741">
        <f ca="1">结果表!D122</f>
        <v>2776</v>
      </c>
      <c r="H14" s="1741" t="str">
        <f>结果表!D124</f>
        <v>——</v>
      </c>
      <c r="I14" s="1741">
        <f ca="1">结果表!D126</f>
        <v>2146</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D44" zoomScaleNormal="100" zoomScaleSheetLayoutView="100" zoomScalePageLayoutView="80" workbookViewId="0">
      <selection activeCell="H75" sqref="H7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76" t="str">
        <f>项目基本情况!S2</f>
        <v>北京市出让国有建设用地使用权及在建建筑物房地产</v>
      </c>
      <c r="B2" s="3177"/>
      <c r="C2" s="3177"/>
      <c r="D2" s="3177"/>
      <c r="E2" s="3177"/>
      <c r="F2" s="3177"/>
      <c r="G2" s="3177"/>
      <c r="H2" s="3177"/>
      <c r="I2" s="3178"/>
    </row>
    <row r="3" spans="1:12" ht="12.75">
      <c r="A3" s="3179" t="s">
        <v>2119</v>
      </c>
      <c r="B3" s="3180"/>
      <c r="C3" s="3180"/>
      <c r="D3" s="3180"/>
      <c r="E3" s="3180"/>
      <c r="F3" s="3180"/>
      <c r="G3" s="3180"/>
      <c r="H3" s="3180"/>
      <c r="I3" s="3180"/>
    </row>
    <row r="4" spans="1:12" ht="14.25">
      <c r="A4" s="2425" t="s">
        <v>2120</v>
      </c>
      <c r="B4" s="2426" t="s">
        <v>2121</v>
      </c>
      <c r="C4" s="2427" t="s">
        <v>3106</v>
      </c>
      <c r="D4" s="2427" t="s">
        <v>3114</v>
      </c>
      <c r="E4" s="3160" t="s">
        <v>2122</v>
      </c>
      <c r="F4" s="3173"/>
      <c r="G4" s="3173"/>
      <c r="H4" s="3173"/>
      <c r="I4" s="316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51" t="s">
        <v>2123</v>
      </c>
      <c r="B5" s="3077">
        <v>25</v>
      </c>
      <c r="C5" s="3181"/>
      <c r="D5" s="3169"/>
      <c r="E5" s="140" t="s">
        <v>2124</v>
      </c>
      <c r="F5" s="2429"/>
      <c r="G5" s="2429"/>
      <c r="H5" s="2429"/>
      <c r="I5" s="1831"/>
    </row>
    <row r="6" spans="1:12" ht="12.75">
      <c r="A6" s="3151"/>
      <c r="B6" s="3077"/>
      <c r="C6" s="3183"/>
      <c r="D6" s="3169"/>
      <c r="E6" s="140" t="s">
        <v>2125</v>
      </c>
      <c r="F6" s="2429"/>
      <c r="G6" s="2429"/>
      <c r="H6" s="2429"/>
      <c r="I6" s="1831"/>
    </row>
    <row r="7" spans="1:12" ht="12.75">
      <c r="A7" s="3151"/>
      <c r="B7" s="3077"/>
      <c r="C7" s="3182"/>
      <c r="D7" s="3169"/>
      <c r="E7" s="140" t="s">
        <v>2126</v>
      </c>
      <c r="F7" s="2429"/>
      <c r="G7" s="2429"/>
      <c r="H7" s="2429"/>
      <c r="I7" s="1831"/>
    </row>
    <row r="8" spans="1:12" ht="12.75">
      <c r="A8" s="3151" t="s">
        <v>2127</v>
      </c>
      <c r="B8" s="3077">
        <v>15</v>
      </c>
      <c r="C8" s="3181"/>
      <c r="D8" s="3169"/>
      <c r="E8" s="140" t="s">
        <v>2128</v>
      </c>
      <c r="F8" s="2429"/>
      <c r="G8" s="2429"/>
      <c r="H8" s="2429"/>
      <c r="I8" s="1831"/>
    </row>
    <row r="9" spans="1:12" ht="12.75">
      <c r="A9" s="3151"/>
      <c r="B9" s="3077"/>
      <c r="C9" s="3182"/>
      <c r="D9" s="3169"/>
      <c r="E9" s="140" t="s">
        <v>2129</v>
      </c>
      <c r="F9" s="2429"/>
      <c r="G9" s="2429"/>
      <c r="H9" s="2429"/>
      <c r="I9" s="1831"/>
    </row>
    <row r="10" spans="1:12" ht="12.75">
      <c r="A10" s="3151" t="s">
        <v>2130</v>
      </c>
      <c r="B10" s="3077">
        <v>15</v>
      </c>
      <c r="C10" s="3181"/>
      <c r="D10" s="3169"/>
      <c r="E10" s="140" t="s">
        <v>2131</v>
      </c>
      <c r="F10" s="2429"/>
      <c r="G10" s="2429"/>
      <c r="H10" s="2429"/>
      <c r="I10" s="1831"/>
    </row>
    <row r="11" spans="1:12" ht="12.75">
      <c r="A11" s="3151"/>
      <c r="B11" s="3077"/>
      <c r="C11" s="3182"/>
      <c r="D11" s="3169"/>
      <c r="E11" s="140" t="s">
        <v>2132</v>
      </c>
      <c r="F11" s="2429"/>
      <c r="G11" s="2429"/>
      <c r="H11" s="2429"/>
      <c r="I11" s="1831"/>
    </row>
    <row r="12" spans="1:12" ht="12.75">
      <c r="A12" s="3151" t="s">
        <v>2133</v>
      </c>
      <c r="B12" s="3077">
        <v>15</v>
      </c>
      <c r="C12" s="3181"/>
      <c r="D12" s="3169"/>
      <c r="E12" s="140" t="s">
        <v>2134</v>
      </c>
      <c r="F12" s="2429"/>
      <c r="G12" s="2429"/>
      <c r="H12" s="2429"/>
      <c r="I12" s="1831"/>
    </row>
    <row r="13" spans="1:12" ht="12.75">
      <c r="A13" s="3151"/>
      <c r="B13" s="3077"/>
      <c r="C13" s="3182"/>
      <c r="D13" s="3169"/>
      <c r="E13" s="140" t="s">
        <v>2135</v>
      </c>
      <c r="F13" s="2429"/>
      <c r="G13" s="2429"/>
      <c r="H13" s="2429"/>
      <c r="I13" s="1831"/>
    </row>
    <row r="14" spans="1:12" ht="12.75">
      <c r="A14" s="3151" t="s">
        <v>2136</v>
      </c>
      <c r="B14" s="3077">
        <v>30</v>
      </c>
      <c r="C14" s="3181">
        <v>5</v>
      </c>
      <c r="D14" s="3169">
        <v>5</v>
      </c>
      <c r="E14" s="140" t="s">
        <v>2137</v>
      </c>
      <c r="F14" s="2429"/>
      <c r="G14" s="2429"/>
      <c r="H14" s="2429"/>
      <c r="I14" s="1831"/>
    </row>
    <row r="15" spans="1:12" ht="12.75">
      <c r="A15" s="3151"/>
      <c r="B15" s="3077"/>
      <c r="C15" s="3183"/>
      <c r="D15" s="3169"/>
      <c r="E15" s="140" t="s">
        <v>2138</v>
      </c>
      <c r="F15" s="2429"/>
      <c r="G15" s="2429"/>
      <c r="H15" s="2429"/>
      <c r="I15" s="1831"/>
    </row>
    <row r="16" spans="1:12" ht="12.75">
      <c r="A16" s="3151"/>
      <c r="B16" s="3077"/>
      <c r="C16" s="3182"/>
      <c r="D16" s="3169"/>
      <c r="E16" s="140" t="s">
        <v>2139</v>
      </c>
      <c r="F16" s="2429"/>
      <c r="G16" s="2429"/>
      <c r="H16" s="2429"/>
      <c r="I16" s="1831"/>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631.32000000000005</v>
      </c>
      <c r="M18" s="2428">
        <f>IF(C1="",'数据-汇总表'!E3,SUMIF(项目类型,C1,'数据-汇总表'!E17:E26))</f>
        <v>631.32000000000005</v>
      </c>
    </row>
    <row r="19" spans="1:35" ht="15">
      <c r="A19" s="2434" t="s">
        <v>2145</v>
      </c>
      <c r="B19" s="2435" t="s">
        <v>2146</v>
      </c>
      <c r="C19" s="143">
        <f ca="1">SUMIF(INDIRECT("'"&amp;C4&amp;"'"&amp;"!A:A"),结果表!B19,INDIRECT("'"&amp;C4&amp;"'"&amp;"!B:B"))</f>
        <v>2805</v>
      </c>
      <c r="D19" s="144">
        <f ca="1">SUMIF(INDIRECT("'"&amp;D4&amp;"'"&amp;"!A:A"),结果表!B19,INDIRECT("'"&amp;D4&amp;"'"&amp;"!B:B"))</f>
        <v>2747</v>
      </c>
      <c r="E19" s="2434" t="s">
        <v>2147</v>
      </c>
      <c r="F19" s="2435" t="s">
        <v>2146</v>
      </c>
      <c r="G19" s="145">
        <f ca="1">ROUND(C19*$C$18+D19*$D$18,0)</f>
        <v>2776</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44431</v>
      </c>
      <c r="D20" s="147">
        <f ca="1">SUMIF(INDIRECT("'"&amp;D4&amp;"'"&amp;"!A:A"),结果表!B20,INDIRECT("'"&amp;D4&amp;"'"&amp;"!B:B"))</f>
        <v>43513</v>
      </c>
      <c r="E20" s="2437"/>
      <c r="F20" s="1247" t="s">
        <v>2150</v>
      </c>
      <c r="G20" s="148">
        <f ca="1">ROUND(C20*$C$18+D20*$D$18,0)</f>
        <v>43972</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2.1113942482708481E-2</v>
      </c>
      <c r="E22" s="138"/>
      <c r="F22" s="138"/>
      <c r="G22" s="138"/>
      <c r="H22" s="138"/>
      <c r="I22" s="138"/>
    </row>
    <row r="23" spans="1:35" ht="13.5" thickBot="1">
      <c r="A23" s="2418"/>
      <c r="B23" s="2418"/>
      <c r="C23" s="2418"/>
      <c r="D23" s="2418"/>
      <c r="E23" s="138"/>
      <c r="F23" s="138"/>
      <c r="G23" s="138"/>
      <c r="H23" s="138"/>
      <c r="I23" s="138"/>
    </row>
    <row r="24" spans="1:35" ht="14.25">
      <c r="A24" s="3190" t="s">
        <v>2154</v>
      </c>
      <c r="B24" s="2435" t="s">
        <v>2146</v>
      </c>
      <c r="C24" s="145">
        <f>IF(B30=0,0,D30)</f>
        <v>0</v>
      </c>
      <c r="D24" s="2442"/>
      <c r="E24" s="138"/>
      <c r="F24" s="138"/>
      <c r="G24" s="138"/>
      <c r="H24" s="138"/>
      <c r="I24" s="138"/>
    </row>
    <row r="25" spans="1:35" ht="14.25">
      <c r="A25" s="3191"/>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2776</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70" t="s">
        <v>2168</v>
      </c>
      <c r="B36" s="2461" t="s">
        <v>2169</v>
      </c>
      <c r="C36" s="154"/>
      <c r="D36" s="2462"/>
      <c r="E36" s="2463"/>
      <c r="F36" s="2464"/>
      <c r="G36" s="138"/>
      <c r="H36" s="138"/>
      <c r="I36" s="138"/>
    </row>
    <row r="37" spans="1:15" ht="15.75" thickBot="1">
      <c r="A37" s="3171"/>
      <c r="B37" s="2267" t="s">
        <v>2170</v>
      </c>
      <c r="C37" s="156"/>
      <c r="D37" s="1392"/>
      <c r="E37" s="1392"/>
      <c r="F37" s="2464"/>
      <c r="G37" s="138"/>
      <c r="H37" s="138"/>
      <c r="I37" s="138"/>
    </row>
    <row r="38" spans="1:15" ht="15.75" thickBot="1">
      <c r="A38" s="3172"/>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87" t="s">
        <v>2182</v>
      </c>
      <c r="B45" s="3188"/>
      <c r="C45" s="3189"/>
      <c r="D45" s="164">
        <f ca="1">ROUND(H101*F45,0)</f>
        <v>2776</v>
      </c>
      <c r="E45" s="165" t="s">
        <v>2183</v>
      </c>
      <c r="F45" s="166">
        <v>1</v>
      </c>
      <c r="G45" s="167" t="s">
        <v>2184</v>
      </c>
      <c r="H45" s="138"/>
      <c r="I45" s="138"/>
      <c r="J45" s="3106" t="s">
        <v>2185</v>
      </c>
      <c r="K45" s="3106"/>
      <c r="L45" s="3106"/>
      <c r="M45" s="3106"/>
      <c r="N45" s="3106"/>
      <c r="O45" s="3106"/>
    </row>
    <row r="46" spans="1:15" ht="14.25" customHeight="1">
      <c r="A46" s="3184" t="s">
        <v>2186</v>
      </c>
      <c r="B46" s="3185"/>
      <c r="C46" s="3185"/>
      <c r="D46" s="3185"/>
      <c r="E46" s="3185"/>
      <c r="F46" s="3185"/>
      <c r="G46" s="3186"/>
      <c r="H46" s="2480"/>
      <c r="I46" s="168"/>
      <c r="J46" s="1809">
        <v>1</v>
      </c>
      <c r="K46" s="3106" t="s">
        <v>2187</v>
      </c>
      <c r="L46" s="3106"/>
      <c r="M46" s="3107"/>
      <c r="N46" s="3107"/>
      <c r="O46" s="3107"/>
    </row>
    <row r="47" spans="1:15" ht="12" customHeight="1">
      <c r="A47" s="169" t="s">
        <v>2188</v>
      </c>
      <c r="B47" s="170"/>
      <c r="C47" s="171"/>
      <c r="D47" s="172" t="s">
        <v>2189</v>
      </c>
      <c r="E47" s="24" t="s">
        <v>2190</v>
      </c>
      <c r="F47" s="173" t="s">
        <v>2191</v>
      </c>
      <c r="G47" s="174" t="s">
        <v>2192</v>
      </c>
      <c r="H47" s="2480"/>
      <c r="I47" s="168"/>
      <c r="J47" s="1809">
        <v>2</v>
      </c>
      <c r="K47" s="3106" t="s">
        <v>2193</v>
      </c>
      <c r="L47" s="3106"/>
      <c r="M47" s="3108">
        <f>'数据-取费表'!B2</f>
        <v>43914</v>
      </c>
      <c r="N47" s="3108"/>
      <c r="O47" s="3108"/>
    </row>
    <row r="48" spans="1:15" ht="25.5">
      <c r="A48" s="3174" t="s">
        <v>2194</v>
      </c>
      <c r="B48" s="3175"/>
      <c r="C48" s="3175"/>
      <c r="D48" s="140">
        <f ca="1">IF(H48="情况1",0,IF(H48="情况2",D52,IF(H48="情况3",D53,IF(H48="情况4",D54))))</f>
        <v>84</v>
      </c>
      <c r="E48" s="1798" t="str">
        <f>IF(H48="情况4","(销售额-原购置价)×税（费）率","销售额×税（费）率")</f>
        <v>(销售额-原购置价)×税（费）率</v>
      </c>
      <c r="F48" s="175">
        <f>IF(H48="情况1","免征",'数据-取费表'!B41)</f>
        <v>5.6000000000000001E-2</v>
      </c>
      <c r="G48" s="2481" t="s">
        <v>2195</v>
      </c>
      <c r="H48" s="2482" t="s">
        <v>3121</v>
      </c>
      <c r="I48" s="2480"/>
      <c r="J48" s="1809">
        <v>3</v>
      </c>
      <c r="K48" s="3106" t="s">
        <v>2196</v>
      </c>
      <c r="L48" s="3106"/>
      <c r="M48" s="3109">
        <f ca="1">H101</f>
        <v>2776</v>
      </c>
      <c r="N48" s="3109"/>
      <c r="O48" s="3109"/>
    </row>
    <row r="49" spans="1:35" ht="25.5" customHeight="1">
      <c r="A49" s="176" t="s">
        <v>2197</v>
      </c>
      <c r="B49" s="3154" t="s">
        <v>2198</v>
      </c>
      <c r="C49" s="3154"/>
      <c r="D49" s="177">
        <v>0</v>
      </c>
      <c r="E49" s="23" t="s">
        <v>2199</v>
      </c>
      <c r="F49" s="28" t="s">
        <v>34</v>
      </c>
      <c r="G49" s="3135"/>
      <c r="H49" s="138"/>
      <c r="I49" s="2483"/>
      <c r="J49" s="1809">
        <v>4</v>
      </c>
      <c r="K49" s="3106" t="str">
        <f>IF(项目基本情况!E8="房地产抵押价值","房地产抵押价值","抵押担保权已注销时的房地产抵押价值")</f>
        <v>房地产抵押价值</v>
      </c>
      <c r="L49" s="3106"/>
      <c r="M49" s="3109">
        <f ca="1">IF(项目基本情况!E8="房地产抵押价值",H107,H109)</f>
        <v>2776</v>
      </c>
      <c r="N49" s="3109"/>
      <c r="O49" s="3109"/>
    </row>
    <row r="50" spans="1:35" ht="25.5" customHeight="1">
      <c r="A50" s="178"/>
      <c r="B50" s="3154" t="s">
        <v>2200</v>
      </c>
      <c r="C50" s="3154"/>
      <c r="D50" s="179"/>
      <c r="E50" s="31"/>
      <c r="F50" s="180"/>
      <c r="G50" s="3136"/>
      <c r="H50" s="138"/>
      <c r="I50" s="2483"/>
      <c r="J50" s="3106" t="s">
        <v>2201</v>
      </c>
      <c r="K50" s="3106"/>
      <c r="L50" s="3106"/>
      <c r="M50" s="3106"/>
      <c r="N50" s="3106"/>
      <c r="O50" s="3106"/>
    </row>
    <row r="51" spans="1:35" ht="12" customHeight="1">
      <c r="A51" s="181"/>
      <c r="B51" s="3154" t="s">
        <v>2202</v>
      </c>
      <c r="C51" s="3154"/>
      <c r="D51" s="182"/>
      <c r="E51" s="30"/>
      <c r="F51" s="180"/>
      <c r="G51" s="3137"/>
      <c r="H51" s="138"/>
      <c r="I51" s="2483"/>
      <c r="J51" s="2484" t="s">
        <v>2203</v>
      </c>
      <c r="K51" s="3106" t="s">
        <v>2204</v>
      </c>
      <c r="L51" s="3106"/>
      <c r="M51" s="2484" t="s">
        <v>2205</v>
      </c>
      <c r="N51" s="2484" t="s">
        <v>2206</v>
      </c>
      <c r="O51" s="2484" t="s">
        <v>2207</v>
      </c>
    </row>
    <row r="52" spans="1:35" ht="24" customHeight="1">
      <c r="A52" s="183" t="s">
        <v>2208</v>
      </c>
      <c r="B52" s="3154" t="s">
        <v>2209</v>
      </c>
      <c r="C52" s="3154"/>
      <c r="D52" s="182">
        <f ca="1">ROUND(D45*'数据-取费表'!B41/(1+'数据-取费表'!C42),0)</f>
        <v>148</v>
      </c>
      <c r="E52" s="11" t="s">
        <v>2210</v>
      </c>
      <c r="F52" s="184">
        <f>'数据-取费表'!B41</f>
        <v>5.6000000000000001E-2</v>
      </c>
      <c r="G52" s="2485"/>
      <c r="H52" s="138"/>
      <c r="I52" s="2483"/>
      <c r="J52" s="1809">
        <v>1</v>
      </c>
      <c r="K52" s="3129" t="s">
        <v>2211</v>
      </c>
      <c r="L52" s="3129"/>
      <c r="M52" s="1751">
        <f ca="1">D48</f>
        <v>84</v>
      </c>
      <c r="N52" s="1809" t="str">
        <f>E48</f>
        <v>(销售额-原购置价)×税（费）率</v>
      </c>
      <c r="O52" s="1752">
        <f>F48</f>
        <v>5.6000000000000001E-2</v>
      </c>
    </row>
    <row r="53" spans="1:35" ht="12" customHeight="1">
      <c r="A53" s="183" t="s">
        <v>2212</v>
      </c>
      <c r="B53" s="3155" t="s">
        <v>2213</v>
      </c>
      <c r="C53" s="3156"/>
      <c r="D53" s="182">
        <f ca="1">ROUND(D45*'数据-取费表'!B41/(1+'数据-取费表'!C42),0)</f>
        <v>148</v>
      </c>
      <c r="E53" s="11" t="s">
        <v>2210</v>
      </c>
      <c r="F53" s="184">
        <f>'数据-取费表'!B41</f>
        <v>5.6000000000000001E-2</v>
      </c>
      <c r="G53" s="2485"/>
      <c r="H53" s="138"/>
      <c r="I53" s="2483"/>
      <c r="J53" s="1809">
        <v>2</v>
      </c>
      <c r="K53" s="3129" t="s">
        <v>2214</v>
      </c>
      <c r="L53" s="3129"/>
      <c r="M53" s="1751">
        <f t="shared" ref="M53:O54" ca="1" si="0">D55</f>
        <v>1</v>
      </c>
      <c r="N53" s="1809" t="str">
        <f t="shared" si="0"/>
        <v>销售额×税（费）率</v>
      </c>
      <c r="O53" s="1752">
        <f t="shared" si="0"/>
        <v>5.0000000000000001E-4</v>
      </c>
    </row>
    <row r="54" spans="1:35" ht="12" customHeight="1">
      <c r="A54" s="183" t="s">
        <v>2215</v>
      </c>
      <c r="B54" s="3155" t="s">
        <v>2216</v>
      </c>
      <c r="C54" s="3156"/>
      <c r="D54" s="182">
        <f ca="1">C68</f>
        <v>84</v>
      </c>
      <c r="E54" s="30" t="s">
        <v>2217</v>
      </c>
      <c r="F54" s="184">
        <f>'数据-取费表'!B41</f>
        <v>5.6000000000000001E-2</v>
      </c>
      <c r="G54" s="2485"/>
      <c r="H54" s="2486"/>
      <c r="I54" s="2483"/>
      <c r="J54" s="1809">
        <v>3</v>
      </c>
      <c r="K54" s="3129" t="s">
        <v>2218</v>
      </c>
      <c r="L54" s="3129"/>
      <c r="M54" s="1751">
        <f t="shared" ca="1" si="0"/>
        <v>545</v>
      </c>
      <c r="N54" s="1809" t="str">
        <f t="shared" si="0"/>
        <v>增值额×税（费）率</v>
      </c>
      <c r="O54" s="1753" t="str">
        <f t="shared" si="0"/>
        <v>——</v>
      </c>
    </row>
    <row r="55" spans="1:35" ht="24" customHeight="1">
      <c r="A55" s="3193" t="s">
        <v>2219</v>
      </c>
      <c r="B55" s="3175"/>
      <c r="C55" s="3175"/>
      <c r="D55" s="185">
        <f ca="1">IF(H55="个人住宅",0,ROUND(D45*I55,0))</f>
        <v>1</v>
      </c>
      <c r="E55" s="11" t="s">
        <v>2220</v>
      </c>
      <c r="F55" s="184">
        <f>IF(H55="正常",I55,"免征")</f>
        <v>5.0000000000000001E-4</v>
      </c>
      <c r="G55" s="2485"/>
      <c r="H55" s="2482" t="s">
        <v>2221</v>
      </c>
      <c r="I55" s="186">
        <f>'数据-取费表'!B49</f>
        <v>5.0000000000000001E-4</v>
      </c>
      <c r="J55" s="1809" t="str">
        <f>IF(H59="非个人房产","",4)</f>
        <v/>
      </c>
      <c r="K55" s="3129" t="str">
        <f>IF(H59="非个人房产","——","个人所得税")</f>
        <v>——</v>
      </c>
      <c r="L55" s="3129"/>
      <c r="M55" s="1754" t="str">
        <f>D59</f>
        <v>——</v>
      </c>
      <c r="N55" s="1807" t="str">
        <f>E59</f>
        <v>——</v>
      </c>
      <c r="O55" s="1755" t="str">
        <f>F59</f>
        <v>——</v>
      </c>
    </row>
    <row r="56" spans="1:35" ht="24.75">
      <c r="A56" s="3193" t="s">
        <v>2222</v>
      </c>
      <c r="B56" s="3175"/>
      <c r="C56" s="3175"/>
      <c r="D56" s="185">
        <f ca="1">IF(H56="个人住宅",D57,D58)</f>
        <v>545</v>
      </c>
      <c r="E56" s="11" t="s">
        <v>2223</v>
      </c>
      <c r="F56" s="184" t="str">
        <f>IF(H56="正常",F58,"免征")</f>
        <v>——</v>
      </c>
      <c r="G56" s="2487" t="s">
        <v>2224</v>
      </c>
      <c r="H56" s="2488" t="s">
        <v>2221</v>
      </c>
      <c r="I56" s="2489"/>
      <c r="J56" s="1809" t="str">
        <f>IF(项目基本情况!K6="上海银行",IF(J55="",4,J55+1),"")</f>
        <v/>
      </c>
      <c r="K56" s="3112" t="str">
        <f>IF(项目基本情况!K6="上海银行","其他处置费用","")</f>
        <v/>
      </c>
      <c r="L56" s="3113"/>
      <c r="M56" s="1751" t="str">
        <f>IF(项目基本情况!K6="上海银行",M69,"")</f>
        <v/>
      </c>
      <c r="N56" s="3115" t="str">
        <f>IF(项目基本情况!K6="上海银行","包含处置中涉及的律师、诉讼、拍卖、评估等费用","")</f>
        <v/>
      </c>
      <c r="O56" s="3116"/>
    </row>
    <row r="57" spans="1:35" ht="12.75">
      <c r="A57" s="183" t="s">
        <v>2197</v>
      </c>
      <c r="B57" s="3160" t="s">
        <v>2225</v>
      </c>
      <c r="C57" s="3161"/>
      <c r="D57" s="187">
        <v>0</v>
      </c>
      <c r="E57" s="23" t="s">
        <v>2199</v>
      </c>
      <c r="F57" s="155"/>
      <c r="G57" s="2485"/>
      <c r="H57" s="2489"/>
      <c r="I57" s="2489"/>
      <c r="J57" s="3129">
        <f>IF(AND(J55="",J56=""),4,IF(项目基本情况!K6="上海银行",结果表!J56+1,结果表!J55+1))</f>
        <v>4</v>
      </c>
      <c r="K57" s="3129" t="s">
        <v>2226</v>
      </c>
      <c r="L57" s="2490" t="s">
        <v>2227</v>
      </c>
      <c r="M57" s="1756"/>
      <c r="N57" s="1757">
        <f ca="1">SUMIF(M52:M56,"&lt;9e307")</f>
        <v>630</v>
      </c>
      <c r="O57" s="2491"/>
      <c r="P57" s="1750">
        <f ca="1">N57/M49</f>
        <v>0.22694524495677235</v>
      </c>
    </row>
    <row r="58" spans="1:35" ht="24.75">
      <c r="A58" s="183" t="s">
        <v>2208</v>
      </c>
      <c r="B58" s="3160" t="s">
        <v>2228</v>
      </c>
      <c r="C58" s="3173"/>
      <c r="D58" s="185">
        <f ca="1">IF(H58="转让取得",C81,C97)</f>
        <v>545</v>
      </c>
      <c r="E58" s="11" t="s">
        <v>2223</v>
      </c>
      <c r="F58" s="24" t="s">
        <v>34</v>
      </c>
      <c r="G58" s="2485"/>
      <c r="H58" s="2488" t="s">
        <v>3116</v>
      </c>
      <c r="I58" s="2489"/>
      <c r="J58" s="3129"/>
      <c r="K58" s="3129"/>
      <c r="L58" s="2490" t="s">
        <v>2229</v>
      </c>
      <c r="M58" s="1758"/>
      <c r="N58" s="2492" t="str">
        <f ca="1">NUMBERSTRING(INT(N57*10000),2)&amp;"元整"</f>
        <v>陆佰叁拾万元整</v>
      </c>
      <c r="O58" s="2493"/>
    </row>
    <row r="59" spans="1:35" ht="24.75" thickBot="1">
      <c r="A59" s="3133" t="s">
        <v>2230</v>
      </c>
      <c r="B59" s="3134"/>
      <c r="C59" s="3134"/>
      <c r="D59" s="188" t="str">
        <f>IF(H59="非个人房产","——",IF(H59="个人住宅",0,ROUND(D45*I59,0)))</f>
        <v>——</v>
      </c>
      <c r="E59" s="189" t="str">
        <f>IF(H59="非个人房产","——","销售额×税（费）率")</f>
        <v>——</v>
      </c>
      <c r="F59" s="190" t="str">
        <f>IF(H59="非个人房产","——",IF(H59="个人住宅","免征",I59))</f>
        <v>——</v>
      </c>
      <c r="G59" s="2494" t="s">
        <v>2224</v>
      </c>
      <c r="H59" s="2488" t="s">
        <v>3117</v>
      </c>
      <c r="I59" s="191">
        <v>0.01</v>
      </c>
      <c r="J59" s="3131">
        <f>J57+1</f>
        <v>5</v>
      </c>
      <c r="K59" s="3129" t="s">
        <v>2231</v>
      </c>
      <c r="L59" s="1809" t="s">
        <v>2227</v>
      </c>
      <c r="M59" s="1759"/>
      <c r="N59" s="1760">
        <f ca="1">M49-N57</f>
        <v>2146</v>
      </c>
      <c r="O59" s="2495"/>
    </row>
    <row r="60" spans="1:35" ht="12" customHeight="1">
      <c r="A60" s="2496"/>
      <c r="B60" s="2418"/>
      <c r="C60" s="2418"/>
      <c r="D60" s="2418"/>
      <c r="E60" s="2166"/>
      <c r="F60" s="2489"/>
      <c r="G60" s="2489"/>
      <c r="H60" s="2497"/>
      <c r="I60" s="138"/>
      <c r="J60" s="3132"/>
      <c r="K60" s="3129"/>
      <c r="L60" s="2490" t="s">
        <v>2229</v>
      </c>
      <c r="M60" s="1758"/>
      <c r="N60" s="2492" t="str">
        <f ca="1">NUMBERSTRING(INT(N59*10000),2)&amp;"元整"</f>
        <v>贰仟壹佰肆拾陆万元整</v>
      </c>
      <c r="O60" s="2493"/>
    </row>
    <row r="61" spans="1:35" ht="13.5" thickBot="1">
      <c r="A61" s="3192" t="s">
        <v>2232</v>
      </c>
      <c r="B61" s="3192"/>
      <c r="C61" s="3192"/>
      <c r="D61" s="3192"/>
      <c r="E61" s="3192"/>
      <c r="F61" s="2489"/>
      <c r="G61" s="2489"/>
      <c r="H61" s="2497"/>
      <c r="I61" s="138"/>
      <c r="J61" s="1809">
        <f>J59+1</f>
        <v>6</v>
      </c>
      <c r="K61" s="3129" t="s">
        <v>2233</v>
      </c>
      <c r="L61" s="3129"/>
      <c r="M61" s="1761"/>
      <c r="N61" s="1762">
        <f ca="1">ROUND(N59*10000/'数据-汇总表'!E3,0)</f>
        <v>33992</v>
      </c>
      <c r="O61" s="2498"/>
    </row>
    <row r="62" spans="1:35" ht="12.75">
      <c r="A62" s="3149" t="s">
        <v>2234</v>
      </c>
      <c r="B62" s="3150"/>
      <c r="C62" s="1801"/>
      <c r="D62" s="1801" t="s">
        <v>2235</v>
      </c>
      <c r="E62" s="192" t="s">
        <v>2236</v>
      </c>
      <c r="F62" s="2489"/>
      <c r="G62" s="2489"/>
      <c r="H62" s="2497"/>
      <c r="I62" s="138"/>
    </row>
    <row r="63" spans="1:35" ht="12.75">
      <c r="A63" s="203" t="s">
        <v>775</v>
      </c>
      <c r="B63" s="193" t="s">
        <v>2237</v>
      </c>
      <c r="C63" s="194">
        <f ca="1">ROUND((C64+C65)/(1+'数据-取费表'!C42),0)</f>
        <v>2644</v>
      </c>
      <c r="D63" s="195"/>
      <c r="E63" s="196"/>
      <c r="F63" s="2489"/>
      <c r="G63" s="2489"/>
      <c r="H63" s="2497"/>
      <c r="I63" s="138"/>
      <c r="J63" s="3114" t="s">
        <v>2238</v>
      </c>
      <c r="K63" s="2499" t="s">
        <v>2239</v>
      </c>
      <c r="L63" s="1749">
        <f ca="1">IF(M49&gt;10000,M49*0.5%,IF(AND(M49&gt;1000,M49&lt;=10000),M49*1%,IF(AND(M49&gt;100,M49&lt;=1000),M49*3%,IF(AND(M49&gt;10,M49&lt;=100),M49*5%,M49*8%))))</f>
        <v>27.76</v>
      </c>
      <c r="M63" s="24">
        <f ca="1">ROUND(L63,1)</f>
        <v>27.8</v>
      </c>
      <c r="Z63" s="2423"/>
      <c r="AI63" s="2424"/>
    </row>
    <row r="64" spans="1:35" ht="14.25" customHeight="1">
      <c r="A64" s="197" t="s">
        <v>770</v>
      </c>
      <c r="B64" s="198" t="s">
        <v>2240</v>
      </c>
      <c r="C64" s="199">
        <f ca="1">D45</f>
        <v>2776</v>
      </c>
      <c r="D64" s="200" t="s">
        <v>32</v>
      </c>
      <c r="E64" s="201"/>
      <c r="F64" s="2489"/>
      <c r="G64" s="2489"/>
      <c r="H64" s="2497"/>
      <c r="I64" s="138"/>
      <c r="J64" s="3114"/>
      <c r="K64" s="2499" t="s">
        <v>2241</v>
      </c>
      <c r="L64" s="1749">
        <f ca="1">IF(M49&gt;2000,M49*0.5%,IF(AND(M49&gt;1000,M49&lt;=2000),M49*0.6%,IF(AND(M49&gt;500,M49&lt;=1000),M49*0.7%,IF(AND(M49&gt;200,M49&lt;=500),M49*0.8%,IF(AND(M49&gt;100,M49&lt;=200),M49*0.9%,IF(AND(M49&gt;50,M49&lt;=100),M49*1%,IF(AND(M49&gt;20,M49&lt;=50),M49*1.5%,IF(AND(M49&gt;10,M49&lt;=20),M49*2%,IF(AND(M49&gt;1,M49&lt;=10),M49*2.5%)))))))))</f>
        <v>13.88</v>
      </c>
      <c r="M64" s="24">
        <f t="shared" ref="M64:M65" ca="1" si="1">ROUND(L64,1)</f>
        <v>13.9</v>
      </c>
      <c r="N64" s="138" t="s">
        <v>2242</v>
      </c>
      <c r="Z64" s="2423"/>
      <c r="AI64" s="2424"/>
    </row>
    <row r="65" spans="1:35" ht="14.25" customHeight="1">
      <c r="A65" s="197" t="s">
        <v>771</v>
      </c>
      <c r="B65" s="198" t="s">
        <v>2243</v>
      </c>
      <c r="C65" s="202"/>
      <c r="D65" s="200"/>
      <c r="E65" s="201"/>
      <c r="F65" s="2489"/>
      <c r="G65" s="2489"/>
      <c r="H65" s="2497"/>
      <c r="I65" s="138"/>
      <c r="J65" s="3114"/>
      <c r="K65" s="2499" t="s">
        <v>2244</v>
      </c>
      <c r="L65" s="1749">
        <f ca="1">IF(M49&gt;1000,M49*0.1%,IF(AND(M49&gt;500,M49&lt;=1000),M49*0.5%,IF(AND(M49&gt;50,M49&lt;=500),M49*1%,IF(AND(M49&gt;1,M49&lt;=50),M49*1.5%))))</f>
        <v>2.7760000000000002</v>
      </c>
      <c r="M65" s="24">
        <f t="shared" ca="1" si="1"/>
        <v>2.8</v>
      </c>
      <c r="N65" s="138" t="s">
        <v>2242</v>
      </c>
      <c r="Z65" s="2423"/>
      <c r="AI65" s="2424"/>
    </row>
    <row r="66" spans="1:35" ht="14.25" customHeight="1">
      <c r="A66" s="203" t="s">
        <v>772</v>
      </c>
      <c r="B66" s="204" t="s">
        <v>2245</v>
      </c>
      <c r="C66" s="205">
        <f>C75/1.05</f>
        <v>1145.251698095238</v>
      </c>
      <c r="D66" s="206" t="s">
        <v>32</v>
      </c>
      <c r="E66" s="1773" t="s">
        <v>1366</v>
      </c>
      <c r="F66" s="2489"/>
      <c r="G66" s="2489"/>
      <c r="H66" s="2497"/>
      <c r="I66" s="138"/>
      <c r="J66" s="3114"/>
      <c r="K66" s="2499" t="s">
        <v>2246</v>
      </c>
      <c r="L66" s="1749">
        <f ca="1">M49*0.5%</f>
        <v>13.88</v>
      </c>
      <c r="M66" s="24">
        <f ca="1">IF(L66&gt;0.5,0.5,ROUND(L66,0))</f>
        <v>0.5</v>
      </c>
      <c r="N66" s="138" t="s">
        <v>2247</v>
      </c>
      <c r="Z66" s="2423"/>
      <c r="AI66" s="2424"/>
    </row>
    <row r="67" spans="1:35" ht="14.25" customHeight="1">
      <c r="A67" s="203" t="s">
        <v>773</v>
      </c>
      <c r="B67" s="204" t="s">
        <v>2248</v>
      </c>
      <c r="C67" s="207">
        <f ca="1">C63-C66</f>
        <v>1498.748301904762</v>
      </c>
      <c r="D67" s="200" t="s">
        <v>32</v>
      </c>
      <c r="E67" s="201"/>
      <c r="F67" s="2489"/>
      <c r="G67" s="2489"/>
      <c r="H67" s="2497"/>
      <c r="I67" s="138"/>
      <c r="J67" s="3114"/>
      <c r="K67" s="2499" t="s">
        <v>2249</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84</v>
      </c>
      <c r="D68" s="211">
        <f>'数据-取费表'!B41</f>
        <v>5.6000000000000001E-2</v>
      </c>
      <c r="E68" s="212"/>
      <c r="F68" s="2489"/>
      <c r="G68" s="2489"/>
      <c r="H68" s="2497"/>
      <c r="I68" s="138"/>
      <c r="J68" s="3114"/>
      <c r="K68" s="2499" t="s">
        <v>2251</v>
      </c>
      <c r="L68" s="1749">
        <f ca="1">IF(M49&gt;10000,M49*0.5%,IF(AND(M49&gt;5000,M49&lt;=10000),M49*1%,IF(AND(M49&gt;1000,M49&lt;=5000),M49*2%,IF(AND(M49&gt;200,M49&lt;=1000),M49*3%,M49*5%))))</f>
        <v>55.52</v>
      </c>
      <c r="M68" s="24">
        <f ca="1">ROUND(L68,1)</f>
        <v>55.5</v>
      </c>
      <c r="Z68" s="2423"/>
      <c r="AI68" s="2424"/>
    </row>
    <row r="69" spans="1:35" s="2446" customFormat="1" ht="16.5" customHeight="1">
      <c r="A69" s="2500"/>
      <c r="B69" s="2501"/>
      <c r="C69" s="2502"/>
      <c r="D69" s="2503"/>
      <c r="E69" s="2504"/>
      <c r="F69" s="2166"/>
      <c r="G69" s="2166"/>
      <c r="H69" s="2165"/>
      <c r="I69" s="2418"/>
      <c r="J69" s="3114"/>
      <c r="K69" s="2499" t="s">
        <v>2252</v>
      </c>
      <c r="L69" s="2505"/>
      <c r="M69" s="24">
        <f ca="1">ROUND(SUM(M63:M68),0)</f>
        <v>103</v>
      </c>
      <c r="N69" s="1750">
        <f ca="1">M69/M49</f>
        <v>3.7103746397694523E-2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8" t="s">
        <v>2253</v>
      </c>
      <c r="B70" s="3159"/>
      <c r="C70" s="3159"/>
      <c r="D70" s="3159"/>
      <c r="E70" s="3159"/>
      <c r="F70" s="3159"/>
      <c r="G70" s="3159"/>
      <c r="H70" s="315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9" t="s">
        <v>2234</v>
      </c>
      <c r="B71" s="3150"/>
      <c r="C71" s="1801"/>
      <c r="D71" s="1801"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2644</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1196</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1180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f>12025142.83/10000</f>
        <v>1202.514283</v>
      </c>
      <c r="D75" s="200" t="s">
        <v>32</v>
      </c>
      <c r="E75" s="219" t="s">
        <v>2258</v>
      </c>
      <c r="F75" s="2511" t="s">
        <v>2259</v>
      </c>
      <c r="G75" s="219" t="s">
        <v>2260</v>
      </c>
      <c r="H75" s="220">
        <v>1</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55" t="s">
        <v>2262</v>
      </c>
      <c r="F76" s="3154"/>
      <c r="G76" s="3154"/>
      <c r="H76" s="315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35</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16</v>
      </c>
      <c r="D78" s="226">
        <f>'数据-取费表'!B43</f>
        <v>6.000000000000001E-3</v>
      </c>
      <c r="E78" s="3146" t="s">
        <v>2267</v>
      </c>
      <c r="F78" s="3147"/>
      <c r="G78" s="3147"/>
      <c r="H78" s="314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1448</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1.2107023411371238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545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8" t="s">
        <v>2271</v>
      </c>
      <c r="B83" s="3159"/>
      <c r="C83" s="3159"/>
      <c r="D83" s="3159"/>
      <c r="E83" s="3159"/>
      <c r="F83" s="3159"/>
      <c r="G83" s="3159"/>
      <c r="H83" s="315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9" t="s">
        <v>2234</v>
      </c>
      <c r="B84" s="3150"/>
      <c r="C84" s="1801"/>
      <c r="D84" s="1801"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2644</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16</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t="s">
        <v>3120</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46" t="s">
        <v>2280</v>
      </c>
      <c r="F91" s="3147"/>
      <c r="G91" s="3147"/>
      <c r="H91" s="2518" t="s">
        <v>3141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146" t="s">
        <v>2283</v>
      </c>
      <c r="F92" s="3147"/>
      <c r="G92" s="3147"/>
      <c r="H92" s="314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2266</v>
      </c>
      <c r="C93" s="225">
        <f ca="1">ROUND(D45*D93/(1+'数据-取费表'!C42),0)</f>
        <v>16</v>
      </c>
      <c r="D93" s="226">
        <f>'数据-取费表'!B43</f>
        <v>6.000000000000001E-3</v>
      </c>
      <c r="E93" s="3146" t="s">
        <v>2267</v>
      </c>
      <c r="F93" s="3147"/>
      <c r="G93" s="3147"/>
      <c r="H93" s="314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194" t="s">
        <v>2287</v>
      </c>
      <c r="F94" s="3195"/>
      <c r="G94" s="3195"/>
      <c r="H94" s="319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2628</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1571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98" t="s">
        <v>2289</v>
      </c>
      <c r="B100" s="3099"/>
      <c r="C100" s="3099"/>
      <c r="D100" s="3130"/>
      <c r="E100" s="3099" t="s">
        <v>2290</v>
      </c>
      <c r="F100" s="3099"/>
      <c r="G100" s="3099"/>
      <c r="H100" s="3130"/>
      <c r="I100" s="138"/>
    </row>
    <row r="101" spans="1:35" ht="18.75" customHeight="1">
      <c r="A101" s="3138" t="s">
        <v>2291</v>
      </c>
      <c r="B101" s="3139"/>
      <c r="C101" s="736" t="str">
        <f>C4</f>
        <v>收益法</v>
      </c>
      <c r="D101" s="737" t="str">
        <f>D4</f>
        <v>比较法-商业</v>
      </c>
      <c r="E101" s="3110" t="s">
        <v>2292</v>
      </c>
      <c r="F101" s="3111"/>
      <c r="G101" s="2520" t="s">
        <v>2293</v>
      </c>
      <c r="H101" s="1045">
        <f ca="1">H118</f>
        <v>2776</v>
      </c>
      <c r="I101" s="138"/>
    </row>
    <row r="102" spans="1:35" ht="18.75" customHeight="1">
      <c r="A102" s="3140" t="s">
        <v>2294</v>
      </c>
      <c r="B102" s="2520" t="s">
        <v>2293</v>
      </c>
      <c r="C102" s="736">
        <f ca="1">C19</f>
        <v>2805</v>
      </c>
      <c r="D102" s="737">
        <f ca="1">D19</f>
        <v>2747</v>
      </c>
      <c r="E102" s="3110"/>
      <c r="F102" s="3111"/>
      <c r="G102" s="2520" t="s">
        <v>2295</v>
      </c>
      <c r="H102" s="371">
        <f ca="1">I118</f>
        <v>43971</v>
      </c>
      <c r="I102" s="138"/>
    </row>
    <row r="103" spans="1:35" ht="42.75" customHeight="1">
      <c r="A103" s="3140"/>
      <c r="B103" s="2520" t="s">
        <v>2295</v>
      </c>
      <c r="C103" s="738">
        <f ca="1">C20</f>
        <v>44431</v>
      </c>
      <c r="D103" s="739">
        <f ca="1">D20</f>
        <v>43513</v>
      </c>
      <c r="E103" s="3104" t="s">
        <v>2296</v>
      </c>
      <c r="F103" s="3105"/>
      <c r="G103" s="2521" t="s">
        <v>2297</v>
      </c>
      <c r="H103" s="1045">
        <f>IF(D36="正常操作",H104+H105+H106,H105+H106)</f>
        <v>0</v>
      </c>
      <c r="I103" s="138"/>
    </row>
    <row r="104" spans="1:35" ht="18.75" customHeight="1">
      <c r="A104" s="3140" t="s">
        <v>2298</v>
      </c>
      <c r="B104" s="2522" t="s">
        <v>2293</v>
      </c>
      <c r="C104" s="740">
        <f ca="1">H118</f>
        <v>2776</v>
      </c>
      <c r="D104" s="741"/>
      <c r="E104" s="2267" t="s">
        <v>2299</v>
      </c>
      <c r="F104" s="2258"/>
      <c r="G104" s="2521" t="s">
        <v>2297</v>
      </c>
      <c r="H104" s="1046">
        <f>IF(D36="同一抵押权人同一抵押物续贷",C36&amp;"（未扣减，详见特别提示）",C36)</f>
        <v>0</v>
      </c>
      <c r="I104" s="138"/>
    </row>
    <row r="105" spans="1:35" ht="18.75" customHeight="1" thickBot="1">
      <c r="A105" s="3152"/>
      <c r="B105" s="2523" t="s">
        <v>2295</v>
      </c>
      <c r="C105" s="742">
        <f ca="1">I118</f>
        <v>43971</v>
      </c>
      <c r="D105" s="743"/>
      <c r="E105" s="2267" t="s">
        <v>2300</v>
      </c>
      <c r="F105" s="2258"/>
      <c r="G105" s="2521" t="s">
        <v>2297</v>
      </c>
      <c r="H105" s="1046">
        <f>C37</f>
        <v>0</v>
      </c>
      <c r="I105" s="138"/>
    </row>
    <row r="106" spans="1:35" ht="18.75" customHeight="1">
      <c r="A106" s="2418" t="s">
        <v>2301</v>
      </c>
      <c r="B106" s="2418"/>
      <c r="C106" s="2418"/>
      <c r="D106" s="2418"/>
      <c r="E106" s="2524" t="s">
        <v>2302</v>
      </c>
      <c r="F106" s="2258"/>
      <c r="G106" s="2521" t="s">
        <v>2297</v>
      </c>
      <c r="H106" s="1046">
        <f>C38</f>
        <v>0</v>
      </c>
      <c r="I106" s="138"/>
    </row>
    <row r="107" spans="1:35" ht="18.75" customHeight="1">
      <c r="A107" s="138"/>
      <c r="B107" s="138"/>
      <c r="C107" s="138"/>
      <c r="D107" s="138"/>
      <c r="E107" s="3141" t="str">
        <f>IF(项目基本情况!E8="已注销","——","3.房地产抵押价值")</f>
        <v>3.房地产抵押价值</v>
      </c>
      <c r="F107" s="3111"/>
      <c r="G107" s="2520" t="s">
        <v>2293</v>
      </c>
      <c r="H107" s="1045">
        <f ca="1">IF(E107="——","——",H101-H103)</f>
        <v>2776</v>
      </c>
      <c r="I107" s="138"/>
    </row>
    <row r="108" spans="1:35" ht="18.75" customHeight="1">
      <c r="A108" s="138"/>
      <c r="B108" s="138"/>
      <c r="C108" s="138"/>
      <c r="D108" s="138"/>
      <c r="E108" s="3141"/>
      <c r="F108" s="3111"/>
      <c r="G108" s="2520" t="s">
        <v>2295</v>
      </c>
      <c r="H108" s="371">
        <f ca="1">ROUND(H107*10000/'数据-汇总表'!E3,0)</f>
        <v>43971</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20" t="s">
        <v>2293</v>
      </c>
      <c r="H109" s="348" t="str">
        <f>IF(E109="——","——",H101-H105-H106)</f>
        <v>——</v>
      </c>
      <c r="I109" s="138"/>
    </row>
    <row r="110" spans="1:35" ht="18.75" customHeight="1">
      <c r="A110" s="138"/>
      <c r="B110" s="138"/>
      <c r="C110" s="138"/>
      <c r="D110" s="138"/>
      <c r="E110" s="3141"/>
      <c r="F110" s="3111"/>
      <c r="G110" s="2520" t="s">
        <v>2295</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4.抵押净值</v>
      </c>
      <c r="F111" s="3143"/>
      <c r="G111" s="2520" t="s">
        <v>2293</v>
      </c>
      <c r="H111" s="1045">
        <f ca="1">IF(E111="——","——",N59)</f>
        <v>2146</v>
      </c>
      <c r="I111" s="138"/>
    </row>
    <row r="112" spans="1:35" ht="18.75" customHeight="1" thickBot="1">
      <c r="A112" s="138"/>
      <c r="B112" s="138"/>
      <c r="C112" s="138"/>
      <c r="D112" s="138"/>
      <c r="E112" s="3144"/>
      <c r="F112" s="3145"/>
      <c r="G112" s="2525" t="s">
        <v>2295</v>
      </c>
      <c r="H112" s="790">
        <f ca="1">IF(E111="——","——",N61)</f>
        <v>33992</v>
      </c>
      <c r="I112" s="138"/>
    </row>
    <row r="113" spans="1:11" ht="18.75" customHeight="1">
      <c r="A113" s="138"/>
      <c r="B113" s="138"/>
      <c r="C113" s="138"/>
      <c r="D113" s="138"/>
      <c r="E113" s="3153" t="s">
        <v>2301</v>
      </c>
      <c r="F113" s="3153"/>
      <c r="G113" s="3153"/>
      <c r="H113" s="3153"/>
      <c r="I113" s="138"/>
    </row>
    <row r="114" spans="1:11" ht="3.75" customHeight="1">
      <c r="A114" s="2418"/>
      <c r="B114" s="2418"/>
      <c r="C114" s="2418"/>
      <c r="D114" s="2418"/>
      <c r="E114" s="2496"/>
      <c r="F114" s="2496"/>
      <c r="G114" s="2496"/>
      <c r="H114" s="2496"/>
      <c r="I114" s="2418"/>
    </row>
    <row r="115" spans="1:11" ht="18.75" customHeight="1">
      <c r="A115" s="3166" t="s">
        <v>2303</v>
      </c>
      <c r="B115" s="3167"/>
      <c r="C115" s="3167"/>
      <c r="D115" s="3167"/>
      <c r="E115" s="3167"/>
      <c r="F115" s="3167"/>
      <c r="G115" s="3167"/>
      <c r="H115" s="3167"/>
      <c r="I115" s="3168"/>
    </row>
    <row r="116" spans="1:11" ht="27" customHeight="1">
      <c r="A116" s="3077" t="s">
        <v>2304</v>
      </c>
      <c r="B116" s="3120" t="s">
        <v>2305</v>
      </c>
      <c r="C116" s="3120" t="s">
        <v>2306</v>
      </c>
      <c r="D116" s="3126" t="s">
        <v>2307</v>
      </c>
      <c r="E116" s="3127"/>
      <c r="F116" s="3162" t="s">
        <v>2308</v>
      </c>
      <c r="G116" s="3162"/>
      <c r="H116" s="3077" t="s">
        <v>2309</v>
      </c>
      <c r="I116" s="3077"/>
    </row>
    <row r="117" spans="1:11" ht="18.75" customHeight="1">
      <c r="A117" s="3077"/>
      <c r="B117" s="3121"/>
      <c r="C117" s="3121"/>
      <c r="D117" s="1795" t="s">
        <v>2310</v>
      </c>
      <c r="E117" s="1795" t="s">
        <v>2311</v>
      </c>
      <c r="F117" s="1795" t="s">
        <v>2310</v>
      </c>
      <c r="G117" s="1795" t="s">
        <v>2312</v>
      </c>
      <c r="H117" s="1795" t="s">
        <v>2310</v>
      </c>
      <c r="I117" s="1795" t="s">
        <v>2312</v>
      </c>
    </row>
    <row r="118" spans="1:11" ht="24.75" customHeight="1">
      <c r="A118" s="2526" t="str">
        <f>项目基本情况!S2</f>
        <v>北京市出让国有建设用地使用权及在建建筑物房地产</v>
      </c>
      <c r="B118" s="1795">
        <f>M18</f>
        <v>631.32000000000005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2776</v>
      </c>
      <c r="I118" s="1795">
        <f ca="1">ROUND(IF(D32="楼面单价",C32,H118*10000/B118),0)</f>
        <v>43971</v>
      </c>
    </row>
    <row r="119" spans="1:11" ht="18.75" customHeight="1">
      <c r="A119" s="3077" t="s">
        <v>2313</v>
      </c>
      <c r="B119" s="3077"/>
      <c r="C119" s="3077"/>
      <c r="D119" s="3122" t="e">
        <f ca="1">NUMBERSTRING(INT(D118*10000),2)&amp;"元整"</f>
        <v>#REF!</v>
      </c>
      <c r="E119" s="3123"/>
      <c r="F119" s="3122" t="e">
        <f ca="1">NUMBERSTRING(INT(F118*10000),2)&amp;"元整"</f>
        <v>#REF!</v>
      </c>
      <c r="G119" s="3123"/>
      <c r="H119" s="3122" t="str">
        <f ca="1">NUMBERSTRING(INT(H118*10000),2)&amp;"元整"</f>
        <v>贰仟柒佰柒拾陆万元整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3" t="str">
        <f>IF(D120=0,"故，本次评估不存在"&amp;A120,"故，本次评估"&amp;A120&amp;"为人民币"&amp;D120&amp;"万元整。")</f>
        <v>故，本次评估不存在估价师知悉的法定优先受偿款</v>
      </c>
    </row>
    <row r="121" spans="1:11" ht="18.75" customHeight="1">
      <c r="A121" s="3163" t="s">
        <v>2313</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2776</v>
      </c>
      <c r="E122" s="3118"/>
      <c r="F122" s="3118"/>
      <c r="G122" s="3118"/>
      <c r="H122" s="3118"/>
      <c r="I122" s="3119"/>
    </row>
    <row r="123" spans="1:11" ht="18.75" customHeight="1">
      <c r="A123" s="3077" t="s">
        <v>2313</v>
      </c>
      <c r="B123" s="3077"/>
      <c r="C123" s="3077"/>
      <c r="D123" s="3122" t="str">
        <f ca="1">NUMBERSTRING(INT(D122*10000),2)&amp;"元整"</f>
        <v>贰仟柒佰柒拾陆万元整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7" t="s">
        <v>2313</v>
      </c>
      <c r="B125" s="3077"/>
      <c r="C125" s="3077"/>
      <c r="D125" s="3122" t="e">
        <f>NUMBERSTRING(INT(D124*10000),2)&amp;"元整"</f>
        <v>#VALUE!</v>
      </c>
      <c r="E125" s="3124"/>
      <c r="F125" s="3124"/>
      <c r="G125" s="3124"/>
      <c r="H125" s="3124"/>
      <c r="I125" s="3123"/>
    </row>
    <row r="126" spans="1:11" ht="18.75" customHeight="1">
      <c r="A126" s="3128" t="str">
        <f>IF(项目基本情况!B9="房地产市场价值","",MID(E111,3,LEN(E111)-2))</f>
        <v>抵押净值</v>
      </c>
      <c r="B126" s="3128"/>
      <c r="C126" s="3128"/>
      <c r="D126" s="3117">
        <f ca="1">H111</f>
        <v>2146</v>
      </c>
      <c r="E126" s="3118"/>
      <c r="F126" s="3118"/>
      <c r="G126" s="3118"/>
      <c r="H126" s="3118"/>
      <c r="I126" s="3119"/>
    </row>
    <row r="127" spans="1:11" ht="18.75" customHeight="1">
      <c r="A127" s="3077" t="s">
        <v>2313</v>
      </c>
      <c r="B127" s="3077"/>
      <c r="C127" s="3077"/>
      <c r="D127" s="3122" t="str">
        <f ca="1">NUMBERSTRING(INT(D126*10000),2)&amp;"元整"</f>
        <v>贰仟壹佰肆拾陆万元整</v>
      </c>
      <c r="E127" s="3124"/>
      <c r="F127" s="3124"/>
      <c r="G127" s="3124"/>
      <c r="H127" s="3124"/>
      <c r="I127" s="3123"/>
    </row>
    <row r="128" spans="1:11" ht="21.75" customHeight="1">
      <c r="A128" s="3125" t="s">
        <v>2314</v>
      </c>
      <c r="B128" s="3125"/>
      <c r="C128" s="3125"/>
      <c r="D128" s="3125"/>
      <c r="E128" s="3125"/>
      <c r="F128" s="3125"/>
      <c r="G128" s="3125"/>
      <c r="H128" s="3125"/>
      <c r="I128" s="3125"/>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277</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4388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12</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12</v>
      </c>
      <c r="D8" s="266"/>
      <c r="E8" s="264"/>
      <c r="F8" s="265"/>
      <c r="G8" s="2552"/>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3"/>
      <c r="H9" s="1390"/>
      <c r="I9" s="2554" t="s">
        <v>2340</v>
      </c>
    </row>
    <row r="10" spans="1:9" s="258" customFormat="1" ht="13.5" customHeight="1">
      <c r="A10" s="950" t="s">
        <v>801</v>
      </c>
      <c r="B10" s="268" t="s">
        <v>2341</v>
      </c>
      <c r="C10" s="269">
        <f ca="1">ROUND(D10*E10/10000,0)</f>
        <v>12</v>
      </c>
      <c r="D10" s="1032">
        <f ca="1">IF(B1="",'数据-汇总表'!E6,IF(INDIRECT("'数据-取费表'!c"&amp;$G$1)="住宅",INDIRECT("'数据-取费表'!s"&amp;$G$1),INDIRECT("'数据-取费表'!k"&amp;$G$1)+INDIRECT("'数据-取费表'!s"&amp;$G$1)))</f>
        <v>631.32000000000005</v>
      </c>
      <c r="E10" s="269">
        <f>'数据-取费表'!B28</f>
        <v>190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13</v>
      </c>
      <c r="D19" s="1036">
        <f ca="1">D9+D10</f>
        <v>631.32000000000005</v>
      </c>
      <c r="E19" s="255">
        <f>'数据-取费表'!B31</f>
        <v>200</v>
      </c>
      <c r="F19" s="275"/>
      <c r="G19" s="2552"/>
    </row>
    <row r="20" spans="1:7" s="258" customFormat="1" ht="13.5" customHeight="1">
      <c r="A20" s="299" t="s">
        <v>2354</v>
      </c>
      <c r="B20" s="254" t="s">
        <v>2355</v>
      </c>
      <c r="C20" s="276">
        <f ca="1">ROUND((C5+C19)*F20,0)</f>
        <v>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211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189</v>
      </c>
      <c r="D34" s="261"/>
      <c r="E34" s="264"/>
      <c r="F34" s="301">
        <f ca="1">IF('数据-取费表'!B24=0,1,IF(B1="",'数据-取费表'!N16,INDIRECT("'数据-取费表'!n"&amp;$G$1)))</f>
        <v>1</v>
      </c>
      <c r="G34" s="263" t="s">
        <v>2387</v>
      </c>
    </row>
    <row r="35" spans="1:7" ht="13.5" customHeight="1">
      <c r="A35" s="951" t="s">
        <v>796</v>
      </c>
      <c r="B35" s="259" t="s">
        <v>2388</v>
      </c>
      <c r="C35" s="264">
        <f ca="1">ROUND(C34*F35,0)</f>
        <v>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v>
      </c>
      <c r="D37" s="261">
        <f ca="1">D19</f>
        <v>631.32000000000005</v>
      </c>
      <c r="E37" s="293">
        <f>'数据-取费表'!B35</f>
        <v>200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10</v>
      </c>
      <c r="D42" s="282"/>
      <c r="E42" s="282"/>
      <c r="F42" s="283"/>
      <c r="G42" s="3197" t="s">
        <v>2405</v>
      </c>
    </row>
    <row r="43" spans="1:7" ht="13.5" customHeight="1">
      <c r="A43" s="951" t="s">
        <v>792</v>
      </c>
      <c r="B43" s="259" t="s">
        <v>2406</v>
      </c>
      <c r="C43" s="282">
        <f ca="1">ROUND(IF('数据-取费表'!B22&lt;=1,C39*F22*'数据-取费表'!B21/2,C39*(POWER((1+F22),'数据-取费表'!B21/2)-1)),0)</f>
        <v>0</v>
      </c>
      <c r="D43" s="282"/>
      <c r="E43" s="282"/>
      <c r="F43" s="283"/>
      <c r="G43" s="3198"/>
    </row>
    <row r="44" spans="1:7" ht="13.5" customHeight="1">
      <c r="A44" s="951" t="s">
        <v>793</v>
      </c>
      <c r="B44" s="259" t="s">
        <v>2407</v>
      </c>
      <c r="C44" s="282">
        <f ca="1">ROUND(IF('数据-取费表'!B22&lt;=1,C40*F22*'数据-取费表'!B21/2,C40*(POWER((1+F22),'数据-取费表'!B21/2)-1)),4)</f>
        <v>1E-3</v>
      </c>
      <c r="D44" s="282"/>
      <c r="E44" s="282"/>
      <c r="F44" s="283"/>
      <c r="G44" s="3199"/>
    </row>
    <row r="45" spans="1:7" s="258" customFormat="1" ht="13.5" customHeight="1">
      <c r="A45" s="299" t="s">
        <v>2408</v>
      </c>
      <c r="B45" s="288" t="s">
        <v>2374</v>
      </c>
      <c r="C45" s="289">
        <f ca="1">C46</f>
        <v>32</v>
      </c>
      <c r="D45" s="279">
        <f ca="1">C47</f>
        <v>3.0000000000000001E-3</v>
      </c>
      <c r="E45" s="280" t="s">
        <v>2400</v>
      </c>
      <c r="F45" s="290"/>
      <c r="G45" s="291" t="s">
        <v>2409</v>
      </c>
    </row>
    <row r="46" spans="1:7" s="258" customFormat="1" ht="13.5" customHeight="1">
      <c r="A46" s="951" t="s">
        <v>791</v>
      </c>
      <c r="B46" s="292" t="s">
        <v>2410</v>
      </c>
      <c r="C46" s="293">
        <f ca="1">ROUND((C33+C39)*F27,0)</f>
        <v>32</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279</v>
      </c>
      <c r="D49" s="276"/>
      <c r="E49" s="276"/>
      <c r="F49" s="308"/>
      <c r="G49" s="278" t="s">
        <v>2415</v>
      </c>
    </row>
    <row r="50" spans="1:7" s="302" customFormat="1" ht="24">
      <c r="A50" s="299" t="s">
        <v>2416</v>
      </c>
      <c r="B50" s="254" t="s">
        <v>2417</v>
      </c>
      <c r="C50" s="276"/>
      <c r="D50" s="276"/>
      <c r="E50" s="276"/>
      <c r="F50" s="308">
        <f>IF('数据-取费表'!B24=0,'数据-取费表'!N16,1)</f>
        <v>0.86699999999999999</v>
      </c>
      <c r="G50" s="291" t="s">
        <v>2418</v>
      </c>
    </row>
    <row r="51" spans="1:7" ht="16.5" customHeight="1">
      <c r="A51" s="299" t="s">
        <v>2419</v>
      </c>
      <c r="B51" s="254" t="s">
        <v>2420</v>
      </c>
      <c r="C51" s="276">
        <f ca="1">ROUND(C49*F50,0)</f>
        <v>242</v>
      </c>
      <c r="D51" s="276"/>
      <c r="E51" s="276"/>
      <c r="F51" s="308"/>
      <c r="G51" s="278" t="s">
        <v>2421</v>
      </c>
    </row>
    <row r="52" spans="1:7" s="252" customFormat="1" ht="16.5" thickBot="1">
      <c r="A52" s="309" t="s">
        <v>2422</v>
      </c>
      <c r="B52" s="310"/>
      <c r="C52" s="311">
        <f ca="1">C31+C51</f>
        <v>277</v>
      </c>
      <c r="D52" s="310"/>
      <c r="E52" s="310"/>
      <c r="F52" s="310"/>
      <c r="G52" s="312"/>
    </row>
    <row r="55" spans="1:7" ht="15">
      <c r="B55" s="314" t="s">
        <v>2423</v>
      </c>
      <c r="C55" s="315"/>
    </row>
    <row r="56" spans="1:7">
      <c r="B56" s="317" t="s">
        <v>1507</v>
      </c>
      <c r="C56" s="319">
        <f ca="1">1-C57</f>
        <v>0.126</v>
      </c>
    </row>
    <row r="57" spans="1:7">
      <c r="B57" s="317" t="s">
        <v>1508</v>
      </c>
      <c r="C57" s="318">
        <f ca="1">ROUND(C51/C52,3)</f>
        <v>0.874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1" t="str">
        <f>项目基本情况!B1</f>
        <v>北京市出让国有建设用地使用权及在建建筑物房地产抵押价值预评估</v>
      </c>
      <c r="C37" s="3011"/>
      <c r="D37" s="3011"/>
      <c r="E37" s="3011"/>
      <c r="F37" s="3011"/>
      <c r="G37" s="3011"/>
      <c r="H37" s="3011"/>
      <c r="I37" s="301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276</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4372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119951</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119951</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119951</v>
      </c>
      <c r="D10" s="1032">
        <f ca="1">IF(B1="",'数据-汇总表'!E6,IF(INDIRECT("'数据-取费表'!c"&amp;$G$1)="住宅",INDIRECT("'数据-取费表'!s"&amp;$G$1),INDIRECT("'数据-取费表'!k"&amp;$G$1)+INDIRECT("'数据-取费表'!s"&amp;$G$1)))</f>
        <v>631.32000000000005</v>
      </c>
      <c r="E10" s="269">
        <f>'数据-取费表'!B28</f>
        <v>190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126264</v>
      </c>
      <c r="D19" s="1036">
        <f ca="1">D9+D10</f>
        <v>631.32000000000005</v>
      </c>
      <c r="E19" s="255">
        <f>'数据-取费表'!B31</f>
        <v>200</v>
      </c>
      <c r="F19" s="275"/>
      <c r="G19" s="2552"/>
    </row>
    <row r="20" spans="1:7" s="258" customFormat="1" ht="13.5" customHeight="1">
      <c r="A20" s="299" t="s">
        <v>2435</v>
      </c>
      <c r="B20" s="254" t="s">
        <v>2436</v>
      </c>
      <c r="C20" s="276">
        <f ca="1">ROUND((C5+C19)*F20,0)</f>
        <v>4924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24180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11666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12280</v>
      </c>
      <c r="D24" s="282"/>
      <c r="E24" s="282"/>
      <c r="F24" s="283"/>
      <c r="G24" s="284" t="s">
        <v>2447</v>
      </c>
    </row>
    <row r="25" spans="1:7" s="258" customFormat="1" ht="24">
      <c r="A25" s="951" t="s">
        <v>2337</v>
      </c>
      <c r="B25" s="259" t="s">
        <v>2448</v>
      </c>
      <c r="C25" s="1381">
        <f ca="1">ROUND(IF('数据-取费表'!B22&lt;=1,C20*F22*'数据-取费表'!B22/2,C20*(POWER((1+F22),'数据-取费表'!B22/2)-1)),0)</f>
        <v>234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37671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37671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339211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2105452</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1893960</v>
      </c>
      <c r="D34" s="261"/>
      <c r="E34" s="264"/>
      <c r="F34" s="301"/>
      <c r="G34" s="263"/>
    </row>
    <row r="35" spans="1:7" ht="13.5" customHeight="1">
      <c r="A35" s="951" t="s">
        <v>796</v>
      </c>
      <c r="B35" s="259" t="s">
        <v>2388</v>
      </c>
      <c r="C35" s="264">
        <f ca="1">ROUND(C34*F35,0)</f>
        <v>56819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126264</v>
      </c>
      <c r="D37" s="261">
        <f ca="1">D19</f>
        <v>631.32000000000005</v>
      </c>
      <c r="E37" s="293">
        <f>'数据-取费表'!B35</f>
        <v>200</v>
      </c>
      <c r="F37" s="303"/>
      <c r="G37" s="305"/>
    </row>
    <row r="38" spans="1:7" ht="13.5" customHeight="1">
      <c r="A38" s="951" t="s">
        <v>799</v>
      </c>
      <c r="B38" s="259" t="s">
        <v>2394</v>
      </c>
      <c r="C38" s="264">
        <f ca="1">ROUND(C34*F38,0)</f>
        <v>28409</v>
      </c>
      <c r="D38" s="264"/>
      <c r="E38" s="264"/>
      <c r="F38" s="303">
        <f>'数据-取费表'!B36</f>
        <v>1.4999999999999999E-2</v>
      </c>
      <c r="G38" s="263" t="s">
        <v>2389</v>
      </c>
    </row>
    <row r="39" spans="1:7" s="258" customFormat="1" ht="13.5" customHeight="1">
      <c r="A39" s="299" t="s">
        <v>2395</v>
      </c>
      <c r="B39" s="254" t="s">
        <v>2396</v>
      </c>
      <c r="C39" s="276">
        <f ca="1">ROUND(C33*F20,0)</f>
        <v>42109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102009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100009</v>
      </c>
      <c r="D42" s="282"/>
      <c r="E42" s="282"/>
      <c r="F42" s="283"/>
      <c r="G42" s="3197" t="s">
        <v>2452</v>
      </c>
    </row>
    <row r="43" spans="1:7" ht="13.5" customHeight="1">
      <c r="A43" s="951" t="s">
        <v>792</v>
      </c>
      <c r="B43" s="259" t="s">
        <v>2406</v>
      </c>
      <c r="C43" s="282">
        <f ca="1">ROUND(IF('数据-取费表'!B22&lt;=1,C39*F22*'数据-取费表'!B20/2,C39*(POWER((1+F22),'数据-取费表'!B20/2)-1)),0)</f>
        <v>2000</v>
      </c>
      <c r="D43" s="282"/>
      <c r="E43" s="282"/>
      <c r="F43" s="283"/>
      <c r="G43" s="3198"/>
    </row>
    <row r="44" spans="1:7" ht="13.5" customHeight="1">
      <c r="A44" s="951" t="s">
        <v>793</v>
      </c>
      <c r="B44" s="259" t="s">
        <v>2407</v>
      </c>
      <c r="C44" s="282">
        <f ca="1">ROUND(IF('数据-取费表'!B22&lt;=1,C40*F22*'数据-取费表'!B20/2,C40*(POWER((1+F22),'数据-取费表'!B20/2)-1)),4)</f>
        <v>1E-3</v>
      </c>
      <c r="D44" s="282"/>
      <c r="E44" s="282"/>
      <c r="F44" s="283"/>
      <c r="G44" s="3199"/>
    </row>
    <row r="45" spans="1:7" s="258" customFormat="1" ht="13.5" customHeight="1">
      <c r="A45" s="299" t="s">
        <v>2408</v>
      </c>
      <c r="B45" s="288" t="s">
        <v>2374</v>
      </c>
      <c r="C45" s="289">
        <f ca="1">C46</f>
        <v>322134</v>
      </c>
      <c r="D45" s="279">
        <f ca="1">C47</f>
        <v>3.0000000000000001E-3</v>
      </c>
      <c r="E45" s="280" t="s">
        <v>2400</v>
      </c>
      <c r="F45" s="290"/>
      <c r="G45" s="291" t="s">
        <v>2409</v>
      </c>
    </row>
    <row r="46" spans="1:7" s="258" customFormat="1" ht="13.5" customHeight="1">
      <c r="A46" s="951" t="s">
        <v>791</v>
      </c>
      <c r="B46" s="292" t="s">
        <v>2410</v>
      </c>
      <c r="C46" s="293">
        <f ca="1">ROUND((C33+C39)*F27,0)</f>
        <v>322134</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2787151</v>
      </c>
      <c r="D49" s="276"/>
      <c r="E49" s="276"/>
      <c r="F49" s="308"/>
      <c r="G49" s="278" t="s">
        <v>2415</v>
      </c>
    </row>
    <row r="50" spans="1:7" s="302" customFormat="1">
      <c r="A50" s="299" t="s">
        <v>2416</v>
      </c>
      <c r="B50" s="254" t="s">
        <v>2417</v>
      </c>
      <c r="C50" s="276"/>
      <c r="D50" s="276"/>
      <c r="E50" s="276"/>
      <c r="F50" s="308">
        <f>IF('数据-取费表'!B24=0,'数据-取费表'!N16,1)</f>
        <v>0.86699999999999999</v>
      </c>
      <c r="G50" s="291"/>
    </row>
    <row r="51" spans="1:7" ht="16.5" customHeight="1">
      <c r="A51" s="299" t="s">
        <v>2419</v>
      </c>
      <c r="B51" s="254" t="s">
        <v>2454</v>
      </c>
      <c r="C51" s="276">
        <f ca="1">ROUND(C49*F50,0)</f>
        <v>2416460</v>
      </c>
      <c r="D51" s="276"/>
      <c r="E51" s="276"/>
      <c r="F51" s="308"/>
      <c r="G51" s="278" t="s">
        <v>2421</v>
      </c>
    </row>
    <row r="52" spans="1:7" s="252" customFormat="1" ht="16.5" thickBot="1">
      <c r="A52" s="309" t="s">
        <v>2422</v>
      </c>
      <c r="B52" s="310"/>
      <c r="C52" s="311">
        <f ca="1">C31+C51</f>
        <v>2755671</v>
      </c>
      <c r="D52" s="310"/>
      <c r="E52" s="310"/>
      <c r="F52" s="310"/>
      <c r="G52" s="312"/>
    </row>
    <row r="55" spans="1:7" ht="15">
      <c r="B55" s="314" t="s">
        <v>2423</v>
      </c>
      <c r="C55" s="315"/>
    </row>
    <row r="56" spans="1:7">
      <c r="B56" s="317" t="s">
        <v>1507</v>
      </c>
      <c r="C56" s="319">
        <f ca="1">1-C57</f>
        <v>0.123</v>
      </c>
    </row>
    <row r="57" spans="1:7">
      <c r="B57" s="317" t="s">
        <v>1508</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631.32000000000005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631.32000000000005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8"/>
      <c r="H18" s="1577"/>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12</v>
      </c>
      <c r="D20" s="1033">
        <f ca="1">IF(C1="",'数据-汇总表'!E6,IF(INDIRECT("'数据-取费表'!c"&amp;$K$1)="住宅",INDIRECT("'数据-取费表'!s"&amp;$K$1),INDIRECT("'数据-取费表'!k"&amp;$K$1)+INDIRECT("'数据-取费表'!s"&amp;$K$1)))</f>
        <v>631.32000000000005</v>
      </c>
      <c r="E20" s="24">
        <f>'数据-取费表'!B28</f>
        <v>190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102</v>
      </c>
      <c r="D1" s="1820" t="s">
        <v>70</v>
      </c>
      <c r="E1" s="1821" t="s">
        <v>1381</v>
      </c>
      <c r="F1" s="1283">
        <f ca="1">J53</f>
        <v>29.23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2805</v>
      </c>
      <c r="C2" s="1845" t="s">
        <v>1510</v>
      </c>
      <c r="D2" s="1845"/>
      <c r="E2" s="1846"/>
      <c r="F2" s="1847"/>
      <c r="G2" s="1848"/>
      <c r="H2" s="1840"/>
      <c r="I2" s="1840"/>
      <c r="J2" s="1840"/>
      <c r="K2" s="1841"/>
      <c r="L2" s="1840"/>
      <c r="M2" s="1840"/>
    </row>
    <row r="3" spans="1:37" ht="18" customHeight="1" thickBot="1">
      <c r="A3" s="1849" t="s">
        <v>1511</v>
      </c>
      <c r="B3" s="1850">
        <f ca="1">IF(ISERROR(B2*10000/F43),0,ROUND(B2*10000/F43,0))</f>
        <v>44431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197</v>
      </c>
      <c r="D5" s="1822" t="s">
        <v>1396</v>
      </c>
      <c r="E5" s="1293"/>
      <c r="F5" s="1294"/>
      <c r="G5" s="1851"/>
      <c r="H5" s="344">
        <v>1</v>
      </c>
      <c r="I5" s="345" t="s">
        <v>1395</v>
      </c>
      <c r="J5" s="1292">
        <f ca="1">J6+J10+J12</f>
        <v>0</v>
      </c>
      <c r="K5" s="1822" t="s">
        <v>1396</v>
      </c>
      <c r="L5" s="1293"/>
      <c r="M5" s="1294"/>
    </row>
    <row r="6" spans="1:37" ht="18" customHeight="1">
      <c r="A6" s="1291" t="s">
        <v>1031</v>
      </c>
      <c r="B6" s="3202" t="s">
        <v>1397</v>
      </c>
      <c r="C6" s="1296">
        <f ca="1">ROUND(F6*F8*F7*(1-F9)/10000,0)</f>
        <v>197</v>
      </c>
      <c r="D6" s="164" t="s">
        <v>3027</v>
      </c>
      <c r="E6" s="347" t="s">
        <v>1399</v>
      </c>
      <c r="F6" s="348">
        <f ca="1">INDIRECT("'数据-取费表'!u"&amp;$G$1)</f>
        <v>9.5</v>
      </c>
      <c r="G6" s="1851"/>
      <c r="H6" s="1291" t="s">
        <v>1031</v>
      </c>
      <c r="I6" s="3202" t="s">
        <v>1397</v>
      </c>
      <c r="J6" s="346">
        <f ca="1">ROUND(M6*M8*M7*(1-M9)/10000,0)</f>
        <v>0</v>
      </c>
      <c r="K6" s="164" t="s">
        <v>3026</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631.32000000000005</v>
      </c>
      <c r="G7" s="1851"/>
      <c r="H7" s="349"/>
      <c r="I7" s="3203"/>
      <c r="J7" s="351"/>
      <c r="K7" s="352"/>
      <c r="L7" s="347" t="s">
        <v>1400</v>
      </c>
      <c r="M7" s="348">
        <f ca="1">F7</f>
        <v>631.32000000000005</v>
      </c>
    </row>
    <row r="8" spans="1:37" ht="18" customHeight="1">
      <c r="A8" s="349"/>
      <c r="B8" s="3203"/>
      <c r="C8" s="351"/>
      <c r="D8" s="352"/>
      <c r="E8" s="347" t="s">
        <v>1401</v>
      </c>
      <c r="F8" s="348">
        <f ca="1">INDIRECT("'数据-取费表'!ai"&amp;$G$1)</f>
        <v>365</v>
      </c>
      <c r="G8" s="1851"/>
      <c r="H8" s="349"/>
      <c r="I8" s="3203"/>
      <c r="J8" s="351"/>
      <c r="K8" s="352"/>
      <c r="L8" s="347" t="s">
        <v>1401</v>
      </c>
      <c r="M8" s="348">
        <f ca="1">INDIRECT("'数据-取费表'!ai"&amp;$G$1)</f>
        <v>365</v>
      </c>
    </row>
    <row r="9" spans="1:37" ht="18" customHeight="1">
      <c r="A9" s="349"/>
      <c r="B9" s="3204"/>
      <c r="C9" s="351"/>
      <c r="D9" s="352"/>
      <c r="E9" s="347" t="s">
        <v>1402</v>
      </c>
      <c r="F9" s="357">
        <f ca="1">INDIRECT("'数据-取费表'!w"&amp;$G$1)</f>
        <v>0.1</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3109</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242</v>
      </c>
      <c r="D13" s="1331" t="s">
        <v>1409</v>
      </c>
      <c r="E13" s="1331" t="s">
        <v>1410</v>
      </c>
      <c r="F13" s="1332">
        <f ca="1">INDIRECT("'数据-取费表'!y"&amp;$G$1)</f>
        <v>0.86699999999999999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189</v>
      </c>
      <c r="D14" s="1800" t="s">
        <v>1412</v>
      </c>
      <c r="E14" s="1794"/>
      <c r="F14" s="364"/>
      <c r="G14" s="1851"/>
      <c r="H14" s="1201" t="s">
        <v>1031</v>
      </c>
      <c r="I14" s="347" t="s">
        <v>1413</v>
      </c>
      <c r="J14" s="24">
        <f ca="1">C29</f>
        <v>279</v>
      </c>
      <c r="K14" s="15"/>
      <c r="L14" s="979"/>
      <c r="M14" s="980"/>
    </row>
    <row r="15" spans="1:37" s="1858" customFormat="1" ht="18" customHeight="1" thickBot="1">
      <c r="A15" s="1201" t="s">
        <v>1032</v>
      </c>
      <c r="B15" s="347" t="s">
        <v>1414</v>
      </c>
      <c r="C15" s="24">
        <f ca="1">ROUND(C14*F15,0)</f>
        <v>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7</v>
      </c>
      <c r="K16" s="1337" t="s">
        <v>1419</v>
      </c>
      <c r="L16" s="1338"/>
      <c r="M16" s="1294"/>
    </row>
    <row r="17" spans="1:37" s="1858" customFormat="1" ht="18" customHeight="1">
      <c r="A17" s="1201" t="s">
        <v>1384</v>
      </c>
      <c r="B17" s="347" t="s">
        <v>1420</v>
      </c>
      <c r="C17" s="24">
        <f ca="1">ROUND(F17*(F43+INDIRECT("'数据-取费表'!S"&amp;$G$1))/10000,0)</f>
        <v>13</v>
      </c>
      <c r="D17" s="347" t="s">
        <v>1421</v>
      </c>
      <c r="E17" s="347" t="s">
        <v>1422</v>
      </c>
      <c r="F17" s="26">
        <f>'数据-取费表'!B35</f>
        <v>200</v>
      </c>
      <c r="G17" s="1854"/>
      <c r="H17" s="1201" t="s">
        <v>1031</v>
      </c>
      <c r="I17" s="347" t="s">
        <v>1423</v>
      </c>
      <c r="J17" s="24">
        <f ca="1">ROUND(IF(项目基本情况!B11="自然人",J6*M17/(1+'数据-取费表'!C42),J18+J19+J20),1)</f>
        <v>2.2999999999999998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211</v>
      </c>
      <c r="D19" s="140" t="s">
        <v>1430</v>
      </c>
      <c r="E19" s="1818"/>
      <c r="F19" s="26"/>
      <c r="G19" s="1851"/>
      <c r="H19" s="1201" t="s">
        <v>1032</v>
      </c>
      <c r="I19" s="347" t="s">
        <v>1431</v>
      </c>
      <c r="J19" s="24">
        <f ca="1">IF(K19="按租金收入计税",ROUND(J6*M19/(1+'数据-取费表'!C42),2),ROUND(C29*M19*0.7,2))</f>
        <v>2.34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4</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4.2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-7</v>
      </c>
      <c r="K25" s="1345" t="s">
        <v>1458</v>
      </c>
      <c r="L25" s="1346"/>
      <c r="M25" s="1347"/>
    </row>
    <row r="26" spans="1:37">
      <c r="A26" s="1201" t="s">
        <v>1030</v>
      </c>
      <c r="B26" s="347" t="s">
        <v>1459</v>
      </c>
      <c r="C26" s="24">
        <f ca="1">ROUND((C19+C20)*F26,0)</f>
        <v>32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279</v>
      </c>
      <c r="D29" s="1342"/>
      <c r="E29" s="1340"/>
      <c r="F29" s="1343"/>
      <c r="G29" s="1854"/>
      <c r="H29" s="380" t="s">
        <v>1029</v>
      </c>
      <c r="I29" s="381" t="s">
        <v>1473</v>
      </c>
      <c r="J29" s="382">
        <f ca="1">ROUND(J26/(1+F40)^F41,0)</f>
        <v>0</v>
      </c>
      <c r="K29" s="383" t="s">
        <v>1474</v>
      </c>
      <c r="L29" s="384"/>
      <c r="M29" s="385">
        <f ca="1">INDIRECT("'数据-取费表'!k"&amp;$G$1)</f>
        <v>631.32000000000005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33</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10.51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22.51</v>
      </c>
      <c r="D33" s="1828" t="s">
        <v>3110</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4.2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0.4</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157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2805</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29.23</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44431</v>
      </c>
      <c r="D43" s="383" t="s">
        <v>1482</v>
      </c>
      <c r="E43" s="384" t="s">
        <v>1483</v>
      </c>
      <c r="F43" s="385">
        <f ca="1">INDIRECT("'数据-取费表'!k"&amp;$G$1)</f>
        <v>631.32000000000005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-3187</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3111</v>
      </c>
      <c r="K47" s="1882" t="s">
        <v>1521</v>
      </c>
      <c r="L47" s="1883">
        <f ca="1">INDIRECT("'数据-取费表'!d"&amp;$G$1)</f>
        <v>40</v>
      </c>
      <c r="M47" s="1838" t="str">
        <f>IF(ISNUMBER(FIND("住宅",C1)),"住宅","非住宅")</f>
        <v>非住宅</v>
      </c>
      <c r="O47" s="1884" t="s">
        <v>1036</v>
      </c>
      <c r="P47" s="1885" t="s">
        <v>1522</v>
      </c>
      <c r="Q47" s="1886">
        <f ca="1">C40+J29</f>
        <v>2805</v>
      </c>
      <c r="R47" s="1886" t="s">
        <v>1523</v>
      </c>
    </row>
    <row r="48" spans="1:18" s="1842" customFormat="1" ht="28.5" thickBot="1">
      <c r="A48" s="1360" t="s">
        <v>1131</v>
      </c>
      <c r="B48" s="345" t="s">
        <v>1395</v>
      </c>
      <c r="C48" s="1817">
        <f ca="1">C49+C53+C55</f>
        <v>0</v>
      </c>
      <c r="D48" s="1362"/>
      <c r="E48" s="1363"/>
      <c r="F48" s="1181"/>
      <c r="G48" s="792"/>
      <c r="H48" s="793"/>
      <c r="I48" s="1887" t="s">
        <v>1524</v>
      </c>
      <c r="J48" s="1888" t="s">
        <v>3112</v>
      </c>
      <c r="K48" s="1889" t="s">
        <v>1525</v>
      </c>
      <c r="L48" s="1890">
        <f ca="1">INDIRECT("'数据-取费表'!f"&amp;$G$1)</f>
        <v>29.23</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2012</v>
      </c>
      <c r="K49" s="1889" t="s">
        <v>1529</v>
      </c>
      <c r="L49" s="1893"/>
      <c r="O49" s="1894" t="s">
        <v>1038</v>
      </c>
      <c r="P49" s="1885" t="s">
        <v>1530</v>
      </c>
      <c r="Q49" s="1886">
        <f ca="1">C29</f>
        <v>279</v>
      </c>
      <c r="R49" s="1886" t="s">
        <v>1523</v>
      </c>
    </row>
    <row r="50" spans="1:18" s="1842" customFormat="1" ht="13.5" thickBot="1">
      <c r="A50" s="1195"/>
      <c r="B50" s="1198"/>
      <c r="C50" s="1368"/>
      <c r="D50" s="1172"/>
      <c r="E50" s="1277" t="s">
        <v>1400</v>
      </c>
      <c r="F50" s="1278">
        <f ca="1">F7</f>
        <v>631.32000000000005</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52</v>
      </c>
      <c r="K51" s="1900" t="s">
        <v>1535</v>
      </c>
      <c r="L51" s="1901">
        <f ca="1">ROUND(-PV(INDIRECT("'数据-取费表'!h"&amp;$G$1),L48,(C39-C13*C76),0),0)</f>
        <v>2073</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29.23</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52">
        <f ca="1">IF(M47="住宅",IF(D1="——",MAX(J51,L48),MAX(J51,L48-'数据-取费表'!B24)),IF(D1="——",MIN(J51,L48),MIN(J51,L48-'数据-取费表'!B24)))</f>
        <v>29.23</v>
      </c>
      <c r="K53" s="3200" t="s">
        <v>1542</v>
      </c>
      <c r="L53" s="3201"/>
      <c r="O53" s="1884" t="s">
        <v>1042</v>
      </c>
      <c r="P53" s="1885" t="s">
        <v>1543</v>
      </c>
      <c r="Q53" s="1886">
        <f ca="1">Q47+Q48</f>
        <v>2805</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242</v>
      </c>
      <c r="D56" s="1913"/>
      <c r="E56" s="1914"/>
      <c r="F56" s="1906"/>
      <c r="I56" s="1915" t="s">
        <v>1548</v>
      </c>
      <c r="J56" s="1916" t="s">
        <v>3105</v>
      </c>
      <c r="K56" s="1887" t="s">
        <v>1549</v>
      </c>
      <c r="L56" s="1890" t="str">
        <f ca="1">IF(L48&lt;J51,"——",L48-J53)</f>
        <v>——</v>
      </c>
      <c r="O56" s="1884" t="s">
        <v>1036</v>
      </c>
      <c r="P56" s="1885" t="s">
        <v>1522</v>
      </c>
      <c r="Q56" s="1886">
        <f ca="1">C40+J29</f>
        <v>2805</v>
      </c>
      <c r="R56" s="1886" t="s">
        <v>1523</v>
      </c>
    </row>
    <row r="57" spans="1:18" s="1842" customFormat="1" ht="24.75" thickBot="1">
      <c r="A57" s="1917"/>
      <c r="B57" s="1169" t="s">
        <v>1472</v>
      </c>
      <c r="C57" s="282">
        <f ca="1">C29</f>
        <v>279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28</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23.4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23.44</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2805</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0.4</v>
      </c>
      <c r="D65" s="1183" t="s">
        <v>1448</v>
      </c>
      <c r="E65" s="1169" t="s">
        <v>1449</v>
      </c>
      <c r="F65" s="376">
        <f t="shared" ca="1" si="0"/>
        <v>1.5E-3</v>
      </c>
      <c r="I65" s="1928" t="s">
        <v>1573</v>
      </c>
      <c r="J65" s="1929">
        <v>40</v>
      </c>
      <c r="K65" s="1929">
        <v>30</v>
      </c>
      <c r="L65" s="1929">
        <v>50</v>
      </c>
      <c r="M65" s="1931">
        <v>0.02</v>
      </c>
      <c r="O65" s="1884" t="s">
        <v>1036</v>
      </c>
      <c r="P65" s="1885" t="s">
        <v>1574</v>
      </c>
      <c r="Q65" s="1886">
        <f ca="1">C40+J29</f>
        <v>2805</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-28</v>
      </c>
      <c r="D67" s="1182" t="s">
        <v>1458</v>
      </c>
      <c r="E67" s="1187"/>
      <c r="F67" s="1188"/>
      <c r="O67" s="1894" t="s">
        <v>1038</v>
      </c>
      <c r="P67" s="1885" t="s">
        <v>1556</v>
      </c>
      <c r="Q67" s="1932">
        <f ca="1">L51</f>
        <v>2073</v>
      </c>
      <c r="R67" s="1886" t="s">
        <v>1576</v>
      </c>
    </row>
    <row r="68" spans="1:18" s="1842" customFormat="1" ht="16.5" thickBot="1">
      <c r="A68" s="1166" t="s">
        <v>1028</v>
      </c>
      <c r="B68" s="1167" t="s">
        <v>1479</v>
      </c>
      <c r="C68" s="346">
        <f ca="1">ROUND(C67*(1-((1+F70)/(1+F68))^F69)/(F68-F70),0)</f>
        <v>-382</v>
      </c>
      <c r="D68" s="1184" t="s">
        <v>1463</v>
      </c>
      <c r="E68" s="1169" t="s">
        <v>1464</v>
      </c>
      <c r="F68" s="357">
        <f ca="1">F40</f>
        <v>0.06</v>
      </c>
      <c r="O68" s="1894" t="s">
        <v>1039</v>
      </c>
      <c r="P68" s="1933" t="s">
        <v>1577</v>
      </c>
      <c r="Q68" s="1886">
        <f ca="1">ROUND(Q69-Q70*Q71,0)</f>
        <v>136</v>
      </c>
      <c r="R68" s="1886" t="s">
        <v>1047</v>
      </c>
    </row>
    <row r="69" spans="1:18" s="1842" customFormat="1" ht="13.5" thickBot="1">
      <c r="A69" s="1170"/>
      <c r="B69" s="1171"/>
      <c r="C69" s="351"/>
      <c r="D69" s="1189" t="s">
        <v>1467</v>
      </c>
      <c r="E69" s="1169" t="s">
        <v>1468</v>
      </c>
      <c r="F69" s="379">
        <f ca="1">F41</f>
        <v>29.23</v>
      </c>
      <c r="O69" s="1894" t="s">
        <v>1044</v>
      </c>
      <c r="P69" s="1933" t="s">
        <v>1578</v>
      </c>
      <c r="Q69" s="1886">
        <f ca="1">C39</f>
        <v>157</v>
      </c>
      <c r="R69" s="1886" t="s">
        <v>1523</v>
      </c>
    </row>
    <row r="70" spans="1:18" s="1842" customFormat="1" ht="13.5" thickBot="1">
      <c r="A70" s="1173"/>
      <c r="B70" s="1174"/>
      <c r="C70" s="355"/>
      <c r="D70" s="1185"/>
      <c r="E70" s="1169" t="s">
        <v>1471</v>
      </c>
      <c r="F70" s="1275"/>
      <c r="O70" s="1894" t="s">
        <v>1045</v>
      </c>
      <c r="P70" s="1933" t="s">
        <v>1579</v>
      </c>
      <c r="Q70" s="1886">
        <f ca="1">C13</f>
        <v>242</v>
      </c>
      <c r="R70" s="1886" t="s">
        <v>1523</v>
      </c>
    </row>
    <row r="71" spans="1:18" s="1842" customFormat="1" ht="13.5" thickBot="1">
      <c r="A71" s="1190" t="s">
        <v>1029</v>
      </c>
      <c r="B71" s="1191" t="s">
        <v>1481</v>
      </c>
      <c r="C71" s="382">
        <f ca="1">ROUND(C68*10000/F71,0)</f>
        <v>-6051</v>
      </c>
      <c r="D71" s="1192" t="s">
        <v>1482</v>
      </c>
      <c r="E71" s="1193" t="s">
        <v>1483</v>
      </c>
      <c r="F71" s="385">
        <f ca="1">F43</f>
        <v>631.32000000000005</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21</v>
      </c>
      <c r="D75" s="1842"/>
      <c r="E75" s="1842"/>
      <c r="F75" s="1842"/>
      <c r="K75" s="1868"/>
      <c r="L75" s="1842"/>
      <c r="O75" s="1884" t="s">
        <v>1042</v>
      </c>
      <c r="P75" s="1885" t="s">
        <v>1543</v>
      </c>
      <c r="Q75" s="1886">
        <f ca="1">Q65+Q66</f>
        <v>2805</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0.86599999999999999</v>
      </c>
    </row>
    <row r="80" spans="1:18">
      <c r="B80" s="386" t="s">
        <v>1505</v>
      </c>
      <c r="C80" s="318">
        <f ca="1">ROUND(C75/C39,3)</f>
        <v>0.13400000000000001</v>
      </c>
    </row>
    <row r="81" spans="2:3">
      <c r="B81" s="314" t="s">
        <v>1506</v>
      </c>
      <c r="C81" s="282"/>
    </row>
    <row r="82" spans="2:3">
      <c r="B82" s="317" t="s">
        <v>1507</v>
      </c>
      <c r="C82" s="319">
        <f ca="1">1-C83</f>
        <v>0.91400000000000003</v>
      </c>
    </row>
    <row r="83" spans="2:3">
      <c r="B83" s="317" t="s">
        <v>1508</v>
      </c>
      <c r="C83" s="318">
        <f ca="1">ROUND(C13/C40,3)</f>
        <v>8.5999999999999993E-2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02" t="s">
        <v>1397</v>
      </c>
      <c r="C6" s="1296">
        <f ca="1">ROUND(F6*F8*F7*(1-F9),0)</f>
        <v>0</v>
      </c>
      <c r="D6" s="164" t="s">
        <v>3024</v>
      </c>
      <c r="E6" s="347" t="s">
        <v>1399</v>
      </c>
      <c r="F6" s="348">
        <f ca="1">INDIRECT("'数据-取费表'!u"&amp;$G$1)</f>
        <v>0</v>
      </c>
      <c r="G6" s="1851"/>
      <c r="H6" s="1291" t="s">
        <v>1031</v>
      </c>
      <c r="I6" s="3202" t="s">
        <v>1397</v>
      </c>
      <c r="J6" s="346">
        <f ca="1">ROUND(M6*M8*M7*(1-M9),0)</f>
        <v>0</v>
      </c>
      <c r="K6" s="1834" t="s">
        <v>3025</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0</v>
      </c>
      <c r="G7" s="1851"/>
      <c r="H7" s="349"/>
      <c r="I7" s="3203"/>
      <c r="J7" s="351"/>
      <c r="K7" s="352"/>
      <c r="L7" s="347" t="s">
        <v>1400</v>
      </c>
      <c r="M7" s="348">
        <f ca="1">F7</f>
        <v>0</v>
      </c>
    </row>
    <row r="8" spans="1:37" ht="18" customHeight="1">
      <c r="A8" s="349"/>
      <c r="B8" s="3203"/>
      <c r="C8" s="351"/>
      <c r="D8" s="352"/>
      <c r="E8" s="347" t="s">
        <v>1401</v>
      </c>
      <c r="F8" s="348">
        <f ca="1">INDIRECT("'数据-取费表'!ai"&amp;$G$1)</f>
        <v>0</v>
      </c>
      <c r="G8" s="1851"/>
      <c r="H8" s="349"/>
      <c r="I8" s="3203"/>
      <c r="J8" s="351"/>
      <c r="K8" s="352"/>
      <c r="L8" s="347" t="s">
        <v>1401</v>
      </c>
      <c r="M8" s="348">
        <f ca="1">INDIRECT("'数据-取费表'!ai"&amp;$G$1)</f>
        <v>0</v>
      </c>
    </row>
    <row r="9" spans="1:37" ht="18" customHeight="1">
      <c r="A9" s="349"/>
      <c r="B9" s="3204"/>
      <c r="C9" s="351"/>
      <c r="D9" s="352"/>
      <c r="E9" s="347" t="s">
        <v>1402</v>
      </c>
      <c r="F9" s="357">
        <f ca="1">INDIRECT("'数据-取费表'!w"&amp;$G$1)</f>
        <v>0</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0</v>
      </c>
      <c r="K53" s="3200" t="s">
        <v>1542</v>
      </c>
      <c r="L53" s="3201"/>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2522</v>
      </c>
      <c r="B1" s="2564"/>
      <c r="C1" s="2564"/>
      <c r="D1" s="2564"/>
      <c r="E1" s="2565"/>
    </row>
    <row r="2" spans="1:6" ht="15.75">
      <c r="A2" s="2566" t="s">
        <v>2323</v>
      </c>
      <c r="B2" s="2567">
        <f ca="1">SUMIF(B6:B13,"&lt;&gt;#ref!",B6:B13)</f>
        <v>2805</v>
      </c>
      <c r="C2" s="2568" t="s">
        <v>2515</v>
      </c>
      <c r="D2" s="2569" t="s">
        <v>2516</v>
      </c>
      <c r="E2" s="2570">
        <f>SUM(E6:E13)</f>
        <v>631.32000000000005</v>
      </c>
    </row>
    <row r="3" spans="1:6" ht="15.75">
      <c r="A3" s="2566" t="s">
        <v>1389</v>
      </c>
      <c r="B3" s="2567">
        <f ca="1">ROUND(B2*10000/E2,0)</f>
        <v>44431</v>
      </c>
      <c r="C3" s="2568" t="s">
        <v>2523</v>
      </c>
      <c r="D3" s="2571"/>
      <c r="E3" s="2572"/>
    </row>
    <row r="4" spans="1:6" ht="15.75">
      <c r="A4" s="2573"/>
      <c r="B4" s="2571"/>
      <c r="C4" s="2571"/>
      <c r="D4" s="2571"/>
      <c r="E4" s="2572"/>
    </row>
    <row r="5" spans="1:6" ht="15">
      <c r="A5" s="2574" t="s">
        <v>2517</v>
      </c>
      <c r="B5" s="3205" t="s">
        <v>2518</v>
      </c>
      <c r="C5" s="3205"/>
      <c r="D5" s="2575"/>
      <c r="E5" s="2576" t="s">
        <v>2519</v>
      </c>
      <c r="F5" s="2577" t="s">
        <v>2520</v>
      </c>
    </row>
    <row r="6" spans="1:6">
      <c r="A6" s="2578" t="str">
        <f>'数据-取费表'!AN6</f>
        <v>收益法</v>
      </c>
      <c r="B6" s="2577">
        <f ca="1">IF(F6="是",'数据-取费表'!AO6,0)</f>
        <v>2805</v>
      </c>
      <c r="C6" s="2568" t="s">
        <v>2515</v>
      </c>
      <c r="D6" s="2571"/>
      <c r="E6" s="2579">
        <f>IF(OR(A6=0,F6="否"),0,'数据-取费表'!K6+'数据-取费表'!S6)</f>
        <v>631.32000000000005</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6" t="s">
        <v>1072</v>
      </c>
      <c r="B1" s="3207"/>
      <c r="C1" s="3208"/>
      <c r="D1" s="3209">
        <f>SUM(I10,I15,I20,I21,I23)</f>
        <v>0</v>
      </c>
      <c r="E1" s="3209"/>
      <c r="F1" s="3209"/>
      <c r="G1" s="3209"/>
      <c r="H1" s="3209"/>
      <c r="I1" s="3210"/>
    </row>
    <row r="2" spans="1:9">
      <c r="A2" s="3211" t="s">
        <v>1073</v>
      </c>
      <c r="B2" s="3212" t="s">
        <v>1074</v>
      </c>
      <c r="C2" s="3212"/>
      <c r="D2" s="1301" t="s">
        <v>1075</v>
      </c>
      <c r="E2" s="1301" t="s">
        <v>1076</v>
      </c>
      <c r="F2" s="1301" t="s">
        <v>1077</v>
      </c>
      <c r="G2" s="1301" t="s">
        <v>1078</v>
      </c>
      <c r="H2" s="1301" t="s">
        <v>1079</v>
      </c>
      <c r="I2" s="1302" t="s">
        <v>1080</v>
      </c>
    </row>
    <row r="3" spans="1:9">
      <c r="A3" s="3211"/>
      <c r="B3" s="3212" t="s">
        <v>1081</v>
      </c>
      <c r="C3" s="3212"/>
      <c r="D3" s="1303"/>
      <c r="E3" s="1301"/>
      <c r="F3" s="1304"/>
      <c r="G3" s="1304"/>
      <c r="H3" s="1305"/>
      <c r="I3" s="1306">
        <f>ROUND(D3*E3*F3*G3*H3/10000,0)</f>
        <v>0</v>
      </c>
    </row>
    <row r="4" spans="1:9">
      <c r="A4" s="3211"/>
      <c r="B4" s="3212" t="s">
        <v>1082</v>
      </c>
      <c r="C4" s="3212"/>
      <c r="D4" s="1303"/>
      <c r="E4" s="1301"/>
      <c r="F4" s="1304"/>
      <c r="G4" s="1304"/>
      <c r="H4" s="1305"/>
      <c r="I4" s="1306">
        <f t="shared" ref="I4:I9" si="0">ROUND(D4*E4*F4*G4*H4/10000,0)</f>
        <v>0</v>
      </c>
    </row>
    <row r="5" spans="1:9">
      <c r="A5" s="3211"/>
      <c r="B5" s="3212" t="s">
        <v>1083</v>
      </c>
      <c r="C5" s="3212"/>
      <c r="D5" s="1303"/>
      <c r="E5" s="1301"/>
      <c r="F5" s="1304"/>
      <c r="G5" s="1304"/>
      <c r="H5" s="1305"/>
      <c r="I5" s="1306">
        <f t="shared" si="0"/>
        <v>0</v>
      </c>
    </row>
    <row r="6" spans="1:9">
      <c r="A6" s="3211"/>
      <c r="B6" s="3212" t="s">
        <v>1084</v>
      </c>
      <c r="C6" s="3212"/>
      <c r="D6" s="1303"/>
      <c r="E6" s="1301"/>
      <c r="F6" s="1304"/>
      <c r="G6" s="1304"/>
      <c r="H6" s="1305"/>
      <c r="I6" s="1306">
        <f t="shared" si="0"/>
        <v>0</v>
      </c>
    </row>
    <row r="7" spans="1:9">
      <c r="A7" s="3211"/>
      <c r="B7" s="3212" t="s">
        <v>1085</v>
      </c>
      <c r="C7" s="3212"/>
      <c r="D7" s="1303"/>
      <c r="E7" s="1301"/>
      <c r="F7" s="1304"/>
      <c r="G7" s="1304"/>
      <c r="H7" s="1305"/>
      <c r="I7" s="1306">
        <f t="shared" si="0"/>
        <v>0</v>
      </c>
    </row>
    <row r="8" spans="1:9">
      <c r="A8" s="3211"/>
      <c r="B8" s="3212" t="s">
        <v>1086</v>
      </c>
      <c r="C8" s="3212"/>
      <c r="D8" s="1303"/>
      <c r="E8" s="1301"/>
      <c r="F8" s="1304"/>
      <c r="G8" s="1304"/>
      <c r="H8" s="1305"/>
      <c r="I8" s="1306">
        <f t="shared" si="0"/>
        <v>0</v>
      </c>
    </row>
    <row r="9" spans="1:9">
      <c r="A9" s="3211"/>
      <c r="B9" s="3212" t="s">
        <v>1087</v>
      </c>
      <c r="C9" s="3212"/>
      <c r="D9" s="1303"/>
      <c r="E9" s="1301"/>
      <c r="F9" s="1304"/>
      <c r="G9" s="1304"/>
      <c r="H9" s="1305"/>
      <c r="I9" s="1306">
        <f t="shared" si="0"/>
        <v>0</v>
      </c>
    </row>
    <row r="10" spans="1:9">
      <c r="A10" s="3211"/>
      <c r="B10" s="3213" t="s">
        <v>1088</v>
      </c>
      <c r="C10" s="3213"/>
      <c r="D10" s="1307"/>
      <c r="E10" s="1307" t="e">
        <f>ROUND(D1*10000/D10/H9,0)</f>
        <v>#DIV/0!</v>
      </c>
      <c r="F10" s="1308"/>
      <c r="G10" s="1308"/>
      <c r="H10" s="1309"/>
      <c r="I10" s="1310">
        <f>SUM(I3:I9)</f>
        <v>0</v>
      </c>
    </row>
    <row r="11" spans="1:9" ht="14.25">
      <c r="A11" s="3211" t="s">
        <v>1089</v>
      </c>
      <c r="B11" s="3212" t="s">
        <v>1090</v>
      </c>
      <c r="C11" s="3212"/>
      <c r="D11" s="1303" t="s">
        <v>1091</v>
      </c>
      <c r="E11" s="1303" t="s">
        <v>1092</v>
      </c>
      <c r="F11" s="1304" t="s">
        <v>1093</v>
      </c>
      <c r="G11" s="1304" t="s">
        <v>1079</v>
      </c>
      <c r="H11" s="1311" t="s">
        <v>1094</v>
      </c>
      <c r="I11" s="1302" t="s">
        <v>1080</v>
      </c>
    </row>
    <row r="12" spans="1:9">
      <c r="A12" s="3211"/>
      <c r="B12" s="3212" t="s">
        <v>1095</v>
      </c>
      <c r="C12" s="3212"/>
      <c r="D12" s="1303"/>
      <c r="E12" s="1303"/>
      <c r="F12" s="1304"/>
      <c r="G12" s="1305"/>
      <c r="H12" s="1312"/>
      <c r="I12" s="1302">
        <f>ROUND(D12*E12*F12*G12/10000,0)</f>
        <v>0</v>
      </c>
    </row>
    <row r="13" spans="1:9">
      <c r="A13" s="3211"/>
      <c r="B13" s="3212" t="s">
        <v>1096</v>
      </c>
      <c r="C13" s="3212"/>
      <c r="D13" s="1303"/>
      <c r="E13" s="1303"/>
      <c r="F13" s="1304"/>
      <c r="G13" s="1305"/>
      <c r="H13" s="1312"/>
      <c r="I13" s="1302">
        <f>ROUND(D13*E13*F13*G13/10000,0)</f>
        <v>0</v>
      </c>
    </row>
    <row r="14" spans="1:9">
      <c r="A14" s="3211"/>
      <c r="B14" s="3212" t="s">
        <v>1097</v>
      </c>
      <c r="C14" s="3212"/>
      <c r="D14" s="1303"/>
      <c r="E14" s="1303"/>
      <c r="F14" s="1304"/>
      <c r="G14" s="1305"/>
      <c r="H14" s="1312"/>
      <c r="I14" s="1302">
        <f>ROUND(D14*E14*F14*G14/10000,0)</f>
        <v>0</v>
      </c>
    </row>
    <row r="15" spans="1:9">
      <c r="A15" s="3211"/>
      <c r="B15" s="3213" t="s">
        <v>1088</v>
      </c>
      <c r="C15" s="3213"/>
      <c r="D15" s="1307"/>
      <c r="E15" s="1307">
        <f>SUM(E12:E14)</f>
        <v>0</v>
      </c>
      <c r="F15" s="1308"/>
      <c r="G15" s="1305"/>
      <c r="H15" s="1312"/>
      <c r="I15" s="1313">
        <f>SUM(I12:I14)</f>
        <v>0</v>
      </c>
    </row>
    <row r="16" spans="1:9" ht="24">
      <c r="A16" s="3211" t="s">
        <v>1098</v>
      </c>
      <c r="B16" s="3212" t="s">
        <v>1099</v>
      </c>
      <c r="C16" s="3212"/>
      <c r="D16" s="1303" t="s">
        <v>1075</v>
      </c>
      <c r="E16" s="1314" t="s">
        <v>1100</v>
      </c>
      <c r="F16" s="1304" t="s">
        <v>1101</v>
      </c>
      <c r="G16" s="1305" t="s">
        <v>1079</v>
      </c>
      <c r="H16" s="1311" t="s">
        <v>1094</v>
      </c>
      <c r="I16" s="1302" t="s">
        <v>1080</v>
      </c>
    </row>
    <row r="17" spans="1:9" ht="14.25">
      <c r="A17" s="3211"/>
      <c r="B17" s="3212" t="s">
        <v>1102</v>
      </c>
      <c r="C17" s="3212"/>
      <c r="D17" s="1303"/>
      <c r="E17" s="1303"/>
      <c r="F17" s="1304"/>
      <c r="G17" s="1305"/>
      <c r="H17" s="1315"/>
      <c r="I17" s="1316">
        <f>ROUND(D17*E17*F17*G17/10000,0)</f>
        <v>0</v>
      </c>
    </row>
    <row r="18" spans="1:9" ht="14.25">
      <c r="A18" s="3211"/>
      <c r="B18" s="3212" t="s">
        <v>1103</v>
      </c>
      <c r="C18" s="3212"/>
      <c r="D18" s="1303"/>
      <c r="E18" s="1303"/>
      <c r="F18" s="1304"/>
      <c r="G18" s="1305"/>
      <c r="H18" s="1315"/>
      <c r="I18" s="1316">
        <f>ROUND(D18*E18*F18*G18/10000,0)</f>
        <v>0</v>
      </c>
    </row>
    <row r="19" spans="1:9" ht="14.25">
      <c r="A19" s="3211"/>
      <c r="B19" s="3212" t="s">
        <v>1104</v>
      </c>
      <c r="C19" s="3212"/>
      <c r="D19" s="1303"/>
      <c r="E19" s="1303"/>
      <c r="F19" s="1304"/>
      <c r="G19" s="1305"/>
      <c r="H19" s="1315"/>
      <c r="I19" s="1316">
        <f>ROUND(D19*E19*F19*G19/10000,0)</f>
        <v>0</v>
      </c>
    </row>
    <row r="20" spans="1:9">
      <c r="A20" s="3211"/>
      <c r="B20" s="3213" t="s">
        <v>1088</v>
      </c>
      <c r="C20" s="3213"/>
      <c r="D20" s="1307">
        <f>SUM(D17:D19)</f>
        <v>0</v>
      </c>
      <c r="E20" s="1307"/>
      <c r="F20" s="1308"/>
      <c r="G20" s="1305"/>
      <c r="H20" s="1312"/>
      <c r="I20" s="1313">
        <f>SUM(I17:I19)</f>
        <v>0</v>
      </c>
    </row>
    <row r="21" spans="1:9">
      <c r="A21" s="3211" t="s">
        <v>1105</v>
      </c>
      <c r="B21" s="3215"/>
      <c r="C21" s="3215"/>
      <c r="D21" s="3215"/>
      <c r="E21" s="3215"/>
      <c r="F21" s="3215"/>
      <c r="G21" s="3215"/>
      <c r="H21" s="1765">
        <v>0.1</v>
      </c>
      <c r="I21" s="1310">
        <f>ROUND(I10*H21,0)</f>
        <v>0</v>
      </c>
    </row>
    <row r="22" spans="1:9" ht="14.25">
      <c r="A22" s="3216" t="s">
        <v>1106</v>
      </c>
      <c r="B22" s="3217"/>
      <c r="C22" s="3218"/>
      <c r="D22" s="1317" t="s">
        <v>1107</v>
      </c>
      <c r="E22" s="1317" t="s">
        <v>1108</v>
      </c>
      <c r="F22" s="1318" t="s">
        <v>1109</v>
      </c>
      <c r="G22" s="1318" t="s">
        <v>1110</v>
      </c>
      <c r="H22" s="1311" t="s">
        <v>1111</v>
      </c>
      <c r="I22" s="1302" t="s">
        <v>1112</v>
      </c>
    </row>
    <row r="23" spans="1:9" ht="14.25" thickBot="1">
      <c r="A23" s="3219"/>
      <c r="B23" s="3220"/>
      <c r="C23" s="3221"/>
      <c r="D23" s="1319"/>
      <c r="E23" s="1319"/>
      <c r="F23" s="1319"/>
      <c r="G23" s="1320"/>
      <c r="H23" s="1321"/>
      <c r="I23" s="1322">
        <f>ROUND(E23*D23*F23*(1-G23)/10000,0)</f>
        <v>0</v>
      </c>
    </row>
    <row r="26" spans="1:9">
      <c r="A26" s="1323" t="s">
        <v>1113</v>
      </c>
      <c r="B26" s="1323"/>
      <c r="C26" s="1323"/>
      <c r="D26" s="1323"/>
      <c r="E26" s="3222">
        <f>C27-C30-C31-C32</f>
        <v>0</v>
      </c>
      <c r="F26" s="3222"/>
      <c r="G26" s="3222"/>
      <c r="H26" s="1737" t="s">
        <v>1335</v>
      </c>
    </row>
    <row r="27" spans="1:9">
      <c r="A27" s="1324">
        <v>1</v>
      </c>
      <c r="B27" s="1325" t="s">
        <v>1114</v>
      </c>
      <c r="C27" s="1325">
        <f>C28+C29</f>
        <v>0</v>
      </c>
      <c r="D27" s="1325"/>
      <c r="E27" s="3223"/>
      <c r="F27" s="3223"/>
      <c r="G27" s="3223"/>
    </row>
    <row r="28" spans="1:9">
      <c r="A28" s="1326" t="s">
        <v>1115</v>
      </c>
      <c r="B28" s="1325" t="s">
        <v>1116</v>
      </c>
      <c r="C28" s="1325"/>
      <c r="D28" s="1325"/>
      <c r="E28" s="3223"/>
      <c r="F28" s="3223"/>
      <c r="G28" s="322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4"/>
      <c r="F32" s="3214"/>
      <c r="G32" s="3214"/>
    </row>
    <row r="33" spans="1:7" hidden="1">
      <c r="A33" s="3224" t="s">
        <v>1125</v>
      </c>
      <c r="B33" s="3225"/>
      <c r="C33" s="3225"/>
      <c r="D33" s="3226"/>
      <c r="E33" s="3222"/>
      <c r="F33" s="3222"/>
      <c r="G33" s="3222"/>
    </row>
    <row r="34" spans="1:7" hidden="1">
      <c r="A34" s="1328">
        <v>1</v>
      </c>
      <c r="B34" s="1325" t="s">
        <v>1126</v>
      </c>
      <c r="C34" s="1325"/>
      <c r="D34" s="1325"/>
      <c r="E34" s="3223"/>
      <c r="F34" s="3223"/>
      <c r="G34" s="3223"/>
    </row>
    <row r="35" spans="1:7" hidden="1">
      <c r="A35" s="1328">
        <v>2</v>
      </c>
      <c r="B35" s="1325" t="s">
        <v>1127</v>
      </c>
      <c r="C35" s="1325"/>
      <c r="D35" s="1325"/>
      <c r="E35" s="3223"/>
      <c r="F35" s="3223"/>
      <c r="G35" s="3223"/>
    </row>
    <row r="36" spans="1:7" hidden="1">
      <c r="A36" s="1328">
        <v>3</v>
      </c>
      <c r="B36" s="1325" t="s">
        <v>1128</v>
      </c>
      <c r="C36" s="1325"/>
      <c r="D36" s="1325"/>
      <c r="E36" s="3223"/>
      <c r="F36" s="3223"/>
      <c r="G36" s="3223"/>
    </row>
    <row r="37" spans="1:7" hidden="1">
      <c r="A37" s="1328">
        <v>4</v>
      </c>
      <c r="B37" s="1325" t="s">
        <v>1129</v>
      </c>
      <c r="C37" s="1325"/>
      <c r="D37" s="1325"/>
      <c r="E37" s="3223"/>
      <c r="F37" s="3223"/>
      <c r="G37" s="3223"/>
    </row>
    <row r="38" spans="1:7" hidden="1">
      <c r="A38" s="3224" t="s">
        <v>1130</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2525</v>
      </c>
      <c r="C1" s="1634" t="s">
        <v>2526</v>
      </c>
      <c r="D1" s="1621"/>
      <c r="E1" s="2585"/>
      <c r="F1" s="2586" t="s">
        <v>2527</v>
      </c>
      <c r="G1" s="1631" t="s">
        <v>2528</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2530</v>
      </c>
      <c r="D3" s="399">
        <f>IF(D1="",'数据-汇总表'!E3,SUMIF('数据-汇总表'!$C19:$C33,D1,'数据-汇总表'!$E19:$E33))</f>
        <v>631.32000000000005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2531</v>
      </c>
      <c r="B4" s="402"/>
      <c r="C4" s="3245" t="s">
        <v>2532</v>
      </c>
      <c r="D4" s="3246"/>
      <c r="E4" s="3247" t="s">
        <v>2533</v>
      </c>
      <c r="F4" s="3248"/>
      <c r="G4" s="3245" t="s">
        <v>2534</v>
      </c>
      <c r="H4" s="3246"/>
      <c r="I4" s="3245" t="s">
        <v>2535</v>
      </c>
      <c r="J4" s="3246"/>
      <c r="K4" s="2598" t="s">
        <v>2536</v>
      </c>
      <c r="L4" s="1130"/>
      <c r="M4" s="1131"/>
      <c r="N4" s="1131"/>
      <c r="O4" s="1131"/>
      <c r="P4" s="3249" t="s">
        <v>2537</v>
      </c>
      <c r="Q4" s="3250"/>
      <c r="R4" s="3232" t="s">
        <v>2533</v>
      </c>
      <c r="S4" s="3233"/>
      <c r="T4" s="3232" t="s">
        <v>2534</v>
      </c>
      <c r="U4" s="3233"/>
      <c r="V4" s="3257" t="s">
        <v>2535</v>
      </c>
      <c r="W4" s="3257"/>
      <c r="X4" s="1813"/>
      <c r="Y4" s="3232" t="s">
        <v>2537</v>
      </c>
      <c r="Z4" s="3233"/>
      <c r="AA4" s="3227" t="s">
        <v>2533</v>
      </c>
      <c r="AB4" s="3227" t="s">
        <v>2534</v>
      </c>
      <c r="AC4" s="3227" t="s">
        <v>2535</v>
      </c>
    </row>
    <row r="5" spans="1:29" ht="15">
      <c r="A5" s="404"/>
      <c r="B5" s="405"/>
      <c r="C5" s="3238" t="s">
        <v>2538</v>
      </c>
      <c r="D5" s="3239"/>
      <c r="E5" s="3236" t="s">
        <v>2539</v>
      </c>
      <c r="F5" s="3237"/>
      <c r="G5" s="3238" t="s">
        <v>2540</v>
      </c>
      <c r="H5" s="3239"/>
      <c r="I5" s="3238" t="s">
        <v>2541</v>
      </c>
      <c r="J5" s="3239"/>
      <c r="K5" s="2599"/>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2599"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0" t="s">
        <v>2545</v>
      </c>
      <c r="Q7" s="3258"/>
      <c r="R7" s="770" t="s">
        <v>23</v>
      </c>
      <c r="S7" s="771">
        <f t="shared" ref="S7:S15" si="0">F7</f>
        <v>0</v>
      </c>
      <c r="T7" s="770" t="s">
        <v>23</v>
      </c>
      <c r="U7" s="771">
        <f t="shared" ref="U7:U15" si="1">H7</f>
        <v>0</v>
      </c>
      <c r="V7" s="770" t="s">
        <v>23</v>
      </c>
      <c r="W7" s="771">
        <f t="shared" ref="W7:W15" si="2">J7</f>
        <v>0</v>
      </c>
      <c r="X7" s="772"/>
      <c r="Y7" s="3230" t="s">
        <v>2545</v>
      </c>
      <c r="Z7" s="3231"/>
      <c r="AA7" s="773" t="e">
        <f>D7/F7</f>
        <v>#DIV/0!</v>
      </c>
      <c r="AB7" s="773" t="e">
        <f>D7/H7</f>
        <v>#DIV/0!</v>
      </c>
      <c r="AC7" s="773" t="e">
        <f>D7/J7</f>
        <v>#DIV/0!</v>
      </c>
    </row>
    <row r="8" spans="1:29" s="117" customFormat="1" ht="15.7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0" t="s">
        <v>2548</v>
      </c>
      <c r="Q8" s="3231"/>
      <c r="R8" s="770" t="s">
        <v>23</v>
      </c>
      <c r="S8" s="771">
        <f t="shared" si="0"/>
        <v>0</v>
      </c>
      <c r="T8" s="770" t="s">
        <v>23</v>
      </c>
      <c r="U8" s="771">
        <f t="shared" si="1"/>
        <v>0</v>
      </c>
      <c r="V8" s="770" t="s">
        <v>23</v>
      </c>
      <c r="W8" s="771">
        <f t="shared" si="2"/>
        <v>0</v>
      </c>
      <c r="X8" s="772"/>
      <c r="Y8" s="3230" t="s">
        <v>2548</v>
      </c>
      <c r="Z8" s="323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44"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4"/>
      <c r="Q11" s="1795" t="str">
        <f t="shared" si="6"/>
        <v>容积率</v>
      </c>
      <c r="R11" s="770" t="s">
        <v>21</v>
      </c>
      <c r="S11" s="771" t="e">
        <f t="shared" si="0"/>
        <v>#N/A</v>
      </c>
      <c r="T11" s="770" t="s">
        <v>21</v>
      </c>
      <c r="U11" s="771" t="e">
        <f t="shared" si="1"/>
        <v>#N/A</v>
      </c>
      <c r="V11" s="770" t="s">
        <v>21</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4"/>
      <c r="Q12" s="1795">
        <f t="shared" si="6"/>
        <v>111</v>
      </c>
      <c r="R12" s="770" t="s">
        <v>21</v>
      </c>
      <c r="S12" s="771">
        <f t="shared" si="0"/>
        <v>100</v>
      </c>
      <c r="T12" s="770" t="s">
        <v>21</v>
      </c>
      <c r="U12" s="771">
        <f t="shared" si="1"/>
        <v>100</v>
      </c>
      <c r="V12" s="770" t="s">
        <v>21</v>
      </c>
      <c r="W12" s="771">
        <f t="shared" si="2"/>
        <v>100</v>
      </c>
      <c r="X12" s="772"/>
      <c r="Y12" s="307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4"/>
      <c r="Q13" s="1795">
        <f t="shared" si="6"/>
        <v>111</v>
      </c>
      <c r="R13" s="770" t="s">
        <v>21</v>
      </c>
      <c r="S13" s="771">
        <f t="shared" si="0"/>
        <v>100</v>
      </c>
      <c r="T13" s="770" t="s">
        <v>21</v>
      </c>
      <c r="U13" s="771">
        <f t="shared" si="1"/>
        <v>100</v>
      </c>
      <c r="V13" s="770" t="s">
        <v>21</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4"/>
      <c r="Q14" s="1795">
        <f t="shared" si="6"/>
        <v>111</v>
      </c>
      <c r="R14" s="770" t="s">
        <v>21</v>
      </c>
      <c r="S14" s="771">
        <f t="shared" si="0"/>
        <v>100</v>
      </c>
      <c r="T14" s="770" t="s">
        <v>21</v>
      </c>
      <c r="U14" s="771">
        <f t="shared" si="1"/>
        <v>100</v>
      </c>
      <c r="V14" s="770" t="s">
        <v>21</v>
      </c>
      <c r="W14" s="771">
        <f t="shared" si="2"/>
        <v>100</v>
      </c>
      <c r="X14" s="772"/>
      <c r="Y14" s="3077"/>
      <c r="Z14" s="55">
        <f t="shared" si="7"/>
        <v>111</v>
      </c>
      <c r="AA14" s="773">
        <f t="shared" si="3"/>
        <v>1</v>
      </c>
      <c r="AB14" s="773">
        <f t="shared" si="4"/>
        <v>1</v>
      </c>
      <c r="AC14" s="773">
        <f t="shared" si="5"/>
        <v>1</v>
      </c>
    </row>
    <row r="15" spans="1:29" ht="99.75">
      <c r="A15" s="440" t="s">
        <v>2555</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1" t="s">
        <v>2556</v>
      </c>
      <c r="Q15" s="1810" t="str">
        <f t="shared" si="6"/>
        <v>居住社区成熟度</v>
      </c>
      <c r="R15" s="774" t="s">
        <v>21</v>
      </c>
      <c r="S15" s="775">
        <f t="shared" si="0"/>
        <v>100</v>
      </c>
      <c r="T15" s="774" t="s">
        <v>21</v>
      </c>
      <c r="U15" s="775">
        <f t="shared" si="1"/>
        <v>100</v>
      </c>
      <c r="V15" s="774" t="s">
        <v>21</v>
      </c>
      <c r="W15" s="775">
        <f t="shared" si="2"/>
        <v>100</v>
      </c>
      <c r="X15" s="1813"/>
      <c r="Y15" s="3264" t="s">
        <v>2556</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72"/>
      <c r="Q16" s="1810"/>
      <c r="R16" s="774"/>
      <c r="S16" s="775"/>
      <c r="T16" s="774"/>
      <c r="U16" s="775"/>
      <c r="V16" s="774"/>
      <c r="W16" s="775"/>
      <c r="X16" s="1813"/>
      <c r="Y16" s="3265"/>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2"/>
      <c r="Q17" s="1810" t="str">
        <f>B17</f>
        <v>交通便捷度</v>
      </c>
      <c r="R17" s="774" t="s">
        <v>21</v>
      </c>
      <c r="S17" s="775">
        <f>F17</f>
        <v>100</v>
      </c>
      <c r="T17" s="774" t="s">
        <v>21</v>
      </c>
      <c r="U17" s="775">
        <f>H17</f>
        <v>100</v>
      </c>
      <c r="V17" s="774" t="s">
        <v>21</v>
      </c>
      <c r="W17" s="775">
        <f>J17</f>
        <v>100</v>
      </c>
      <c r="X17" s="1813"/>
      <c r="Y17" s="3265"/>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72"/>
      <c r="Q18" s="1810"/>
      <c r="R18" s="774"/>
      <c r="S18" s="775"/>
      <c r="T18" s="774"/>
      <c r="U18" s="775"/>
      <c r="V18" s="774"/>
      <c r="W18" s="775"/>
      <c r="X18" s="1813"/>
      <c r="Y18" s="3265"/>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2"/>
      <c r="Q19" s="1810" t="str">
        <f>B19</f>
        <v>公共配套设施</v>
      </c>
      <c r="R19" s="774" t="s">
        <v>21</v>
      </c>
      <c r="S19" s="775">
        <f>F19</f>
        <v>100</v>
      </c>
      <c r="T19" s="774" t="s">
        <v>21</v>
      </c>
      <c r="U19" s="775">
        <f>H19</f>
        <v>100</v>
      </c>
      <c r="V19" s="774" t="s">
        <v>21</v>
      </c>
      <c r="W19" s="775">
        <f>J19</f>
        <v>100</v>
      </c>
      <c r="X19" s="1813"/>
      <c r="Y19" s="3265"/>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72"/>
      <c r="Q20" s="1810"/>
      <c r="R20" s="774"/>
      <c r="S20" s="775"/>
      <c r="T20" s="774"/>
      <c r="U20" s="775"/>
      <c r="V20" s="774"/>
      <c r="W20" s="775"/>
      <c r="X20" s="1813"/>
      <c r="Y20" s="3265"/>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2"/>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72"/>
      <c r="Q22" s="1810"/>
      <c r="R22" s="774"/>
      <c r="S22" s="775"/>
      <c r="T22" s="774"/>
      <c r="U22" s="775"/>
      <c r="V22" s="774"/>
      <c r="W22" s="775"/>
      <c r="X22" s="1813"/>
      <c r="Y22" s="3265"/>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2"/>
      <c r="Q23" s="1810" t="str">
        <f>B23</f>
        <v>自然及人文环境</v>
      </c>
      <c r="R23" s="774" t="s">
        <v>21</v>
      </c>
      <c r="S23" s="775">
        <f>F23</f>
        <v>100</v>
      </c>
      <c r="T23" s="774" t="s">
        <v>21</v>
      </c>
      <c r="U23" s="775">
        <f>H23</f>
        <v>100</v>
      </c>
      <c r="V23" s="774" t="s">
        <v>21</v>
      </c>
      <c r="W23" s="775">
        <f>J23</f>
        <v>100</v>
      </c>
      <c r="X23" s="1813"/>
      <c r="Y23" s="3265"/>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72"/>
      <c r="Q24" s="1810"/>
      <c r="R24" s="774"/>
      <c r="S24" s="775"/>
      <c r="T24" s="774"/>
      <c r="U24" s="775"/>
      <c r="V24" s="774"/>
      <c r="W24" s="775"/>
      <c r="X24" s="1813"/>
      <c r="Y24" s="3265"/>
      <c r="Z24" s="1814"/>
      <c r="AA24" s="1811">
        <v>1</v>
      </c>
      <c r="AB24" s="1811">
        <v>1</v>
      </c>
      <c r="AC24" s="1811">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7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65"/>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72"/>
      <c r="Q26" s="1810" t="str">
        <f t="shared" si="11"/>
        <v>朝向</v>
      </c>
      <c r="R26" s="774" t="s">
        <v>21</v>
      </c>
      <c r="S26" s="775">
        <f t="shared" si="12"/>
        <v>100</v>
      </c>
      <c r="T26" s="774" t="s">
        <v>21</v>
      </c>
      <c r="U26" s="775">
        <f t="shared" si="13"/>
        <v>100</v>
      </c>
      <c r="V26" s="774" t="s">
        <v>21</v>
      </c>
      <c r="W26" s="775">
        <f t="shared" si="14"/>
        <v>100</v>
      </c>
      <c r="X26" s="1813"/>
      <c r="Y26" s="326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72"/>
      <c r="Q27" s="1795">
        <f t="shared" si="11"/>
        <v>111</v>
      </c>
      <c r="R27" s="770" t="s">
        <v>21</v>
      </c>
      <c r="S27" s="771">
        <f t="shared" si="12"/>
        <v>100</v>
      </c>
      <c r="T27" s="770" t="s">
        <v>21</v>
      </c>
      <c r="U27" s="771">
        <f t="shared" si="13"/>
        <v>100</v>
      </c>
      <c r="V27" s="770" t="s">
        <v>21</v>
      </c>
      <c r="W27" s="771">
        <f t="shared" si="14"/>
        <v>100</v>
      </c>
      <c r="X27" s="772"/>
      <c r="Y27" s="326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72"/>
      <c r="Q28" s="1810">
        <f t="shared" si="11"/>
        <v>111</v>
      </c>
      <c r="R28" s="774" t="s">
        <v>21</v>
      </c>
      <c r="S28" s="775">
        <f t="shared" si="12"/>
        <v>100</v>
      </c>
      <c r="T28" s="774" t="s">
        <v>21</v>
      </c>
      <c r="U28" s="775">
        <f t="shared" si="13"/>
        <v>100</v>
      </c>
      <c r="V28" s="774" t="s">
        <v>21</v>
      </c>
      <c r="W28" s="775">
        <f t="shared" si="14"/>
        <v>100</v>
      </c>
      <c r="X28" s="1813"/>
      <c r="Y28" s="326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72"/>
      <c r="Q29" s="1810">
        <f t="shared" si="11"/>
        <v>111</v>
      </c>
      <c r="R29" s="774" t="s">
        <v>21</v>
      </c>
      <c r="S29" s="775">
        <f t="shared" si="12"/>
        <v>100</v>
      </c>
      <c r="T29" s="774" t="s">
        <v>21</v>
      </c>
      <c r="U29" s="775">
        <f t="shared" si="13"/>
        <v>100</v>
      </c>
      <c r="V29" s="774" t="s">
        <v>21</v>
      </c>
      <c r="W29" s="775">
        <f t="shared" si="14"/>
        <v>100</v>
      </c>
      <c r="X29" s="1813"/>
      <c r="Y29" s="326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72"/>
      <c r="Q30" s="1810">
        <f t="shared" si="11"/>
        <v>111</v>
      </c>
      <c r="R30" s="774" t="s">
        <v>21</v>
      </c>
      <c r="S30" s="775">
        <f t="shared" si="12"/>
        <v>100</v>
      </c>
      <c r="T30" s="774" t="s">
        <v>21</v>
      </c>
      <c r="U30" s="775">
        <f t="shared" si="13"/>
        <v>100</v>
      </c>
      <c r="V30" s="774" t="s">
        <v>21</v>
      </c>
      <c r="W30" s="775">
        <f t="shared" si="14"/>
        <v>100</v>
      </c>
      <c r="X30" s="1813"/>
      <c r="Y30" s="326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72"/>
      <c r="Q31" s="1810">
        <f t="shared" si="11"/>
        <v>111</v>
      </c>
      <c r="R31" s="774" t="s">
        <v>21</v>
      </c>
      <c r="S31" s="775">
        <f t="shared" si="12"/>
        <v>100</v>
      </c>
      <c r="T31" s="774" t="s">
        <v>21</v>
      </c>
      <c r="U31" s="775">
        <f t="shared" si="13"/>
        <v>100</v>
      </c>
      <c r="V31" s="774" t="s">
        <v>21</v>
      </c>
      <c r="W31" s="775">
        <f t="shared" si="14"/>
        <v>100</v>
      </c>
      <c r="X31" s="1813"/>
      <c r="Y31" s="3265"/>
      <c r="Z31" s="1814">
        <f t="shared" si="18"/>
        <v>111</v>
      </c>
      <c r="AA31" s="1811">
        <f t="shared" si="15"/>
        <v>1</v>
      </c>
      <c r="AB31" s="1811">
        <f t="shared" si="16"/>
        <v>1</v>
      </c>
      <c r="AC31" s="1811">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6" t="s">
        <v>2561</v>
      </c>
      <c r="Q32" s="1810" t="str">
        <f t="shared" si="11"/>
        <v>建筑类型</v>
      </c>
      <c r="R32" s="774" t="s">
        <v>21</v>
      </c>
      <c r="S32" s="775">
        <f t="shared" si="12"/>
        <v>100</v>
      </c>
      <c r="T32" s="774" t="s">
        <v>21</v>
      </c>
      <c r="U32" s="775">
        <f t="shared" si="13"/>
        <v>100</v>
      </c>
      <c r="V32" s="774" t="s">
        <v>21</v>
      </c>
      <c r="W32" s="775">
        <f t="shared" si="14"/>
        <v>100</v>
      </c>
      <c r="X32" s="1813"/>
      <c r="Y32" s="3269"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67"/>
      <c r="Q33" s="776" t="str">
        <f t="shared" si="11"/>
        <v>项目建筑规模</v>
      </c>
      <c r="R33" s="777" t="s">
        <v>21</v>
      </c>
      <c r="S33" s="778" t="e">
        <f t="shared" si="12"/>
        <v>#N/A</v>
      </c>
      <c r="T33" s="777" t="s">
        <v>21</v>
      </c>
      <c r="U33" s="778" t="e">
        <f t="shared" si="13"/>
        <v>#N/A</v>
      </c>
      <c r="V33" s="777" t="s">
        <v>21</v>
      </c>
      <c r="W33" s="778" t="e">
        <f t="shared" si="14"/>
        <v>#N/A</v>
      </c>
      <c r="X33" s="779"/>
      <c r="Y33" s="3269"/>
      <c r="Z33" s="780" t="str">
        <f t="shared" si="18"/>
        <v>项目建筑规模</v>
      </c>
      <c r="AA33" s="1811" t="e">
        <f t="shared" si="15"/>
        <v>#N/A</v>
      </c>
      <c r="AB33" s="1811" t="e">
        <f t="shared" si="16"/>
        <v>#N/A</v>
      </c>
      <c r="AC33" s="1811"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7"/>
      <c r="Q34" s="1810" t="str">
        <f t="shared" si="11"/>
        <v>建筑结构</v>
      </c>
      <c r="R34" s="774" t="s">
        <v>21</v>
      </c>
      <c r="S34" s="775">
        <f t="shared" si="12"/>
        <v>100</v>
      </c>
      <c r="T34" s="774" t="s">
        <v>21</v>
      </c>
      <c r="U34" s="775">
        <f t="shared" si="13"/>
        <v>100</v>
      </c>
      <c r="V34" s="774" t="s">
        <v>21</v>
      </c>
      <c r="W34" s="775">
        <f t="shared" si="14"/>
        <v>100</v>
      </c>
      <c r="X34" s="1813"/>
      <c r="Y34" s="3269"/>
      <c r="Z34" s="1814" t="str">
        <f t="shared" si="18"/>
        <v>建筑结构</v>
      </c>
      <c r="AA34" s="1811">
        <f t="shared" si="15"/>
        <v>1</v>
      </c>
      <c r="AB34" s="1811">
        <f t="shared" si="16"/>
        <v>1</v>
      </c>
      <c r="AC34" s="1811">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7"/>
      <c r="Q35" s="1810" t="str">
        <f t="shared" si="11"/>
        <v>建筑品质</v>
      </c>
      <c r="R35" s="774" t="s">
        <v>21</v>
      </c>
      <c r="S35" s="775">
        <f t="shared" si="12"/>
        <v>100</v>
      </c>
      <c r="T35" s="774" t="s">
        <v>21</v>
      </c>
      <c r="U35" s="775">
        <f t="shared" si="13"/>
        <v>100</v>
      </c>
      <c r="V35" s="774" t="s">
        <v>21</v>
      </c>
      <c r="W35" s="775">
        <f t="shared" si="14"/>
        <v>100</v>
      </c>
      <c r="X35" s="1813"/>
      <c r="Y35" s="3269"/>
      <c r="Z35" s="1814" t="str">
        <f t="shared" si="18"/>
        <v>建筑品质</v>
      </c>
      <c r="AA35" s="1811">
        <f t="shared" si="15"/>
        <v>1</v>
      </c>
      <c r="AB35" s="1811">
        <f t="shared" si="16"/>
        <v>1</v>
      </c>
      <c r="AC35" s="1811">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7"/>
      <c r="Q36" s="1810" t="str">
        <f t="shared" si="11"/>
        <v>公共部分装修</v>
      </c>
      <c r="R36" s="774" t="s">
        <v>21</v>
      </c>
      <c r="S36" s="775">
        <f t="shared" si="12"/>
        <v>100</v>
      </c>
      <c r="T36" s="774" t="s">
        <v>21</v>
      </c>
      <c r="U36" s="775">
        <f t="shared" si="13"/>
        <v>100</v>
      </c>
      <c r="V36" s="774" t="s">
        <v>21</v>
      </c>
      <c r="W36" s="775">
        <f t="shared" si="14"/>
        <v>100</v>
      </c>
      <c r="X36" s="1813"/>
      <c r="Y36" s="3269"/>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7"/>
      <c r="Q37" s="1795" t="str">
        <f t="shared" si="11"/>
        <v>成新度</v>
      </c>
      <c r="R37" s="770" t="s">
        <v>21</v>
      </c>
      <c r="S37" s="771" t="e">
        <f t="shared" si="12"/>
        <v>#N/A</v>
      </c>
      <c r="T37" s="770" t="s">
        <v>21</v>
      </c>
      <c r="U37" s="771" t="e">
        <f t="shared" si="13"/>
        <v>#N/A</v>
      </c>
      <c r="V37" s="770" t="s">
        <v>21</v>
      </c>
      <c r="W37" s="771" t="e">
        <f t="shared" si="14"/>
        <v>#N/A</v>
      </c>
      <c r="X37" s="772"/>
      <c r="Y37" s="3269"/>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7" t="s">
        <v>2561</v>
      </c>
      <c r="Q38" s="1810" t="str">
        <f t="shared" si="11"/>
        <v>物业管理</v>
      </c>
      <c r="R38" s="774" t="s">
        <v>21</v>
      </c>
      <c r="S38" s="775">
        <f t="shared" si="12"/>
        <v>100</v>
      </c>
      <c r="T38" s="774" t="s">
        <v>21</v>
      </c>
      <c r="U38" s="775">
        <f t="shared" si="13"/>
        <v>100</v>
      </c>
      <c r="V38" s="774" t="s">
        <v>21</v>
      </c>
      <c r="W38" s="775">
        <f t="shared" si="14"/>
        <v>100</v>
      </c>
      <c r="X38" s="1813"/>
      <c r="Y38" s="3269" t="s">
        <v>2561</v>
      </c>
      <c r="Z38" s="1814" t="str">
        <f t="shared" si="18"/>
        <v>物业管理</v>
      </c>
      <c r="AA38" s="1811">
        <f t="shared" si="15"/>
        <v>1</v>
      </c>
      <c r="AB38" s="1811">
        <f t="shared" si="16"/>
        <v>1</v>
      </c>
      <c r="AC38" s="1811">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7"/>
      <c r="Q39" s="1810" t="str">
        <f t="shared" si="11"/>
        <v>市政基础设施</v>
      </c>
      <c r="R39" s="774" t="s">
        <v>21</v>
      </c>
      <c r="S39" s="775">
        <f t="shared" si="12"/>
        <v>100</v>
      </c>
      <c r="T39" s="774" t="s">
        <v>21</v>
      </c>
      <c r="U39" s="775">
        <f t="shared" si="13"/>
        <v>100</v>
      </c>
      <c r="V39" s="774" t="s">
        <v>21</v>
      </c>
      <c r="W39" s="775">
        <f t="shared" si="14"/>
        <v>100</v>
      </c>
      <c r="X39" s="1813"/>
      <c r="Y39" s="3269"/>
      <c r="Z39" s="1814" t="str">
        <f t="shared" si="18"/>
        <v>市政基础设施</v>
      </c>
      <c r="AA39" s="1811">
        <f t="shared" si="15"/>
        <v>1</v>
      </c>
      <c r="AB39" s="1811">
        <f t="shared" si="16"/>
        <v>1</v>
      </c>
      <c r="AC39" s="1811">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7"/>
      <c r="Q40" s="1810" t="str">
        <f t="shared" si="11"/>
        <v>房型</v>
      </c>
      <c r="R40" s="774" t="s">
        <v>21</v>
      </c>
      <c r="S40" s="775">
        <f t="shared" si="12"/>
        <v>100</v>
      </c>
      <c r="T40" s="774" t="s">
        <v>21</v>
      </c>
      <c r="U40" s="775">
        <f t="shared" si="13"/>
        <v>100</v>
      </c>
      <c r="V40" s="774" t="s">
        <v>21</v>
      </c>
      <c r="W40" s="775">
        <f t="shared" si="14"/>
        <v>100</v>
      </c>
      <c r="X40" s="1813"/>
      <c r="Y40" s="3269"/>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67"/>
      <c r="Q41" s="776" t="str">
        <f t="shared" si="11"/>
        <v>单套/主力户型建筑面积</v>
      </c>
      <c r="R41" s="777" t="s">
        <v>21</v>
      </c>
      <c r="S41" s="778">
        <f t="shared" si="12"/>
        <v>100</v>
      </c>
      <c r="T41" s="777" t="s">
        <v>21</v>
      </c>
      <c r="U41" s="778">
        <f t="shared" si="13"/>
        <v>100</v>
      </c>
      <c r="V41" s="777" t="s">
        <v>21</v>
      </c>
      <c r="W41" s="778">
        <f t="shared" si="14"/>
        <v>100</v>
      </c>
      <c r="X41" s="779"/>
      <c r="Y41" s="3269"/>
      <c r="Z41" s="780" t="str">
        <f t="shared" si="18"/>
        <v>单套/主力户型建筑面积</v>
      </c>
      <c r="AA41" s="1811">
        <f t="shared" si="15"/>
        <v>1</v>
      </c>
      <c r="AB41" s="1811">
        <f t="shared" si="16"/>
        <v>1</v>
      </c>
      <c r="AC41" s="1811">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7"/>
      <c r="Q42" s="1810" t="str">
        <f t="shared" si="11"/>
        <v>内部装修</v>
      </c>
      <c r="R42" s="774" t="s">
        <v>21</v>
      </c>
      <c r="S42" s="775">
        <f t="shared" si="12"/>
        <v>100</v>
      </c>
      <c r="T42" s="774" t="s">
        <v>21</v>
      </c>
      <c r="U42" s="775">
        <f t="shared" si="13"/>
        <v>100</v>
      </c>
      <c r="V42" s="774" t="s">
        <v>21</v>
      </c>
      <c r="W42" s="775">
        <f t="shared" si="14"/>
        <v>100</v>
      </c>
      <c r="X42" s="1813"/>
      <c r="Y42" s="3269"/>
      <c r="Z42" s="1814" t="str">
        <f t="shared" si="18"/>
        <v>内部装修</v>
      </c>
      <c r="AA42" s="1811">
        <f t="shared" si="15"/>
        <v>1</v>
      </c>
      <c r="AB42" s="1811">
        <f t="shared" si="16"/>
        <v>1</v>
      </c>
      <c r="AC42" s="1811">
        <f t="shared" si="17"/>
        <v>1</v>
      </c>
    </row>
    <row r="43" spans="1:29" ht="15">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7"/>
      <c r="Q43" s="1810" t="str">
        <f t="shared" si="11"/>
        <v>内部装修维护情况</v>
      </c>
      <c r="R43" s="774" t="s">
        <v>21</v>
      </c>
      <c r="S43" s="775">
        <f t="shared" si="12"/>
        <v>100</v>
      </c>
      <c r="T43" s="774" t="s">
        <v>21</v>
      </c>
      <c r="U43" s="775">
        <f t="shared" si="13"/>
        <v>100</v>
      </c>
      <c r="V43" s="774" t="s">
        <v>21</v>
      </c>
      <c r="W43" s="775">
        <f t="shared" si="14"/>
        <v>100</v>
      </c>
      <c r="X43" s="1813"/>
      <c r="Y43" s="326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67"/>
      <c r="Q44" s="1795">
        <f t="shared" si="11"/>
        <v>111</v>
      </c>
      <c r="R44" s="770" t="s">
        <v>21</v>
      </c>
      <c r="S44" s="771">
        <f t="shared" si="12"/>
        <v>100</v>
      </c>
      <c r="T44" s="770" t="s">
        <v>21</v>
      </c>
      <c r="U44" s="771">
        <f t="shared" si="13"/>
        <v>100</v>
      </c>
      <c r="V44" s="770" t="s">
        <v>21</v>
      </c>
      <c r="W44" s="771">
        <f t="shared" si="14"/>
        <v>100</v>
      </c>
      <c r="X44" s="772"/>
      <c r="Y44" s="326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7"/>
      <c r="Q45" s="1810">
        <f t="shared" si="11"/>
        <v>111</v>
      </c>
      <c r="R45" s="774" t="s">
        <v>21</v>
      </c>
      <c r="S45" s="775">
        <f t="shared" si="12"/>
        <v>100</v>
      </c>
      <c r="T45" s="774" t="s">
        <v>21</v>
      </c>
      <c r="U45" s="775">
        <f t="shared" si="13"/>
        <v>100</v>
      </c>
      <c r="V45" s="774" t="s">
        <v>21</v>
      </c>
      <c r="W45" s="775">
        <f t="shared" si="14"/>
        <v>100</v>
      </c>
      <c r="X45" s="1813"/>
      <c r="Y45" s="3269"/>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8"/>
      <c r="Q46" s="1810">
        <f t="shared" si="11"/>
        <v>111</v>
      </c>
      <c r="R46" s="774" t="s">
        <v>20</v>
      </c>
      <c r="S46" s="775">
        <f t="shared" si="12"/>
        <v>100</v>
      </c>
      <c r="T46" s="774" t="s">
        <v>20</v>
      </c>
      <c r="U46" s="775">
        <f t="shared" si="13"/>
        <v>100</v>
      </c>
      <c r="V46" s="774" t="s">
        <v>20</v>
      </c>
      <c r="W46" s="775">
        <f t="shared" si="14"/>
        <v>100</v>
      </c>
      <c r="X46" s="1813"/>
      <c r="Y46" s="3270"/>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3"/>
      <c r="L47" s="1143"/>
      <c r="M47" s="1144"/>
      <c r="N47" s="1131"/>
      <c r="O47" s="1144"/>
      <c r="P47" s="3262" t="str">
        <f>A47</f>
        <v>成交单价（元/平方米）</v>
      </c>
      <c r="Q47" s="3262"/>
      <c r="R47" s="3263">
        <f>E47</f>
        <v>0</v>
      </c>
      <c r="S47" s="3263"/>
      <c r="T47" s="3263">
        <f>G47</f>
        <v>0</v>
      </c>
      <c r="U47" s="3263"/>
      <c r="V47" s="3263">
        <f>I47</f>
        <v>0</v>
      </c>
      <c r="W47" s="326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5"/>
      <c r="L49" s="1143"/>
      <c r="M49" s="1144"/>
      <c r="N49" s="1144"/>
      <c r="O49" s="1144"/>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8"/>
      <c r="Q57" s="504"/>
    </row>
    <row r="58" spans="1:29" s="508" customFormat="1" ht="15">
      <c r="A58" s="505" t="s">
        <v>2580</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2582</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2607</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2559</v>
      </c>
      <c r="B100" s="528" t="s">
        <v>2608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5.75"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c r="B147" s="2639" t="s">
        <v>2636</v>
      </c>
    </row>
    <row r="148" spans="2:11">
      <c r="B148" s="2639"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131"/>
  <sheetViews>
    <sheetView topLeftCell="A24" zoomScale="90" zoomScaleNormal="90" workbookViewId="0">
      <selection activeCell="H38" sqref="H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v>102</v>
      </c>
      <c r="E1" s="2659"/>
      <c r="F1" s="2586" t="s">
        <v>3138</v>
      </c>
      <c r="G1" s="1631" t="s">
        <v>2528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1388</v>
      </c>
      <c r="B2" s="1418">
        <f>IF(C2="——",ROUND(C49*D3/10000,0),ROUND(C49*D3/10000,0)-D2)</f>
        <v>1</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9.5</v>
      </c>
      <c r="C3" s="400" t="s">
        <v>2530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2531</v>
      </c>
      <c r="B4" s="402"/>
      <c r="C4" s="3245" t="s">
        <v>2532</v>
      </c>
      <c r="D4" s="3246"/>
      <c r="E4" s="3247" t="s">
        <v>2533</v>
      </c>
      <c r="F4" s="3248"/>
      <c r="G4" s="3245" t="s">
        <v>2534</v>
      </c>
      <c r="H4" s="3246"/>
      <c r="I4" s="3245" t="s">
        <v>2535</v>
      </c>
      <c r="J4" s="3246"/>
      <c r="K4" s="610" t="s">
        <v>2536</v>
      </c>
      <c r="L4" s="1130"/>
      <c r="M4" s="1131"/>
      <c r="N4" s="1131"/>
      <c r="O4" s="1131"/>
      <c r="P4" s="3249" t="s">
        <v>2537</v>
      </c>
      <c r="Q4" s="3250"/>
      <c r="R4" s="3232" t="s">
        <v>2533</v>
      </c>
      <c r="S4" s="3233"/>
      <c r="T4" s="3232" t="s">
        <v>2534</v>
      </c>
      <c r="U4" s="3233"/>
      <c r="V4" s="3257" t="s">
        <v>2535</v>
      </c>
      <c r="W4" s="3257"/>
      <c r="X4" s="3002"/>
      <c r="Y4" s="3232" t="s">
        <v>2537</v>
      </c>
      <c r="Z4" s="3233"/>
      <c r="AA4" s="3227" t="s">
        <v>2533</v>
      </c>
      <c r="AB4" s="3257" t="s">
        <v>2534</v>
      </c>
      <c r="AC4" s="3227" t="s">
        <v>2535</v>
      </c>
    </row>
    <row r="5" spans="1:29" ht="15">
      <c r="A5" s="404"/>
      <c r="B5" s="405"/>
      <c r="C5" s="3238" t="s">
        <v>2538</v>
      </c>
      <c r="D5" s="3239"/>
      <c r="E5" s="3273" t="s">
        <v>3108</v>
      </c>
      <c r="F5" s="3237"/>
      <c r="G5" s="3274" t="s">
        <v>3122</v>
      </c>
      <c r="H5" s="3239"/>
      <c r="I5" s="3274" t="s">
        <v>3108</v>
      </c>
      <c r="J5" s="3239"/>
      <c r="K5" s="610"/>
      <c r="L5" s="1130"/>
      <c r="M5" s="1131"/>
      <c r="N5" s="1131"/>
      <c r="O5" s="1131"/>
      <c r="P5" s="3251"/>
      <c r="Q5" s="3252"/>
      <c r="R5" s="3234"/>
      <c r="S5" s="3235"/>
      <c r="T5" s="3234"/>
      <c r="U5" s="3235"/>
      <c r="V5" s="3257"/>
      <c r="W5" s="3257"/>
      <c r="X5" s="3002"/>
      <c r="Y5" s="3234"/>
      <c r="Z5" s="3235"/>
      <c r="AA5" s="3228"/>
      <c r="AB5" s="3257"/>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3002"/>
      <c r="Y6" s="3255"/>
      <c r="Z6" s="3256"/>
      <c r="AA6" s="3229"/>
      <c r="AB6" s="3257"/>
      <c r="AC6" s="3229"/>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30" t="s">
        <v>2545</v>
      </c>
      <c r="Q7" s="3258"/>
      <c r="R7" s="770" t="s">
        <v>17</v>
      </c>
      <c r="S7" s="771">
        <f t="shared" ref="S7:S15" si="0">F7</f>
        <v>100</v>
      </c>
      <c r="T7" s="770" t="s">
        <v>17</v>
      </c>
      <c r="U7" s="771">
        <f t="shared" ref="U7:U15" si="1">H7</f>
        <v>100</v>
      </c>
      <c r="V7" s="770" t="s">
        <v>17</v>
      </c>
      <c r="W7" s="771">
        <f t="shared" ref="W7:W15" si="2">J7</f>
        <v>100</v>
      </c>
      <c r="X7" s="772"/>
      <c r="Y7" s="3230" t="s">
        <v>2545</v>
      </c>
      <c r="Z7" s="3231"/>
      <c r="AA7" s="773">
        <f>D7/F7</f>
        <v>1</v>
      </c>
      <c r="AB7" s="773">
        <f>D7/H7</f>
        <v>1</v>
      </c>
      <c r="AC7" s="773">
        <f>D7/J7</f>
        <v>1</v>
      </c>
    </row>
    <row r="8" spans="1:29" s="117" customFormat="1" ht="15.75" thickBot="1">
      <c r="A8" s="408" t="s">
        <v>2546</v>
      </c>
      <c r="B8" s="409"/>
      <c r="C8" s="414" t="s">
        <v>2583</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30" t="s">
        <v>2548</v>
      </c>
      <c r="Q8" s="3231"/>
      <c r="R8" s="770" t="s">
        <v>17</v>
      </c>
      <c r="S8" s="771">
        <f t="shared" si="0"/>
        <v>100</v>
      </c>
      <c r="T8" s="770" t="s">
        <v>17</v>
      </c>
      <c r="U8" s="771">
        <f t="shared" si="1"/>
        <v>100</v>
      </c>
      <c r="V8" s="770" t="s">
        <v>17</v>
      </c>
      <c r="W8" s="771">
        <f t="shared" si="2"/>
        <v>100</v>
      </c>
      <c r="X8" s="772"/>
      <c r="Y8" s="3230" t="s">
        <v>2548</v>
      </c>
      <c r="Z8" s="3231"/>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4" t="s">
        <v>2551</v>
      </c>
      <c r="Q9" s="2999" t="str">
        <f t="shared" ref="Q9:Q15" si="6">B9</f>
        <v>用途</v>
      </c>
      <c r="R9" s="770" t="s">
        <v>17</v>
      </c>
      <c r="S9" s="771">
        <f t="shared" si="0"/>
        <v>100</v>
      </c>
      <c r="T9" s="770" t="s">
        <v>17</v>
      </c>
      <c r="U9" s="771">
        <f t="shared" si="1"/>
        <v>100</v>
      </c>
      <c r="V9" s="770" t="s">
        <v>17</v>
      </c>
      <c r="W9" s="771">
        <f t="shared" si="2"/>
        <v>100</v>
      </c>
      <c r="X9" s="772"/>
      <c r="Y9" s="3077" t="s">
        <v>2552</v>
      </c>
      <c r="Z9" s="3000" t="str">
        <f t="shared" ref="Z9:Z15" si="7">Q9</f>
        <v>用途</v>
      </c>
      <c r="AA9" s="773">
        <f t="shared" si="3"/>
        <v>1</v>
      </c>
      <c r="AB9" s="773">
        <f t="shared" si="4"/>
        <v>1</v>
      </c>
      <c r="AC9" s="773">
        <f t="shared" si="5"/>
        <v>1</v>
      </c>
    </row>
    <row r="10" spans="1:29" s="427" customFormat="1" ht="27">
      <c r="A10" s="421"/>
      <c r="B10" s="3001"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5"/>
      <c r="M10" s="1136"/>
      <c r="N10" s="1136"/>
      <c r="O10" s="1136"/>
      <c r="P10" s="3244"/>
      <c r="Q10" s="2999" t="str">
        <f t="shared" si="6"/>
        <v>土地使用年限（年）</v>
      </c>
      <c r="R10" s="770" t="s">
        <v>17</v>
      </c>
      <c r="S10" s="771">
        <f t="shared" si="0"/>
        <v>100</v>
      </c>
      <c r="T10" s="770" t="s">
        <v>17</v>
      </c>
      <c r="U10" s="771">
        <f t="shared" si="1"/>
        <v>100</v>
      </c>
      <c r="V10" s="770" t="s">
        <v>17</v>
      </c>
      <c r="W10" s="771">
        <f t="shared" si="2"/>
        <v>100</v>
      </c>
      <c r="X10" s="772"/>
      <c r="Y10" s="3077"/>
      <c r="Z10" s="3000" t="str">
        <f t="shared" si="7"/>
        <v>土地使用年限（年）</v>
      </c>
      <c r="AA10" s="773">
        <f t="shared" si="3"/>
        <v>1</v>
      </c>
      <c r="AB10" s="773">
        <f t="shared" si="4"/>
        <v>1</v>
      </c>
      <c r="AC10" s="773">
        <f t="shared" si="5"/>
        <v>1</v>
      </c>
    </row>
    <row r="11" spans="1:29" ht="15">
      <c r="A11" s="428"/>
      <c r="B11" s="3001"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4"/>
      <c r="Q11" s="2999" t="str">
        <f t="shared" si="6"/>
        <v>容积率</v>
      </c>
      <c r="R11" s="770" t="s">
        <v>17</v>
      </c>
      <c r="S11" s="771">
        <f t="shared" si="0"/>
        <v>100</v>
      </c>
      <c r="T11" s="770" t="s">
        <v>17</v>
      </c>
      <c r="U11" s="771">
        <f t="shared" si="1"/>
        <v>100</v>
      </c>
      <c r="V11" s="770" t="s">
        <v>17</v>
      </c>
      <c r="W11" s="771">
        <f t="shared" si="2"/>
        <v>100</v>
      </c>
      <c r="X11" s="772"/>
      <c r="Y11" s="3077"/>
      <c r="Z11" s="3000"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4"/>
      <c r="Q12" s="2999">
        <f t="shared" si="6"/>
        <v>111</v>
      </c>
      <c r="R12" s="770" t="s">
        <v>17</v>
      </c>
      <c r="S12" s="771">
        <f t="shared" si="0"/>
        <v>100</v>
      </c>
      <c r="T12" s="770" t="s">
        <v>17</v>
      </c>
      <c r="U12" s="771">
        <f t="shared" si="1"/>
        <v>100</v>
      </c>
      <c r="V12" s="770" t="s">
        <v>17</v>
      </c>
      <c r="W12" s="771">
        <f t="shared" si="2"/>
        <v>100</v>
      </c>
      <c r="X12" s="772"/>
      <c r="Y12" s="3077"/>
      <c r="Z12" s="3000">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4"/>
      <c r="Q13" s="2999">
        <f t="shared" si="6"/>
        <v>111</v>
      </c>
      <c r="R13" s="770" t="s">
        <v>17</v>
      </c>
      <c r="S13" s="771">
        <f t="shared" si="0"/>
        <v>100</v>
      </c>
      <c r="T13" s="770" t="s">
        <v>17</v>
      </c>
      <c r="U13" s="771">
        <f t="shared" si="1"/>
        <v>100</v>
      </c>
      <c r="V13" s="770" t="s">
        <v>17</v>
      </c>
      <c r="W13" s="771">
        <f t="shared" si="2"/>
        <v>100</v>
      </c>
      <c r="X13" s="772"/>
      <c r="Y13" s="3077"/>
      <c r="Z13" s="3000">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4"/>
      <c r="Q14" s="2999">
        <f t="shared" si="6"/>
        <v>111</v>
      </c>
      <c r="R14" s="770" t="s">
        <v>17</v>
      </c>
      <c r="S14" s="771">
        <f t="shared" si="0"/>
        <v>100</v>
      </c>
      <c r="T14" s="770" t="s">
        <v>17</v>
      </c>
      <c r="U14" s="771">
        <f t="shared" si="1"/>
        <v>100</v>
      </c>
      <c r="V14" s="770" t="s">
        <v>17</v>
      </c>
      <c r="W14" s="771">
        <f t="shared" si="2"/>
        <v>100</v>
      </c>
      <c r="X14" s="772"/>
      <c r="Y14" s="3077"/>
      <c r="Z14" s="3000">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71" t="s">
        <v>2556</v>
      </c>
      <c r="Q15" s="3005" t="str">
        <f t="shared" si="6"/>
        <v>商业繁华度</v>
      </c>
      <c r="R15" s="774" t="s">
        <v>17</v>
      </c>
      <c r="S15" s="775">
        <f t="shared" si="0"/>
        <v>100</v>
      </c>
      <c r="T15" s="774" t="s">
        <v>17</v>
      </c>
      <c r="U15" s="775">
        <f t="shared" si="1"/>
        <v>100</v>
      </c>
      <c r="V15" s="774" t="s">
        <v>17</v>
      </c>
      <c r="W15" s="775">
        <f t="shared" si="2"/>
        <v>100</v>
      </c>
      <c r="X15" s="3002"/>
      <c r="Y15" s="3264" t="s">
        <v>2556</v>
      </c>
      <c r="Z15" s="3003" t="str">
        <f t="shared" si="7"/>
        <v>商业繁华度</v>
      </c>
      <c r="AA15" s="3006">
        <f t="shared" si="3"/>
        <v>1</v>
      </c>
      <c r="AB15" s="3006">
        <f t="shared" si="4"/>
        <v>1</v>
      </c>
      <c r="AC15" s="3006">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72"/>
      <c r="Q16" s="3005"/>
      <c r="R16" s="774"/>
      <c r="S16" s="775"/>
      <c r="T16" s="774"/>
      <c r="U16" s="775"/>
      <c r="V16" s="774"/>
      <c r="W16" s="775"/>
      <c r="X16" s="3002"/>
      <c r="Y16" s="3265"/>
      <c r="Z16" s="3003"/>
      <c r="AA16" s="3006">
        <v>1</v>
      </c>
      <c r="AB16" s="3006">
        <v>1</v>
      </c>
      <c r="AC16" s="3006">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2"/>
      <c r="Q17" s="3005" t="str">
        <f>B17</f>
        <v>交通便捷度</v>
      </c>
      <c r="R17" s="774" t="s">
        <v>17</v>
      </c>
      <c r="S17" s="775">
        <f>F17</f>
        <v>100</v>
      </c>
      <c r="T17" s="774" t="s">
        <v>17</v>
      </c>
      <c r="U17" s="775">
        <f>H17</f>
        <v>100</v>
      </c>
      <c r="V17" s="774" t="s">
        <v>17</v>
      </c>
      <c r="W17" s="775">
        <f>J17</f>
        <v>100</v>
      </c>
      <c r="X17" s="3002"/>
      <c r="Y17" s="3265"/>
      <c r="Z17" s="3003" t="str">
        <f>Q17</f>
        <v>交通便捷度</v>
      </c>
      <c r="AA17" s="3006">
        <f t="shared" si="3"/>
        <v>1</v>
      </c>
      <c r="AB17" s="3006">
        <f t="shared" si="4"/>
        <v>1</v>
      </c>
      <c r="AC17" s="3006">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72"/>
      <c r="Q18" s="3005"/>
      <c r="R18" s="774"/>
      <c r="S18" s="775"/>
      <c r="T18" s="774"/>
      <c r="U18" s="775"/>
      <c r="V18" s="774"/>
      <c r="W18" s="775"/>
      <c r="X18" s="3002"/>
      <c r="Y18" s="3265"/>
      <c r="Z18" s="3003"/>
      <c r="AA18" s="3006">
        <v>1</v>
      </c>
      <c r="AB18" s="3006">
        <v>1</v>
      </c>
      <c r="AC18" s="3006">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72"/>
      <c r="Q19" s="3005" t="str">
        <f>B19</f>
        <v>公共配套设施</v>
      </c>
      <c r="R19" s="774" t="s">
        <v>17</v>
      </c>
      <c r="S19" s="775">
        <f>F19</f>
        <v>100</v>
      </c>
      <c r="T19" s="774" t="s">
        <v>17</v>
      </c>
      <c r="U19" s="775">
        <f>H19</f>
        <v>100</v>
      </c>
      <c r="V19" s="774" t="s">
        <v>17</v>
      </c>
      <c r="W19" s="775">
        <f>J19</f>
        <v>100</v>
      </c>
      <c r="X19" s="3002"/>
      <c r="Y19" s="3265"/>
      <c r="Z19" s="3003" t="str">
        <f>Q19</f>
        <v>公共配套设施</v>
      </c>
      <c r="AA19" s="3006">
        <f t="shared" si="3"/>
        <v>1</v>
      </c>
      <c r="AB19" s="3006">
        <f t="shared" si="4"/>
        <v>1</v>
      </c>
      <c r="AC19" s="3006">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72"/>
      <c r="Q20" s="3005"/>
      <c r="R20" s="774"/>
      <c r="S20" s="775"/>
      <c r="T20" s="774"/>
      <c r="U20" s="775"/>
      <c r="V20" s="774"/>
      <c r="W20" s="775"/>
      <c r="X20" s="3002"/>
      <c r="Y20" s="3265"/>
      <c r="Z20" s="3003"/>
      <c r="AA20" s="3006">
        <v>1</v>
      </c>
      <c r="AB20" s="3006">
        <v>1</v>
      </c>
      <c r="AC20" s="3006">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2"/>
      <c r="Q21" s="3005" t="str">
        <f>B21</f>
        <v>基础设施水平</v>
      </c>
      <c r="R21" s="774" t="s">
        <v>17</v>
      </c>
      <c r="S21" s="775">
        <f>F21</f>
        <v>100</v>
      </c>
      <c r="T21" s="774" t="s">
        <v>17</v>
      </c>
      <c r="U21" s="775">
        <f>H21</f>
        <v>100</v>
      </c>
      <c r="V21" s="774" t="s">
        <v>17</v>
      </c>
      <c r="W21" s="775">
        <f>J21</f>
        <v>100</v>
      </c>
      <c r="X21" s="3002"/>
      <c r="Y21" s="3265"/>
      <c r="Z21" s="3003" t="str">
        <f>Q21</f>
        <v>基础设施水平</v>
      </c>
      <c r="AA21" s="3006">
        <f t="shared" ref="AA21" si="8">D21/F21</f>
        <v>1</v>
      </c>
      <c r="AB21" s="3006">
        <f t="shared" ref="AB21" si="9">D21/H21</f>
        <v>1</v>
      </c>
      <c r="AC21" s="3006">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72"/>
      <c r="Q22" s="3005"/>
      <c r="R22" s="774"/>
      <c r="S22" s="775"/>
      <c r="T22" s="774"/>
      <c r="U22" s="775"/>
      <c r="V22" s="774"/>
      <c r="W22" s="775"/>
      <c r="X22" s="3002"/>
      <c r="Y22" s="3265"/>
      <c r="Z22" s="3003"/>
      <c r="AA22" s="3006">
        <v>1</v>
      </c>
      <c r="AB22" s="3006">
        <v>1</v>
      </c>
      <c r="AC22" s="3006">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272"/>
      <c r="Q23" s="3005" t="str">
        <f>B23</f>
        <v>自然及人文环境</v>
      </c>
      <c r="R23" s="774" t="s">
        <v>17</v>
      </c>
      <c r="S23" s="775">
        <f>F23</f>
        <v>100</v>
      </c>
      <c r="T23" s="774" t="s">
        <v>17</v>
      </c>
      <c r="U23" s="775">
        <f>H23</f>
        <v>100</v>
      </c>
      <c r="V23" s="774" t="s">
        <v>17</v>
      </c>
      <c r="W23" s="775">
        <f>J23</f>
        <v>100</v>
      </c>
      <c r="X23" s="3002"/>
      <c r="Y23" s="3265"/>
      <c r="Z23" s="3003" t="str">
        <f>Q23</f>
        <v>自然及人文环境</v>
      </c>
      <c r="AA23" s="3006">
        <f t="shared" si="3"/>
        <v>1</v>
      </c>
      <c r="AB23" s="3006">
        <f t="shared" si="4"/>
        <v>1</v>
      </c>
      <c r="AC23" s="3006">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72"/>
      <c r="Q24" s="3005"/>
      <c r="R24" s="774"/>
      <c r="S24" s="775"/>
      <c r="T24" s="774"/>
      <c r="U24" s="775"/>
      <c r="V24" s="774"/>
      <c r="W24" s="775"/>
      <c r="X24" s="3002"/>
      <c r="Y24" s="3265"/>
      <c r="Z24" s="3003"/>
      <c r="AA24" s="3006">
        <v>1</v>
      </c>
      <c r="AB24" s="3006">
        <v>1</v>
      </c>
      <c r="AC24" s="3006">
        <v>1</v>
      </c>
    </row>
    <row r="25" spans="1:29" ht="15">
      <c r="A25" s="428"/>
      <c r="B25" s="3001" t="s">
        <v>2652</v>
      </c>
      <c r="C25" s="616"/>
      <c r="D25" s="435">
        <v>100</v>
      </c>
      <c r="E25" s="616"/>
      <c r="F25" s="461">
        <f>SUMIF(86:86,E25,87:87)-SUMIF(86:86,C25,87:87)+100</f>
        <v>100</v>
      </c>
      <c r="G25" s="616"/>
      <c r="H25" s="435">
        <f>SUMIF(86:86,G25,87:87)-SUMIF(86:86,C25,87:87)+100</f>
        <v>100</v>
      </c>
      <c r="I25" s="616"/>
      <c r="J25" s="435">
        <f>SUMIF(86:86,I25,87:87)-SUMIF(86:86,C25,87:87)+100</f>
        <v>100</v>
      </c>
      <c r="K25" s="612">
        <v>1</v>
      </c>
      <c r="L25" s="1140"/>
      <c r="M25" s="1131"/>
      <c r="N25" s="1131"/>
      <c r="O25" s="1131"/>
      <c r="P25" s="3272"/>
      <c r="Q25" s="3005" t="str">
        <f t="shared" ref="Q25:Q46" si="11">B25</f>
        <v>临街状况</v>
      </c>
      <c r="R25" s="774" t="s">
        <v>17</v>
      </c>
      <c r="S25" s="775">
        <f>F25</f>
        <v>100</v>
      </c>
      <c r="T25" s="774" t="s">
        <v>17</v>
      </c>
      <c r="U25" s="775">
        <f>H25</f>
        <v>100</v>
      </c>
      <c r="V25" s="774" t="s">
        <v>17</v>
      </c>
      <c r="W25" s="775">
        <f>J25</f>
        <v>100</v>
      </c>
      <c r="X25" s="3002"/>
      <c r="Y25" s="3265"/>
      <c r="Z25" s="3003" t="str">
        <f>Q25</f>
        <v>临街状况</v>
      </c>
      <c r="AA25" s="3006">
        <f t="shared" si="3"/>
        <v>1</v>
      </c>
      <c r="AB25" s="3006">
        <f t="shared" si="4"/>
        <v>1</v>
      </c>
      <c r="AC25" s="300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2"/>
      <c r="Q26" s="3005" t="str">
        <f t="shared" si="11"/>
        <v>平面位置/可视性</v>
      </c>
      <c r="R26" s="774" t="s">
        <v>17</v>
      </c>
      <c r="S26" s="775">
        <f>F26</f>
        <v>100</v>
      </c>
      <c r="T26" s="774" t="s">
        <v>17</v>
      </c>
      <c r="U26" s="775">
        <f>H26</f>
        <v>100</v>
      </c>
      <c r="V26" s="774" t="s">
        <v>17</v>
      </c>
      <c r="W26" s="775">
        <f>J26</f>
        <v>100</v>
      </c>
      <c r="X26" s="3002"/>
      <c r="Y26" s="3265"/>
      <c r="Z26" s="3003" t="str">
        <f>Q26</f>
        <v>平面位置/可视性</v>
      </c>
      <c r="AA26" s="3006">
        <f t="shared" si="3"/>
        <v>1</v>
      </c>
      <c r="AB26" s="3006">
        <f t="shared" si="4"/>
        <v>1</v>
      </c>
      <c r="AC26" s="3006">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v>1</v>
      </c>
      <c r="L27" s="1132"/>
      <c r="M27" s="1133"/>
      <c r="N27" s="1133"/>
      <c r="O27" s="1133"/>
      <c r="P27" s="3272"/>
      <c r="Q27" s="2999" t="str">
        <f t="shared" si="11"/>
        <v>人流量</v>
      </c>
      <c r="R27" s="770" t="s">
        <v>17</v>
      </c>
      <c r="S27" s="771">
        <f>F27</f>
        <v>100</v>
      </c>
      <c r="T27" s="770" t="s">
        <v>17</v>
      </c>
      <c r="U27" s="771">
        <f>H27</f>
        <v>100</v>
      </c>
      <c r="V27" s="770" t="s">
        <v>17</v>
      </c>
      <c r="W27" s="771">
        <f>J27</f>
        <v>100</v>
      </c>
      <c r="X27" s="772"/>
      <c r="Y27" s="3265"/>
      <c r="Z27" s="3000" t="str">
        <f>Q27</f>
        <v>人流量</v>
      </c>
      <c r="AA27" s="3006">
        <f>D27/F27</f>
        <v>1</v>
      </c>
      <c r="AB27" s="3006">
        <f>D27/H27</f>
        <v>1</v>
      </c>
      <c r="AC27" s="3006">
        <f>D27/J27</f>
        <v>1</v>
      </c>
    </row>
    <row r="28" spans="1:29" ht="15">
      <c r="A28" s="428"/>
      <c r="B28" s="3001"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2"/>
      <c r="Q28" s="3005" t="str">
        <f t="shared" si="11"/>
        <v>楼层</v>
      </c>
      <c r="R28" s="774" t="s">
        <v>17</v>
      </c>
      <c r="S28" s="775">
        <f t="shared" ref="S28:S46" si="12">F28</f>
        <v>100</v>
      </c>
      <c r="T28" s="774" t="s">
        <v>17</v>
      </c>
      <c r="U28" s="775">
        <f t="shared" ref="U28:U46" si="13">H28</f>
        <v>100</v>
      </c>
      <c r="V28" s="774" t="s">
        <v>17</v>
      </c>
      <c r="W28" s="775">
        <f t="shared" ref="W28:W46" si="14">J28</f>
        <v>100</v>
      </c>
      <c r="X28" s="3002"/>
      <c r="Y28" s="3265"/>
      <c r="Z28" s="3003" t="str">
        <f t="shared" ref="Z28:Z46" si="15">Q28</f>
        <v>楼层</v>
      </c>
      <c r="AA28" s="3006">
        <f t="shared" si="3"/>
        <v>1</v>
      </c>
      <c r="AB28" s="3006">
        <f t="shared" si="4"/>
        <v>1</v>
      </c>
      <c r="AC28" s="30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3005">
        <f t="shared" si="11"/>
        <v>111</v>
      </c>
      <c r="R29" s="774" t="s">
        <v>17</v>
      </c>
      <c r="S29" s="775">
        <f t="shared" si="12"/>
        <v>100</v>
      </c>
      <c r="T29" s="774" t="s">
        <v>17</v>
      </c>
      <c r="U29" s="775">
        <f t="shared" si="13"/>
        <v>100</v>
      </c>
      <c r="V29" s="774" t="s">
        <v>17</v>
      </c>
      <c r="W29" s="775">
        <f t="shared" si="14"/>
        <v>100</v>
      </c>
      <c r="X29" s="3002"/>
      <c r="Y29" s="3265"/>
      <c r="Z29" s="3003">
        <f t="shared" si="15"/>
        <v>111</v>
      </c>
      <c r="AA29" s="3006">
        <f t="shared" si="3"/>
        <v>1</v>
      </c>
      <c r="AB29" s="3006">
        <f t="shared" si="4"/>
        <v>1</v>
      </c>
      <c r="AC29" s="30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3005">
        <f t="shared" si="11"/>
        <v>111</v>
      </c>
      <c r="R30" s="774" t="s">
        <v>17</v>
      </c>
      <c r="S30" s="775">
        <f t="shared" si="12"/>
        <v>100</v>
      </c>
      <c r="T30" s="774" t="s">
        <v>17</v>
      </c>
      <c r="U30" s="775">
        <f t="shared" si="13"/>
        <v>100</v>
      </c>
      <c r="V30" s="774" t="s">
        <v>17</v>
      </c>
      <c r="W30" s="775">
        <f t="shared" si="14"/>
        <v>100</v>
      </c>
      <c r="X30" s="3002"/>
      <c r="Y30" s="3265"/>
      <c r="Z30" s="3003">
        <f t="shared" si="15"/>
        <v>111</v>
      </c>
      <c r="AA30" s="3006">
        <f t="shared" si="3"/>
        <v>1</v>
      </c>
      <c r="AB30" s="3006">
        <f t="shared" si="4"/>
        <v>1</v>
      </c>
      <c r="AC30" s="30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3005">
        <f t="shared" si="11"/>
        <v>111</v>
      </c>
      <c r="R31" s="774" t="s">
        <v>17</v>
      </c>
      <c r="S31" s="775">
        <f t="shared" si="12"/>
        <v>100</v>
      </c>
      <c r="T31" s="774" t="s">
        <v>17</v>
      </c>
      <c r="U31" s="775">
        <f t="shared" si="13"/>
        <v>100</v>
      </c>
      <c r="V31" s="774" t="s">
        <v>17</v>
      </c>
      <c r="W31" s="775">
        <f t="shared" si="14"/>
        <v>100</v>
      </c>
      <c r="X31" s="3002"/>
      <c r="Y31" s="3265"/>
      <c r="Z31" s="3003">
        <f t="shared" si="15"/>
        <v>111</v>
      </c>
      <c r="AA31" s="3006">
        <f t="shared" si="3"/>
        <v>1</v>
      </c>
      <c r="AB31" s="3006">
        <f t="shared" si="4"/>
        <v>1</v>
      </c>
      <c r="AC31" s="3006">
        <f t="shared" si="5"/>
        <v>1</v>
      </c>
    </row>
    <row r="32" spans="1:29" ht="15">
      <c r="A32" s="440" t="s">
        <v>2559</v>
      </c>
      <c r="B32" s="71" t="s">
        <v>2656</v>
      </c>
      <c r="C32" s="2619" t="s">
        <v>3104</v>
      </c>
      <c r="D32" s="467">
        <v>100</v>
      </c>
      <c r="E32" s="2619" t="s">
        <v>3104</v>
      </c>
      <c r="F32" s="461">
        <f>SUMIF(100:100,E32,101:101)-SUMIF(100:100,C32,101:101)+100</f>
        <v>100</v>
      </c>
      <c r="G32" s="2619" t="s">
        <v>3104</v>
      </c>
      <c r="H32" s="435">
        <f>SUMIF(100:100,G32,101:101)-SUMIF(100:100,C32,101:101)+100</f>
        <v>100</v>
      </c>
      <c r="I32" s="2619" t="s">
        <v>3104</v>
      </c>
      <c r="J32" s="467">
        <f>SUMIF(100:100,I32,101:101)-SUMIF(100:100,C32,101:101)+100</f>
        <v>100</v>
      </c>
      <c r="K32" s="612">
        <v>1</v>
      </c>
      <c r="L32" s="1140"/>
      <c r="M32" s="1131"/>
      <c r="N32" s="1131"/>
      <c r="O32" s="1131"/>
      <c r="P32" s="3266" t="s">
        <v>2561</v>
      </c>
      <c r="Q32" s="3005" t="str">
        <f t="shared" si="11"/>
        <v>商业类型</v>
      </c>
      <c r="R32" s="774" t="s">
        <v>17</v>
      </c>
      <c r="S32" s="775">
        <f t="shared" si="12"/>
        <v>100</v>
      </c>
      <c r="T32" s="774" t="s">
        <v>17</v>
      </c>
      <c r="U32" s="775">
        <f t="shared" si="13"/>
        <v>100</v>
      </c>
      <c r="V32" s="774" t="s">
        <v>17</v>
      </c>
      <c r="W32" s="775">
        <f t="shared" si="14"/>
        <v>100</v>
      </c>
      <c r="X32" s="3002"/>
      <c r="Y32" s="3269" t="s">
        <v>2561</v>
      </c>
      <c r="Z32" s="3003" t="str">
        <f t="shared" si="15"/>
        <v>商业类型</v>
      </c>
      <c r="AA32" s="3006">
        <f t="shared" si="3"/>
        <v>1</v>
      </c>
      <c r="AB32" s="3006">
        <f t="shared" si="4"/>
        <v>1</v>
      </c>
      <c r="AC32" s="3006">
        <f t="shared" si="5"/>
        <v>1</v>
      </c>
    </row>
    <row r="33" spans="1:29" s="471" customFormat="1" ht="15">
      <c r="A33" s="468"/>
      <c r="B33" s="3001" t="s">
        <v>2562</v>
      </c>
      <c r="C33" s="469">
        <f>'数据-汇总表'!F19</f>
        <v>631.32000000000005</v>
      </c>
      <c r="D33" s="136">
        <v>100</v>
      </c>
      <c r="E33" s="430">
        <v>175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67"/>
      <c r="Q33" s="776" t="str">
        <f t="shared" si="11"/>
        <v>项目建筑规模</v>
      </c>
      <c r="R33" s="777" t="s">
        <v>17</v>
      </c>
      <c r="S33" s="778">
        <f t="shared" si="12"/>
        <v>102</v>
      </c>
      <c r="T33" s="777" t="s">
        <v>17</v>
      </c>
      <c r="U33" s="778">
        <f t="shared" si="13"/>
        <v>102</v>
      </c>
      <c r="V33" s="777" t="s">
        <v>17</v>
      </c>
      <c r="W33" s="778">
        <f t="shared" si="14"/>
        <v>102</v>
      </c>
      <c r="X33" s="779"/>
      <c r="Y33" s="3269"/>
      <c r="Z33" s="780" t="str">
        <f t="shared" si="15"/>
        <v>项目建筑规模</v>
      </c>
      <c r="AA33" s="3006">
        <f t="shared" si="3"/>
        <v>0.98039215686274506</v>
      </c>
      <c r="AB33" s="3006">
        <f t="shared" si="4"/>
        <v>0.98039215686274506</v>
      </c>
      <c r="AC33" s="3006">
        <f t="shared" si="5"/>
        <v>0.98039215686274506</v>
      </c>
    </row>
    <row r="34" spans="1:29" ht="15">
      <c r="A34" s="472"/>
      <c r="B34" s="3001" t="s">
        <v>2563</v>
      </c>
      <c r="C34" s="2621" t="s">
        <v>3111</v>
      </c>
      <c r="D34" s="435">
        <v>100</v>
      </c>
      <c r="E34" s="2621" t="s">
        <v>3111</v>
      </c>
      <c r="F34" s="461">
        <f>SUMIF(105:105,E34,106:106)-SUMIF(105:105,C34,106:106)+100</f>
        <v>100</v>
      </c>
      <c r="G34" s="2621" t="s">
        <v>3111</v>
      </c>
      <c r="H34" s="435">
        <f>SUMIF(105:105,G34,106:106)-SUMIF(105:105,C34,106:106)+100</f>
        <v>100</v>
      </c>
      <c r="I34" s="2621" t="s">
        <v>3111</v>
      </c>
      <c r="J34" s="435">
        <f>SUMIF(105:105,I34,106:106)-SUMIF(105:105,C34,106:106)+100</f>
        <v>100</v>
      </c>
      <c r="K34" s="612">
        <v>1</v>
      </c>
      <c r="L34" s="1140"/>
      <c r="M34" s="1131"/>
      <c r="N34" s="1131"/>
      <c r="O34" s="1131"/>
      <c r="P34" s="3267"/>
      <c r="Q34" s="3005" t="str">
        <f t="shared" si="11"/>
        <v>建筑结构</v>
      </c>
      <c r="R34" s="774" t="s">
        <v>17</v>
      </c>
      <c r="S34" s="775">
        <f t="shared" si="12"/>
        <v>100</v>
      </c>
      <c r="T34" s="774" t="s">
        <v>17</v>
      </c>
      <c r="U34" s="775">
        <f t="shared" si="13"/>
        <v>100</v>
      </c>
      <c r="V34" s="774" t="s">
        <v>17</v>
      </c>
      <c r="W34" s="775">
        <f t="shared" si="14"/>
        <v>100</v>
      </c>
      <c r="X34" s="3002"/>
      <c r="Y34" s="3269"/>
      <c r="Z34" s="3003" t="str">
        <f t="shared" si="15"/>
        <v>建筑结构</v>
      </c>
      <c r="AA34" s="3006">
        <f t="shared" si="3"/>
        <v>1</v>
      </c>
      <c r="AB34" s="3006">
        <f t="shared" si="4"/>
        <v>1</v>
      </c>
      <c r="AC34" s="3006">
        <f t="shared" si="5"/>
        <v>1</v>
      </c>
    </row>
    <row r="35" spans="1:29" ht="15">
      <c r="A35" s="472"/>
      <c r="B35" s="3001" t="s">
        <v>2657</v>
      </c>
      <c r="C35" s="2615" t="s">
        <v>3140</v>
      </c>
      <c r="D35" s="435">
        <v>100</v>
      </c>
      <c r="E35" s="2615" t="s">
        <v>3140</v>
      </c>
      <c r="F35" s="461">
        <f>SUMIF(107:107,E35,108:108)-SUMIF(107:107,C35,108:108)+100</f>
        <v>100</v>
      </c>
      <c r="G35" s="2615" t="s">
        <v>3140</v>
      </c>
      <c r="H35" s="435">
        <f>SUMIF(107:107,G35,108:108)-SUMIF(107:107,C35,108:108)+100</f>
        <v>100</v>
      </c>
      <c r="I35" s="2615" t="s">
        <v>3140</v>
      </c>
      <c r="J35" s="435">
        <f>SUMIF(107:107,I35,108:108)-SUMIF(107:107,C35,108:108)+100</f>
        <v>100</v>
      </c>
      <c r="K35" s="612">
        <v>1</v>
      </c>
      <c r="L35" s="1140"/>
      <c r="M35" s="1131"/>
      <c r="N35" s="1131"/>
      <c r="O35" s="1131"/>
      <c r="P35" s="3267"/>
      <c r="Q35" s="3005" t="str">
        <f t="shared" si="11"/>
        <v>公共部分装修</v>
      </c>
      <c r="R35" s="774" t="s">
        <v>17</v>
      </c>
      <c r="S35" s="775">
        <f t="shared" si="12"/>
        <v>100</v>
      </c>
      <c r="T35" s="774" t="s">
        <v>17</v>
      </c>
      <c r="U35" s="775">
        <f t="shared" si="13"/>
        <v>100</v>
      </c>
      <c r="V35" s="774" t="s">
        <v>17</v>
      </c>
      <c r="W35" s="775">
        <f t="shared" si="14"/>
        <v>100</v>
      </c>
      <c r="X35" s="3002"/>
      <c r="Y35" s="3269"/>
      <c r="Z35" s="3003" t="str">
        <f t="shared" si="15"/>
        <v>公共部分装修</v>
      </c>
      <c r="AA35" s="3006">
        <f t="shared" si="3"/>
        <v>1</v>
      </c>
      <c r="AB35" s="3006">
        <f t="shared" si="4"/>
        <v>1</v>
      </c>
      <c r="AC35" s="3006">
        <f t="shared" si="5"/>
        <v>1</v>
      </c>
    </row>
    <row r="36" spans="1:29" ht="15">
      <c r="A36" s="472"/>
      <c r="B36" s="3001"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267"/>
      <c r="Q36" s="3005" t="str">
        <f t="shared" si="11"/>
        <v>成新度</v>
      </c>
      <c r="R36" s="774" t="s">
        <v>17</v>
      </c>
      <c r="S36" s="775">
        <f t="shared" si="12"/>
        <v>100</v>
      </c>
      <c r="T36" s="774" t="s">
        <v>17</v>
      </c>
      <c r="U36" s="775">
        <f t="shared" si="13"/>
        <v>100</v>
      </c>
      <c r="V36" s="774" t="s">
        <v>17</v>
      </c>
      <c r="W36" s="775">
        <f t="shared" si="14"/>
        <v>100</v>
      </c>
      <c r="X36" s="3002"/>
      <c r="Y36" s="3269"/>
      <c r="Z36" s="3003" t="str">
        <f t="shared" si="15"/>
        <v>成新度</v>
      </c>
      <c r="AA36" s="3006">
        <f t="shared" si="3"/>
        <v>1</v>
      </c>
      <c r="AB36" s="3006">
        <f t="shared" si="4"/>
        <v>1</v>
      </c>
      <c r="AC36" s="3006">
        <f t="shared" si="5"/>
        <v>1</v>
      </c>
    </row>
    <row r="37" spans="1:29" s="117" customFormat="1" ht="15">
      <c r="A37" s="473"/>
      <c r="B37" s="3001" t="s">
        <v>2659</v>
      </c>
      <c r="C37" s="2615" t="s">
        <v>3125</v>
      </c>
      <c r="D37" s="136">
        <v>100</v>
      </c>
      <c r="E37" s="2615" t="s">
        <v>3125</v>
      </c>
      <c r="F37" s="461">
        <f>SUMIF(112:112,E37,113:113)-SUMIF(112:112,C37,113:113)+100</f>
        <v>100</v>
      </c>
      <c r="G37" s="2615" t="s">
        <v>3125</v>
      </c>
      <c r="H37" s="435">
        <f>SUMIF(112:112,G37,113:113)-SUMIF(112:112,C37,113:113)+100</f>
        <v>100</v>
      </c>
      <c r="I37" s="2615" t="s">
        <v>3125</v>
      </c>
      <c r="J37" s="435">
        <f>SUMIF(112:112,I37,113:113)-SUMIF(112:112,C37,113:113)+100</f>
        <v>100</v>
      </c>
      <c r="K37" s="612">
        <v>1</v>
      </c>
      <c r="L37" s="1132"/>
      <c r="M37" s="1133"/>
      <c r="N37" s="1133"/>
      <c r="O37" s="1133"/>
      <c r="P37" s="3267"/>
      <c r="Q37" s="2999" t="str">
        <f t="shared" si="11"/>
        <v>市政基础设施</v>
      </c>
      <c r="R37" s="770" t="s">
        <v>17</v>
      </c>
      <c r="S37" s="771">
        <f t="shared" si="12"/>
        <v>100</v>
      </c>
      <c r="T37" s="770" t="s">
        <v>17</v>
      </c>
      <c r="U37" s="771">
        <f t="shared" si="13"/>
        <v>100</v>
      </c>
      <c r="V37" s="770" t="s">
        <v>17</v>
      </c>
      <c r="W37" s="771">
        <f t="shared" si="14"/>
        <v>100</v>
      </c>
      <c r="X37" s="772"/>
      <c r="Y37" s="3269"/>
      <c r="Z37" s="3000" t="str">
        <f t="shared" si="15"/>
        <v>市政基础设施</v>
      </c>
      <c r="AA37" s="773">
        <f t="shared" si="3"/>
        <v>1</v>
      </c>
      <c r="AB37" s="773">
        <f t="shared" si="4"/>
        <v>1</v>
      </c>
      <c r="AC37" s="773">
        <f t="shared" si="5"/>
        <v>1</v>
      </c>
    </row>
    <row r="38" spans="1:29" ht="15">
      <c r="A38" s="472"/>
      <c r="B38" s="3001"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v>1</v>
      </c>
      <c r="L38" s="1140"/>
      <c r="M38" s="1131"/>
      <c r="N38" s="1131"/>
      <c r="O38" s="1131"/>
      <c r="P38" s="3267" t="s">
        <v>2561</v>
      </c>
      <c r="Q38" s="3005" t="str">
        <f t="shared" si="11"/>
        <v>业态</v>
      </c>
      <c r="R38" s="774" t="s">
        <v>17</v>
      </c>
      <c r="S38" s="775">
        <f t="shared" si="12"/>
        <v>100</v>
      </c>
      <c r="T38" s="774" t="s">
        <v>17</v>
      </c>
      <c r="U38" s="775">
        <f t="shared" si="13"/>
        <v>100</v>
      </c>
      <c r="V38" s="774" t="s">
        <v>17</v>
      </c>
      <c r="W38" s="775">
        <f t="shared" si="14"/>
        <v>100</v>
      </c>
      <c r="X38" s="3002"/>
      <c r="Y38" s="3269" t="s">
        <v>2561</v>
      </c>
      <c r="Z38" s="3003" t="str">
        <f t="shared" si="15"/>
        <v>业态</v>
      </c>
      <c r="AA38" s="3006">
        <f t="shared" si="3"/>
        <v>1</v>
      </c>
      <c r="AB38" s="3006">
        <f t="shared" si="4"/>
        <v>1</v>
      </c>
      <c r="AC38" s="3006">
        <f t="shared" si="5"/>
        <v>1</v>
      </c>
    </row>
    <row r="39" spans="1:29" ht="15">
      <c r="A39" s="472"/>
      <c r="B39" s="3001"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1</v>
      </c>
      <c r="L39" s="1140"/>
      <c r="M39" s="1131"/>
      <c r="N39" s="1131"/>
      <c r="O39" s="1131"/>
      <c r="P39" s="3267"/>
      <c r="Q39" s="3005" t="str">
        <f t="shared" si="11"/>
        <v>层高</v>
      </c>
      <c r="R39" s="774" t="s">
        <v>17</v>
      </c>
      <c r="S39" s="775">
        <f t="shared" si="12"/>
        <v>100</v>
      </c>
      <c r="T39" s="774" t="s">
        <v>17</v>
      </c>
      <c r="U39" s="775">
        <f t="shared" si="13"/>
        <v>100</v>
      </c>
      <c r="V39" s="774" t="s">
        <v>17</v>
      </c>
      <c r="W39" s="775">
        <f t="shared" si="14"/>
        <v>100</v>
      </c>
      <c r="X39" s="3002"/>
      <c r="Y39" s="3269"/>
      <c r="Z39" s="3003" t="str">
        <f t="shared" si="15"/>
        <v>层高</v>
      </c>
      <c r="AA39" s="3006">
        <f t="shared" si="3"/>
        <v>1</v>
      </c>
      <c r="AB39" s="3006">
        <f t="shared" si="4"/>
        <v>1</v>
      </c>
      <c r="AC39" s="3006">
        <f t="shared" si="5"/>
        <v>1</v>
      </c>
    </row>
    <row r="40" spans="1:29" ht="15">
      <c r="A40" s="472"/>
      <c r="B40" s="3001"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7"/>
      <c r="Q40" s="3005" t="str">
        <f t="shared" si="11"/>
        <v>单套建筑面积</v>
      </c>
      <c r="R40" s="774" t="s">
        <v>17</v>
      </c>
      <c r="S40" s="775">
        <f t="shared" si="12"/>
        <v>100</v>
      </c>
      <c r="T40" s="774" t="s">
        <v>17</v>
      </c>
      <c r="U40" s="775">
        <f t="shared" si="13"/>
        <v>100</v>
      </c>
      <c r="V40" s="774" t="s">
        <v>17</v>
      </c>
      <c r="W40" s="775">
        <f t="shared" si="14"/>
        <v>100</v>
      </c>
      <c r="X40" s="3002"/>
      <c r="Y40" s="3269"/>
      <c r="Z40" s="3003" t="str">
        <f t="shared" si="15"/>
        <v>单套建筑面积</v>
      </c>
      <c r="AA40" s="3006">
        <f t="shared" si="3"/>
        <v>1</v>
      </c>
      <c r="AB40" s="3006">
        <f t="shared" si="4"/>
        <v>1</v>
      </c>
      <c r="AC40" s="3006">
        <f t="shared" si="5"/>
        <v>1</v>
      </c>
    </row>
    <row r="41" spans="1:29" s="471" customFormat="1" ht="15">
      <c r="A41" s="468"/>
      <c r="B41" s="30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267"/>
      <c r="Q41" s="776" t="str">
        <f t="shared" si="11"/>
        <v>进深比</v>
      </c>
      <c r="R41" s="777" t="s">
        <v>17</v>
      </c>
      <c r="S41" s="778">
        <f t="shared" si="12"/>
        <v>100</v>
      </c>
      <c r="T41" s="777" t="s">
        <v>17</v>
      </c>
      <c r="U41" s="778">
        <f t="shared" si="13"/>
        <v>100</v>
      </c>
      <c r="V41" s="777" t="s">
        <v>17</v>
      </c>
      <c r="W41" s="778">
        <f t="shared" si="14"/>
        <v>100</v>
      </c>
      <c r="X41" s="779"/>
      <c r="Y41" s="3269"/>
      <c r="Z41" s="780" t="str">
        <f t="shared" si="15"/>
        <v>进深比</v>
      </c>
      <c r="AA41" s="3006">
        <f t="shared" si="3"/>
        <v>1</v>
      </c>
      <c r="AB41" s="3006">
        <f t="shared" si="4"/>
        <v>1</v>
      </c>
      <c r="AC41" s="3006">
        <f t="shared" si="5"/>
        <v>1</v>
      </c>
    </row>
    <row r="42" spans="1:29" ht="15">
      <c r="A42" s="472"/>
      <c r="B42" s="3001"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v>1</v>
      </c>
      <c r="L42" s="1140"/>
      <c r="M42" s="1131"/>
      <c r="N42" s="1131"/>
      <c r="O42" s="1131"/>
      <c r="P42" s="3267"/>
      <c r="Q42" s="3005" t="str">
        <f t="shared" si="11"/>
        <v>内部装修</v>
      </c>
      <c r="R42" s="774" t="s">
        <v>17</v>
      </c>
      <c r="S42" s="775">
        <f t="shared" si="12"/>
        <v>100</v>
      </c>
      <c r="T42" s="774" t="s">
        <v>17</v>
      </c>
      <c r="U42" s="775">
        <f t="shared" si="13"/>
        <v>100</v>
      </c>
      <c r="V42" s="774" t="s">
        <v>17</v>
      </c>
      <c r="W42" s="775">
        <f t="shared" si="14"/>
        <v>100</v>
      </c>
      <c r="X42" s="3002"/>
      <c r="Y42" s="3269"/>
      <c r="Z42" s="3003" t="str">
        <f t="shared" si="15"/>
        <v>内部装修</v>
      </c>
      <c r="AA42" s="3006">
        <f t="shared" si="3"/>
        <v>1</v>
      </c>
      <c r="AB42" s="3006">
        <f t="shared" si="4"/>
        <v>1</v>
      </c>
      <c r="AC42" s="3006">
        <f t="shared" si="5"/>
        <v>1</v>
      </c>
    </row>
    <row r="43" spans="1:29" ht="15">
      <c r="A43" s="472"/>
      <c r="B43" s="3001"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v>1</v>
      </c>
      <c r="L43" s="1140"/>
      <c r="M43" s="1131"/>
      <c r="N43" s="1131"/>
      <c r="O43" s="1131"/>
      <c r="P43" s="3267"/>
      <c r="Q43" s="3005" t="str">
        <f t="shared" si="11"/>
        <v>内部装修维护情况</v>
      </c>
      <c r="R43" s="774" t="s">
        <v>17</v>
      </c>
      <c r="S43" s="775">
        <f t="shared" si="12"/>
        <v>100</v>
      </c>
      <c r="T43" s="774" t="s">
        <v>17</v>
      </c>
      <c r="U43" s="775">
        <f t="shared" si="13"/>
        <v>100</v>
      </c>
      <c r="V43" s="774" t="s">
        <v>17</v>
      </c>
      <c r="W43" s="775">
        <f t="shared" si="14"/>
        <v>100</v>
      </c>
      <c r="X43" s="3002"/>
      <c r="Y43" s="3269"/>
      <c r="Z43" s="3003" t="str">
        <f t="shared" si="15"/>
        <v>内部装修维护情况</v>
      </c>
      <c r="AA43" s="3006">
        <f t="shared" si="3"/>
        <v>1</v>
      </c>
      <c r="AB43" s="3006">
        <f t="shared" si="4"/>
        <v>1</v>
      </c>
      <c r="AC43" s="30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7"/>
      <c r="Q44" s="2999">
        <f t="shared" si="11"/>
        <v>111</v>
      </c>
      <c r="R44" s="770" t="s">
        <v>17</v>
      </c>
      <c r="S44" s="771">
        <f t="shared" si="12"/>
        <v>100</v>
      </c>
      <c r="T44" s="770" t="s">
        <v>17</v>
      </c>
      <c r="U44" s="771">
        <f t="shared" si="13"/>
        <v>100</v>
      </c>
      <c r="V44" s="770" t="s">
        <v>17</v>
      </c>
      <c r="W44" s="771">
        <f t="shared" si="14"/>
        <v>100</v>
      </c>
      <c r="X44" s="772"/>
      <c r="Y44" s="3269"/>
      <c r="Z44" s="3000">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7"/>
      <c r="Q45" s="3005">
        <f t="shared" si="11"/>
        <v>111</v>
      </c>
      <c r="R45" s="774" t="s">
        <v>17</v>
      </c>
      <c r="S45" s="775">
        <f t="shared" si="12"/>
        <v>100</v>
      </c>
      <c r="T45" s="774" t="s">
        <v>17</v>
      </c>
      <c r="U45" s="775">
        <f t="shared" si="13"/>
        <v>100</v>
      </c>
      <c r="V45" s="774" t="s">
        <v>17</v>
      </c>
      <c r="W45" s="775">
        <f t="shared" si="14"/>
        <v>100</v>
      </c>
      <c r="X45" s="3002"/>
      <c r="Y45" s="3269"/>
      <c r="Z45" s="3003">
        <f t="shared" si="15"/>
        <v>111</v>
      </c>
      <c r="AA45" s="3006">
        <f t="shared" si="3"/>
        <v>1</v>
      </c>
      <c r="AB45" s="3006">
        <f t="shared" si="4"/>
        <v>1</v>
      </c>
      <c r="AC45" s="3006">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8"/>
      <c r="Q46" s="3005">
        <f t="shared" si="11"/>
        <v>111</v>
      </c>
      <c r="R46" s="774" t="s">
        <v>17</v>
      </c>
      <c r="S46" s="775">
        <f t="shared" si="12"/>
        <v>100</v>
      </c>
      <c r="T46" s="774" t="s">
        <v>17</v>
      </c>
      <c r="U46" s="775">
        <f t="shared" si="13"/>
        <v>100</v>
      </c>
      <c r="V46" s="774" t="s">
        <v>17</v>
      </c>
      <c r="W46" s="775">
        <f t="shared" si="14"/>
        <v>100</v>
      </c>
      <c r="X46" s="3002"/>
      <c r="Y46" s="3270"/>
      <c r="Z46" s="3003">
        <f t="shared" si="15"/>
        <v>111</v>
      </c>
      <c r="AA46" s="3006">
        <f t="shared" si="3"/>
        <v>1</v>
      </c>
      <c r="AB46" s="3006">
        <f t="shared" si="4"/>
        <v>1</v>
      </c>
      <c r="AC46" s="3006">
        <f t="shared" si="5"/>
        <v>1</v>
      </c>
    </row>
    <row r="47" spans="1:29" ht="15">
      <c r="A47" s="479" t="s">
        <v>2573</v>
      </c>
      <c r="B47" s="480"/>
      <c r="C47" s="1407" t="s">
        <v>1</v>
      </c>
      <c r="D47" s="1408"/>
      <c r="E47" s="1409">
        <v>10</v>
      </c>
      <c r="F47" s="1410"/>
      <c r="G47" s="1411">
        <v>10.1</v>
      </c>
      <c r="H47" s="1412"/>
      <c r="I47" s="1409">
        <v>9</v>
      </c>
      <c r="J47" s="1412"/>
      <c r="K47" s="783"/>
      <c r="L47" s="1143"/>
      <c r="M47" s="1144"/>
      <c r="N47" s="1131"/>
      <c r="O47" s="1144"/>
      <c r="P47" s="3262" t="str">
        <f>A47</f>
        <v>成交单价（元/平方米）</v>
      </c>
      <c r="Q47" s="3262"/>
      <c r="R47" s="3257">
        <f>E47</f>
        <v>10</v>
      </c>
      <c r="S47" s="3257"/>
      <c r="T47" s="3257">
        <f>G47</f>
        <v>10.1</v>
      </c>
      <c r="U47" s="3257"/>
      <c r="V47" s="3257">
        <f>I47</f>
        <v>9</v>
      </c>
      <c r="W47" s="3257"/>
      <c r="X47" s="759"/>
      <c r="Y47" s="781"/>
      <c r="Z47" s="759"/>
      <c r="AA47" s="759"/>
      <c r="AB47" s="759"/>
      <c r="AC47" s="759"/>
    </row>
    <row r="48" spans="1:29" ht="15.75" thickBot="1">
      <c r="A48" s="486" t="s">
        <v>2574</v>
      </c>
      <c r="B48" s="487"/>
      <c r="C48" s="1413">
        <f>R49</f>
        <v>9.5</v>
      </c>
      <c r="D48" s="1414"/>
      <c r="E48" s="1415">
        <f>R48</f>
        <v>9.8000000000000007</v>
      </c>
      <c r="F48" s="1415"/>
      <c r="G48" s="1413">
        <f>T48</f>
        <v>9.9</v>
      </c>
      <c r="H48" s="1414"/>
      <c r="I48" s="1415">
        <f>V48</f>
        <v>8.8000000000000007</v>
      </c>
      <c r="J48" s="1414"/>
      <c r="K48" s="784"/>
      <c r="L48" s="1143"/>
      <c r="M48" s="1144">
        <v>8.5</v>
      </c>
      <c r="N48" s="1131"/>
      <c r="O48" s="1144"/>
      <c r="P48" s="3262" t="str">
        <f>A48</f>
        <v>比较价值（元/平方米）</v>
      </c>
      <c r="Q48" s="3262"/>
      <c r="R48" s="3263">
        <f>IF(F1="售价",ROUND(PRODUCT(R47,AA7:AA46),0),ROUND(PRODUCT(R47,AA7:AA46),1))</f>
        <v>9.8000000000000007</v>
      </c>
      <c r="S48" s="3263"/>
      <c r="T48" s="3263">
        <f>IF(F1="售价",ROUND(PRODUCT(T47,AB7:AB46),0),ROUND(PRODUCT(T47,AB7:AB46),1))</f>
        <v>9.9</v>
      </c>
      <c r="U48" s="3263"/>
      <c r="V48" s="3263">
        <f>IF(F1="售价",ROUND(PRODUCT(V47,AC7:AC46),0),ROUND(PRODUCT(V47,AC7:AC46),1))</f>
        <v>8.8000000000000007</v>
      </c>
      <c r="W48" s="3263"/>
      <c r="X48" s="759"/>
      <c r="Y48" s="759"/>
      <c r="Z48" s="759"/>
      <c r="AA48" s="759"/>
      <c r="AB48" s="759"/>
      <c r="AC48" s="759"/>
    </row>
    <row r="49" spans="1:29" ht="15.75" thickBot="1">
      <c r="A49" s="492" t="s">
        <v>2575</v>
      </c>
      <c r="B49" s="493"/>
      <c r="C49" s="1417">
        <f>R49</f>
        <v>9.5</v>
      </c>
      <c r="D49" s="1417"/>
      <c r="E49" s="1417"/>
      <c r="F49" s="1417"/>
      <c r="G49" s="1417"/>
      <c r="H49" s="1417"/>
      <c r="I49" s="1417"/>
      <c r="J49" s="1417"/>
      <c r="K49" s="785"/>
      <c r="L49" s="1143"/>
      <c r="M49" s="1144">
        <v>10</v>
      </c>
      <c r="N49" s="1131"/>
      <c r="O49" s="1144"/>
      <c r="P49" s="3259" t="str">
        <f>A49</f>
        <v>估价对象XX用房的比较价值（楼面单价，元/平方米）</v>
      </c>
      <c r="Q49" s="3260"/>
      <c r="R49" s="3261">
        <f>IF(F1="售价",ROUND(AVERAGE(R48:V48),0),ROUND(AVERAGE(R48:V48),1))</f>
        <v>9.5</v>
      </c>
      <c r="S49" s="3261"/>
      <c r="T49" s="3261"/>
      <c r="U49" s="3261"/>
      <c r="V49" s="3261"/>
      <c r="W49" s="3261"/>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2576</v>
      </c>
      <c r="D52" s="498"/>
      <c r="E52" s="499">
        <f>IF(E47&lt;E48,E48/E47-1,E47/E48-1)</f>
        <v>2.0408163265306145E-2</v>
      </c>
      <c r="F52" s="500" t="str">
        <f>IF(OR(E52&gt;=0.3,E52&lt;=-0.3),"超过30%","")</f>
        <v/>
      </c>
      <c r="G52" s="499">
        <f>IF(G47&lt;G48,G48/G47-1,G47/G48-1)</f>
        <v>2.020202020202011E-2</v>
      </c>
      <c r="H52" s="500" t="str">
        <f>IF(OR(G52&gt;=0.3,G52&lt;=-0.3),"超过30%","")</f>
        <v/>
      </c>
      <c r="I52" s="499">
        <f>IF(I47&lt;I48,I48/I47-1,I47/I48-1)</f>
        <v>2.2727272727272707E-2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2577</v>
      </c>
      <c r="D53" s="501"/>
      <c r="E53" s="499">
        <f>IF(E48&lt;G48,G48/E48-1,E48/G48-1)</f>
        <v>1.0204081632652962E-2</v>
      </c>
      <c r="F53" s="500" t="str">
        <f>IF(OR(E53&gt;=0.2,E53&lt;=-0.2),"超过20%","")</f>
        <v/>
      </c>
      <c r="G53" s="499">
        <f>IF(G48&lt;I48,I48/G48-1,G48/I48-1)</f>
        <v>0.125</v>
      </c>
      <c r="H53" s="500" t="str">
        <f>IF(OR(G53&gt;=0.2,G53&lt;=-0.2),"超过20%","")</f>
        <v/>
      </c>
      <c r="I53" s="499">
        <f>IF(I48&lt;E48,E48/I48-1,I48/E48-1)</f>
        <v>0.11363636363636354</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2578</v>
      </c>
      <c r="D54" s="501"/>
      <c r="E54" s="499">
        <f>IF(E47&lt;G47,G47/E47-1,E47/G47-1)</f>
        <v>1.0000000000000009E-2</v>
      </c>
      <c r="F54" s="500" t="str">
        <f>IF(OR(E54&gt;=0.3,E54&lt;=-0.3),"超过30%","")</f>
        <v/>
      </c>
      <c r="G54" s="499">
        <f>IF(G47&lt;I47,I47/G47-1,G47/I47-1)</f>
        <v>0.12222222222222223</v>
      </c>
      <c r="H54" s="500" t="str">
        <f>IF(OR(G54&gt;=0.3,G54&lt;=-0.3),"超过30%","")</f>
        <v/>
      </c>
      <c r="I54" s="499">
        <f>IF(I47&lt;E47,E47/I47-1,I47/E47-1)</f>
        <v>0.11111111111111116</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2579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8"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c r="E1" s="2659"/>
      <c r="F1" s="2586" t="s">
        <v>3113</v>
      </c>
      <c r="G1" s="1631" t="s">
        <v>2639</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2323</v>
      </c>
      <c r="B2" s="1418">
        <f>IF(C2="——",ROUND(C49*D3/10000,0),ROUND(C49*D3/10000,0)-D2)</f>
        <v>2747</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43513</v>
      </c>
      <c r="C3" s="400" t="s">
        <v>2640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57" t="s">
        <v>2644</v>
      </c>
      <c r="AC4" s="3227" t="s">
        <v>2645</v>
      </c>
    </row>
    <row r="5" spans="1:29" ht="15">
      <c r="A5" s="404"/>
      <c r="B5" s="405"/>
      <c r="C5" s="3238" t="s">
        <v>2538</v>
      </c>
      <c r="D5" s="3239"/>
      <c r="E5" s="3273" t="s">
        <v>3108</v>
      </c>
      <c r="F5" s="3237"/>
      <c r="G5" s="3274" t="s">
        <v>3122</v>
      </c>
      <c r="H5" s="3239"/>
      <c r="I5" s="3274" t="s">
        <v>3108</v>
      </c>
      <c r="J5" s="3239"/>
      <c r="K5" s="610"/>
      <c r="L5" s="1130"/>
      <c r="M5" s="1131"/>
      <c r="N5" s="1131"/>
      <c r="O5" s="1131"/>
      <c r="P5" s="3251"/>
      <c r="Q5" s="3252"/>
      <c r="R5" s="3234"/>
      <c r="S5" s="3235"/>
      <c r="T5" s="3234"/>
      <c r="U5" s="3235"/>
      <c r="V5" s="3257"/>
      <c r="W5" s="3257"/>
      <c r="X5" s="1813"/>
      <c r="Y5" s="3234"/>
      <c r="Z5" s="3235"/>
      <c r="AA5" s="3228"/>
      <c r="AB5" s="3257"/>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57"/>
      <c r="AC6" s="3229"/>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30" t="s">
        <v>2545</v>
      </c>
      <c r="Q7" s="3258"/>
      <c r="R7" s="770" t="s">
        <v>17</v>
      </c>
      <c r="S7" s="771">
        <f t="shared" ref="S7:S15" si="0">F7</f>
        <v>100</v>
      </c>
      <c r="T7" s="770" t="s">
        <v>17</v>
      </c>
      <c r="U7" s="771">
        <f t="shared" ref="U7:U15" si="1">H7</f>
        <v>100</v>
      </c>
      <c r="V7" s="770" t="s">
        <v>17</v>
      </c>
      <c r="W7" s="771">
        <f t="shared" ref="W7:W15" si="2">J7</f>
        <v>100</v>
      </c>
      <c r="X7" s="772"/>
      <c r="Y7" s="3230" t="s">
        <v>2545</v>
      </c>
      <c r="Z7" s="3231"/>
      <c r="AA7" s="773">
        <f>D7/F7</f>
        <v>1</v>
      </c>
      <c r="AB7" s="773">
        <f>D7/H7</f>
        <v>1</v>
      </c>
      <c r="AC7" s="773">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30" t="s">
        <v>2548</v>
      </c>
      <c r="Q8" s="3231"/>
      <c r="R8" s="770" t="s">
        <v>17</v>
      </c>
      <c r="S8" s="771">
        <f t="shared" si="0"/>
        <v>100</v>
      </c>
      <c r="T8" s="770" t="s">
        <v>17</v>
      </c>
      <c r="U8" s="771">
        <f t="shared" si="1"/>
        <v>100</v>
      </c>
      <c r="V8" s="770" t="s">
        <v>17</v>
      </c>
      <c r="W8" s="771">
        <f t="shared" si="2"/>
        <v>100</v>
      </c>
      <c r="X8" s="772"/>
      <c r="Y8" s="3230" t="s">
        <v>2548</v>
      </c>
      <c r="Z8" s="3231"/>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4"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4"/>
      <c r="Q11" s="1795"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4"/>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4"/>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4"/>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1" t="s">
        <v>2556</v>
      </c>
      <c r="Q15" s="1810" t="str">
        <f t="shared" si="6"/>
        <v>商业繁华度</v>
      </c>
      <c r="R15" s="774" t="s">
        <v>17</v>
      </c>
      <c r="S15" s="775">
        <f t="shared" si="0"/>
        <v>100</v>
      </c>
      <c r="T15" s="774" t="s">
        <v>17</v>
      </c>
      <c r="U15" s="775">
        <f t="shared" si="1"/>
        <v>100</v>
      </c>
      <c r="V15" s="774" t="s">
        <v>17</v>
      </c>
      <c r="W15" s="775">
        <f t="shared" si="2"/>
        <v>100</v>
      </c>
      <c r="X15" s="1813"/>
      <c r="Y15" s="3264" t="s">
        <v>2556</v>
      </c>
      <c r="Z15" s="1814" t="str">
        <f t="shared" si="7"/>
        <v>商业繁华度</v>
      </c>
      <c r="AA15" s="1811">
        <f t="shared" si="3"/>
        <v>1</v>
      </c>
      <c r="AB15" s="1811">
        <f t="shared" si="4"/>
        <v>1</v>
      </c>
      <c r="AC15" s="1811">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72"/>
      <c r="Q16" s="1810"/>
      <c r="R16" s="774"/>
      <c r="S16" s="775"/>
      <c r="T16" s="774"/>
      <c r="U16" s="775"/>
      <c r="V16" s="774"/>
      <c r="W16" s="775"/>
      <c r="X16" s="1813"/>
      <c r="Y16" s="3265"/>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2"/>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1811">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72"/>
      <c r="Q18" s="1810"/>
      <c r="R18" s="774"/>
      <c r="S18" s="775"/>
      <c r="T18" s="774"/>
      <c r="U18" s="775"/>
      <c r="V18" s="774"/>
      <c r="W18" s="775"/>
      <c r="X18" s="1813"/>
      <c r="Y18" s="3265"/>
      <c r="Z18" s="1814"/>
      <c r="AA18" s="1811">
        <v>1</v>
      </c>
      <c r="AB18" s="1811">
        <v>1</v>
      </c>
      <c r="AC18" s="1811">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2"/>
      <c r="Q19" s="1810" t="str">
        <f>B19</f>
        <v>公共配套设施</v>
      </c>
      <c r="R19" s="774" t="s">
        <v>17</v>
      </c>
      <c r="S19" s="775">
        <f>F19</f>
        <v>100</v>
      </c>
      <c r="T19" s="774" t="s">
        <v>17</v>
      </c>
      <c r="U19" s="775">
        <f>H19</f>
        <v>100</v>
      </c>
      <c r="V19" s="774" t="s">
        <v>17</v>
      </c>
      <c r="W19" s="775">
        <f>J19</f>
        <v>100</v>
      </c>
      <c r="X19" s="1813"/>
      <c r="Y19" s="3265"/>
      <c r="Z19" s="1814" t="str">
        <f>Q19</f>
        <v>公共配套设施</v>
      </c>
      <c r="AA19" s="1811">
        <f t="shared" si="3"/>
        <v>1</v>
      </c>
      <c r="AB19" s="1811">
        <f t="shared" si="4"/>
        <v>1</v>
      </c>
      <c r="AC19" s="1811">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72"/>
      <c r="Q20" s="1810"/>
      <c r="R20" s="774"/>
      <c r="S20" s="775"/>
      <c r="T20" s="774"/>
      <c r="U20" s="775"/>
      <c r="V20" s="774"/>
      <c r="W20" s="775"/>
      <c r="X20" s="1813"/>
      <c r="Y20" s="3265"/>
      <c r="Z20" s="1814"/>
      <c r="AA20" s="1811">
        <v>1</v>
      </c>
      <c r="AB20" s="1811">
        <v>1</v>
      </c>
      <c r="AC20" s="1811">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2"/>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72"/>
      <c r="Q22" s="1810"/>
      <c r="R22" s="774"/>
      <c r="S22" s="775"/>
      <c r="T22" s="774"/>
      <c r="U22" s="775"/>
      <c r="V22" s="774"/>
      <c r="W22" s="775"/>
      <c r="X22" s="1813"/>
      <c r="Y22" s="3265"/>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2"/>
      <c r="Q23" s="1810" t="str">
        <f>B23</f>
        <v>自然及人文环境</v>
      </c>
      <c r="R23" s="774" t="s">
        <v>17</v>
      </c>
      <c r="S23" s="775">
        <f>F23</f>
        <v>100</v>
      </c>
      <c r="T23" s="774" t="s">
        <v>17</v>
      </c>
      <c r="U23" s="775">
        <f>H23</f>
        <v>100</v>
      </c>
      <c r="V23" s="774" t="s">
        <v>17</v>
      </c>
      <c r="W23" s="775">
        <f>J23</f>
        <v>100</v>
      </c>
      <c r="X23" s="1813"/>
      <c r="Y23" s="3265"/>
      <c r="Z23" s="1814" t="str">
        <f>Q23</f>
        <v>自然及人文环境</v>
      </c>
      <c r="AA23" s="1811">
        <f t="shared" si="3"/>
        <v>1</v>
      </c>
      <c r="AB23" s="1811">
        <f t="shared" si="4"/>
        <v>1</v>
      </c>
      <c r="AC23" s="1811">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72"/>
      <c r="Q24" s="1810"/>
      <c r="R24" s="774"/>
      <c r="S24" s="775"/>
      <c r="T24" s="774"/>
      <c r="U24" s="775"/>
      <c r="V24" s="774"/>
      <c r="W24" s="775"/>
      <c r="X24" s="1813"/>
      <c r="Y24" s="3265"/>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2"/>
      <c r="Q25" s="1810" t="str">
        <f t="shared" ref="Q25:Q46" si="11">B25</f>
        <v>临街状况</v>
      </c>
      <c r="R25" s="774" t="s">
        <v>17</v>
      </c>
      <c r="S25" s="775">
        <f>F25</f>
        <v>100</v>
      </c>
      <c r="T25" s="774" t="s">
        <v>17</v>
      </c>
      <c r="U25" s="775">
        <f>H25</f>
        <v>100</v>
      </c>
      <c r="V25" s="774" t="s">
        <v>17</v>
      </c>
      <c r="W25" s="775">
        <f>J25</f>
        <v>100</v>
      </c>
      <c r="X25" s="1813"/>
      <c r="Y25" s="3265"/>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2"/>
      <c r="Q26" s="1810" t="str">
        <f t="shared" si="11"/>
        <v>平面位置/可视性</v>
      </c>
      <c r="R26" s="774" t="s">
        <v>17</v>
      </c>
      <c r="S26" s="775">
        <f>F26</f>
        <v>100</v>
      </c>
      <c r="T26" s="774" t="s">
        <v>17</v>
      </c>
      <c r="U26" s="775">
        <f>H26</f>
        <v>100</v>
      </c>
      <c r="V26" s="774" t="s">
        <v>17</v>
      </c>
      <c r="W26" s="775">
        <f>J26</f>
        <v>100</v>
      </c>
      <c r="X26" s="1813"/>
      <c r="Y26" s="3265"/>
      <c r="Z26" s="1814" t="str">
        <f>Q26</f>
        <v>平面位置/可视性</v>
      </c>
      <c r="AA26" s="1811">
        <f t="shared" si="3"/>
        <v>1</v>
      </c>
      <c r="AB26" s="1811">
        <f t="shared" si="4"/>
        <v>1</v>
      </c>
      <c r="AC26" s="1811">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72"/>
      <c r="Q27" s="1795" t="str">
        <f t="shared" si="11"/>
        <v>人流量</v>
      </c>
      <c r="R27" s="770" t="s">
        <v>17</v>
      </c>
      <c r="S27" s="771">
        <f>F27</f>
        <v>100</v>
      </c>
      <c r="T27" s="770" t="s">
        <v>17</v>
      </c>
      <c r="U27" s="771">
        <f>H27</f>
        <v>100</v>
      </c>
      <c r="V27" s="770" t="s">
        <v>17</v>
      </c>
      <c r="W27" s="771">
        <f>J27</f>
        <v>100</v>
      </c>
      <c r="X27" s="772"/>
      <c r="Y27" s="3265"/>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6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1810">
        <f t="shared" si="11"/>
        <v>111</v>
      </c>
      <c r="R29" s="774" t="s">
        <v>17</v>
      </c>
      <c r="S29" s="775">
        <f t="shared" si="12"/>
        <v>100</v>
      </c>
      <c r="T29" s="774" t="s">
        <v>17</v>
      </c>
      <c r="U29" s="775">
        <f t="shared" si="13"/>
        <v>100</v>
      </c>
      <c r="V29" s="774" t="s">
        <v>17</v>
      </c>
      <c r="W29" s="775">
        <f t="shared" si="14"/>
        <v>100</v>
      </c>
      <c r="X29" s="1813"/>
      <c r="Y29" s="326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1810">
        <f t="shared" si="11"/>
        <v>111</v>
      </c>
      <c r="R30" s="774" t="s">
        <v>17</v>
      </c>
      <c r="S30" s="775">
        <f t="shared" si="12"/>
        <v>100</v>
      </c>
      <c r="T30" s="774" t="s">
        <v>17</v>
      </c>
      <c r="U30" s="775">
        <f t="shared" si="13"/>
        <v>100</v>
      </c>
      <c r="V30" s="774" t="s">
        <v>17</v>
      </c>
      <c r="W30" s="775">
        <f t="shared" si="14"/>
        <v>100</v>
      </c>
      <c r="X30" s="1813"/>
      <c r="Y30" s="326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1810">
        <f t="shared" si="11"/>
        <v>111</v>
      </c>
      <c r="R31" s="774" t="s">
        <v>17</v>
      </c>
      <c r="S31" s="775">
        <f t="shared" si="12"/>
        <v>100</v>
      </c>
      <c r="T31" s="774" t="s">
        <v>17</v>
      </c>
      <c r="U31" s="775">
        <f t="shared" si="13"/>
        <v>100</v>
      </c>
      <c r="V31" s="774" t="s">
        <v>17</v>
      </c>
      <c r="W31" s="775">
        <f t="shared" si="14"/>
        <v>100</v>
      </c>
      <c r="X31" s="1813"/>
      <c r="Y31" s="3265"/>
      <c r="Z31" s="1814">
        <f t="shared" si="15"/>
        <v>111</v>
      </c>
      <c r="AA31" s="1811">
        <f t="shared" si="3"/>
        <v>1</v>
      </c>
      <c r="AB31" s="1811">
        <f t="shared" si="4"/>
        <v>1</v>
      </c>
      <c r="AC31" s="1811">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6" t="s">
        <v>2561</v>
      </c>
      <c r="Q32" s="1810" t="str">
        <f t="shared" si="11"/>
        <v>商业类型</v>
      </c>
      <c r="R32" s="774" t="s">
        <v>17</v>
      </c>
      <c r="S32" s="775">
        <f t="shared" si="12"/>
        <v>100</v>
      </c>
      <c r="T32" s="774" t="s">
        <v>17</v>
      </c>
      <c r="U32" s="775">
        <f t="shared" si="13"/>
        <v>100</v>
      </c>
      <c r="V32" s="774" t="s">
        <v>17</v>
      </c>
      <c r="W32" s="775">
        <f t="shared" si="14"/>
        <v>100</v>
      </c>
      <c r="X32" s="1813"/>
      <c r="Y32" s="3269" t="s">
        <v>2561</v>
      </c>
      <c r="Z32" s="1814" t="str">
        <f t="shared" si="15"/>
        <v>商业类型</v>
      </c>
      <c r="AA32" s="1811">
        <f t="shared" si="3"/>
        <v>1</v>
      </c>
      <c r="AB32" s="1811">
        <f t="shared" si="4"/>
        <v>1</v>
      </c>
      <c r="AC32" s="1811">
        <f t="shared" si="5"/>
        <v>1</v>
      </c>
    </row>
    <row r="33" spans="1:29" s="471" customFormat="1" ht="15">
      <c r="A33" s="468"/>
      <c r="B33" s="422" t="s">
        <v>2562</v>
      </c>
      <c r="C33" s="469">
        <f>'数据-汇总表'!F19</f>
        <v>631.32000000000005</v>
      </c>
      <c r="D33" s="136">
        <v>100</v>
      </c>
      <c r="E33" s="430">
        <v>265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67"/>
      <c r="Q33" s="776" t="str">
        <f t="shared" si="11"/>
        <v>项目建筑规模</v>
      </c>
      <c r="R33" s="777" t="s">
        <v>17</v>
      </c>
      <c r="S33" s="778">
        <f t="shared" si="12"/>
        <v>102</v>
      </c>
      <c r="T33" s="777" t="s">
        <v>17</v>
      </c>
      <c r="U33" s="778">
        <f t="shared" si="13"/>
        <v>102</v>
      </c>
      <c r="V33" s="777" t="s">
        <v>17</v>
      </c>
      <c r="W33" s="778">
        <f t="shared" si="14"/>
        <v>102</v>
      </c>
      <c r="X33" s="779"/>
      <c r="Y33" s="3269"/>
      <c r="Z33" s="780" t="str">
        <f t="shared" si="15"/>
        <v>项目建筑规模</v>
      </c>
      <c r="AA33" s="1811">
        <f t="shared" si="3"/>
        <v>0.98039215686274506</v>
      </c>
      <c r="AB33" s="1811">
        <f t="shared" si="4"/>
        <v>0.98039215686274506</v>
      </c>
      <c r="AC33" s="1811">
        <f t="shared" si="5"/>
        <v>0.98039215686274506</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7"/>
      <c r="Q34" s="1810" t="str">
        <f t="shared" si="11"/>
        <v>建筑结构</v>
      </c>
      <c r="R34" s="774" t="s">
        <v>17</v>
      </c>
      <c r="S34" s="775">
        <f t="shared" si="12"/>
        <v>100</v>
      </c>
      <c r="T34" s="774" t="s">
        <v>17</v>
      </c>
      <c r="U34" s="775">
        <f t="shared" si="13"/>
        <v>100</v>
      </c>
      <c r="V34" s="774" t="s">
        <v>17</v>
      </c>
      <c r="W34" s="775">
        <f t="shared" si="14"/>
        <v>100</v>
      </c>
      <c r="X34" s="1813"/>
      <c r="Y34" s="3269"/>
      <c r="Z34" s="1814" t="str">
        <f t="shared" si="15"/>
        <v>建筑结构</v>
      </c>
      <c r="AA34" s="1811">
        <f t="shared" si="3"/>
        <v>1</v>
      </c>
      <c r="AB34" s="1811">
        <f t="shared" si="4"/>
        <v>1</v>
      </c>
      <c r="AC34" s="1811">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7"/>
      <c r="Q35" s="1810" t="str">
        <f t="shared" si="11"/>
        <v>公共部分装修</v>
      </c>
      <c r="R35" s="774" t="s">
        <v>17</v>
      </c>
      <c r="S35" s="775">
        <f t="shared" si="12"/>
        <v>100</v>
      </c>
      <c r="T35" s="774" t="s">
        <v>17</v>
      </c>
      <c r="U35" s="775">
        <f t="shared" si="13"/>
        <v>100</v>
      </c>
      <c r="V35" s="774" t="s">
        <v>17</v>
      </c>
      <c r="W35" s="775">
        <f t="shared" si="14"/>
        <v>100</v>
      </c>
      <c r="X35" s="1813"/>
      <c r="Y35" s="3269"/>
      <c r="Z35" s="1814" t="str">
        <f t="shared" si="15"/>
        <v>公共部分装修</v>
      </c>
      <c r="AA35" s="1811">
        <f t="shared" si="3"/>
        <v>1</v>
      </c>
      <c r="AB35" s="1811">
        <f t="shared" si="4"/>
        <v>1</v>
      </c>
      <c r="AC35" s="1811">
        <f t="shared" si="5"/>
        <v>1</v>
      </c>
    </row>
    <row r="36" spans="1:29" ht="15">
      <c r="A36" s="472"/>
      <c r="B36" s="422"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267"/>
      <c r="Q36" s="1810" t="str">
        <f t="shared" si="11"/>
        <v>成新度</v>
      </c>
      <c r="R36" s="774" t="s">
        <v>17</v>
      </c>
      <c r="S36" s="775">
        <f t="shared" si="12"/>
        <v>100</v>
      </c>
      <c r="T36" s="774" t="s">
        <v>17</v>
      </c>
      <c r="U36" s="775">
        <f t="shared" si="13"/>
        <v>100</v>
      </c>
      <c r="V36" s="774" t="s">
        <v>17</v>
      </c>
      <c r="W36" s="775">
        <f t="shared" si="14"/>
        <v>100</v>
      </c>
      <c r="X36" s="1813"/>
      <c r="Y36" s="3269"/>
      <c r="Z36" s="1814" t="str">
        <f t="shared" si="15"/>
        <v>成新度</v>
      </c>
      <c r="AA36" s="1811">
        <f t="shared" si="3"/>
        <v>1</v>
      </c>
      <c r="AB36" s="1811">
        <f t="shared" si="4"/>
        <v>1</v>
      </c>
      <c r="AC36" s="1811">
        <f t="shared" si="5"/>
        <v>1</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7"/>
      <c r="Q37" s="1795" t="str">
        <f t="shared" si="11"/>
        <v>市政基础设施</v>
      </c>
      <c r="R37" s="770" t="s">
        <v>17</v>
      </c>
      <c r="S37" s="771">
        <f t="shared" si="12"/>
        <v>100</v>
      </c>
      <c r="T37" s="770" t="s">
        <v>17</v>
      </c>
      <c r="U37" s="771">
        <f t="shared" si="13"/>
        <v>100</v>
      </c>
      <c r="V37" s="770" t="s">
        <v>17</v>
      </c>
      <c r="W37" s="771">
        <f t="shared" si="14"/>
        <v>100</v>
      </c>
      <c r="X37" s="772"/>
      <c r="Y37" s="3269"/>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7" t="s">
        <v>2561</v>
      </c>
      <c r="Q38" s="1810" t="str">
        <f t="shared" si="11"/>
        <v>业态</v>
      </c>
      <c r="R38" s="774" t="s">
        <v>17</v>
      </c>
      <c r="S38" s="775">
        <f t="shared" si="12"/>
        <v>100</v>
      </c>
      <c r="T38" s="774" t="s">
        <v>17</v>
      </c>
      <c r="U38" s="775">
        <f t="shared" si="13"/>
        <v>100</v>
      </c>
      <c r="V38" s="774" t="s">
        <v>17</v>
      </c>
      <c r="W38" s="775">
        <f t="shared" si="14"/>
        <v>100</v>
      </c>
      <c r="X38" s="1813"/>
      <c r="Y38" s="3269" t="s">
        <v>2561</v>
      </c>
      <c r="Z38" s="1814" t="str">
        <f t="shared" si="15"/>
        <v>业态</v>
      </c>
      <c r="AA38" s="1811">
        <f t="shared" si="3"/>
        <v>1</v>
      </c>
      <c r="AB38" s="1811">
        <f t="shared" si="4"/>
        <v>1</v>
      </c>
      <c r="AC38" s="1811">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7"/>
      <c r="Q39" s="1810" t="str">
        <f t="shared" si="11"/>
        <v>层高</v>
      </c>
      <c r="R39" s="774" t="s">
        <v>17</v>
      </c>
      <c r="S39" s="775">
        <f t="shared" si="12"/>
        <v>100</v>
      </c>
      <c r="T39" s="774" t="s">
        <v>17</v>
      </c>
      <c r="U39" s="775">
        <f t="shared" si="13"/>
        <v>100</v>
      </c>
      <c r="V39" s="774" t="s">
        <v>17</v>
      </c>
      <c r="W39" s="775">
        <f t="shared" si="14"/>
        <v>100</v>
      </c>
      <c r="X39" s="1813"/>
      <c r="Y39" s="3269"/>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7"/>
      <c r="Q40" s="1810" t="str">
        <f t="shared" si="11"/>
        <v>单套建筑面积</v>
      </c>
      <c r="R40" s="774" t="s">
        <v>17</v>
      </c>
      <c r="S40" s="775">
        <f t="shared" si="12"/>
        <v>100</v>
      </c>
      <c r="T40" s="774" t="s">
        <v>17</v>
      </c>
      <c r="U40" s="775">
        <f t="shared" si="13"/>
        <v>100</v>
      </c>
      <c r="V40" s="774" t="s">
        <v>17</v>
      </c>
      <c r="W40" s="775">
        <f t="shared" si="14"/>
        <v>100</v>
      </c>
      <c r="X40" s="1813"/>
      <c r="Y40" s="3269"/>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7"/>
      <c r="Q41" s="776" t="str">
        <f t="shared" si="11"/>
        <v>进深比</v>
      </c>
      <c r="R41" s="777" t="s">
        <v>17</v>
      </c>
      <c r="S41" s="778">
        <f t="shared" si="12"/>
        <v>100</v>
      </c>
      <c r="T41" s="777" t="s">
        <v>17</v>
      </c>
      <c r="U41" s="778">
        <f t="shared" si="13"/>
        <v>100</v>
      </c>
      <c r="V41" s="777" t="s">
        <v>17</v>
      </c>
      <c r="W41" s="778">
        <f t="shared" si="14"/>
        <v>100</v>
      </c>
      <c r="X41" s="779"/>
      <c r="Y41" s="3269"/>
      <c r="Z41" s="780" t="str">
        <f t="shared" si="15"/>
        <v>进深比</v>
      </c>
      <c r="AA41" s="1811">
        <f t="shared" si="3"/>
        <v>1</v>
      </c>
      <c r="AB41" s="1811">
        <f t="shared" si="4"/>
        <v>1</v>
      </c>
      <c r="AC41" s="1811">
        <f t="shared" si="5"/>
        <v>1</v>
      </c>
    </row>
    <row r="42" spans="1:29" ht="15">
      <c r="A42" s="472"/>
      <c r="B42" s="422"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c r="L42" s="1140"/>
      <c r="M42" s="1131"/>
      <c r="N42" s="1131"/>
      <c r="O42" s="1131"/>
      <c r="P42" s="3267"/>
      <c r="Q42" s="1810" t="str">
        <f t="shared" si="11"/>
        <v>内部装修</v>
      </c>
      <c r="R42" s="774" t="s">
        <v>17</v>
      </c>
      <c r="S42" s="775">
        <f t="shared" si="12"/>
        <v>100</v>
      </c>
      <c r="T42" s="774" t="s">
        <v>17</v>
      </c>
      <c r="U42" s="775">
        <f t="shared" si="13"/>
        <v>100</v>
      </c>
      <c r="V42" s="774" t="s">
        <v>17</v>
      </c>
      <c r="W42" s="775">
        <f t="shared" si="14"/>
        <v>100</v>
      </c>
      <c r="X42" s="1813"/>
      <c r="Y42" s="3269"/>
      <c r="Z42" s="1814" t="str">
        <f t="shared" si="15"/>
        <v>内部装修</v>
      </c>
      <c r="AA42" s="1811">
        <f t="shared" si="3"/>
        <v>1</v>
      </c>
      <c r="AB42" s="1811">
        <f t="shared" si="4"/>
        <v>1</v>
      </c>
      <c r="AC42" s="1811">
        <f t="shared" si="5"/>
        <v>1</v>
      </c>
    </row>
    <row r="43" spans="1:29" ht="15">
      <c r="A43" s="472"/>
      <c r="B43" s="422"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c r="L43" s="1140"/>
      <c r="M43" s="1131"/>
      <c r="N43" s="1131"/>
      <c r="O43" s="1131"/>
      <c r="P43" s="3267"/>
      <c r="Q43" s="1810" t="str">
        <f t="shared" si="11"/>
        <v>内部装修维护情况</v>
      </c>
      <c r="R43" s="774" t="s">
        <v>17</v>
      </c>
      <c r="S43" s="775">
        <f t="shared" si="12"/>
        <v>100</v>
      </c>
      <c r="T43" s="774" t="s">
        <v>17</v>
      </c>
      <c r="U43" s="775">
        <f t="shared" si="13"/>
        <v>100</v>
      </c>
      <c r="V43" s="774" t="s">
        <v>17</v>
      </c>
      <c r="W43" s="775">
        <f t="shared" si="14"/>
        <v>100</v>
      </c>
      <c r="X43" s="1813"/>
      <c r="Y43" s="326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7"/>
      <c r="Q44" s="1795">
        <f t="shared" si="11"/>
        <v>111</v>
      </c>
      <c r="R44" s="770" t="s">
        <v>17</v>
      </c>
      <c r="S44" s="771">
        <f t="shared" si="12"/>
        <v>100</v>
      </c>
      <c r="T44" s="770" t="s">
        <v>17</v>
      </c>
      <c r="U44" s="771">
        <f t="shared" si="13"/>
        <v>100</v>
      </c>
      <c r="V44" s="770" t="s">
        <v>17</v>
      </c>
      <c r="W44" s="771">
        <f t="shared" si="14"/>
        <v>100</v>
      </c>
      <c r="X44" s="772"/>
      <c r="Y44" s="326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7"/>
      <c r="Q45" s="1810">
        <f t="shared" si="11"/>
        <v>111</v>
      </c>
      <c r="R45" s="774" t="s">
        <v>17</v>
      </c>
      <c r="S45" s="775">
        <f t="shared" si="12"/>
        <v>100</v>
      </c>
      <c r="T45" s="774" t="s">
        <v>17</v>
      </c>
      <c r="U45" s="775">
        <f t="shared" si="13"/>
        <v>100</v>
      </c>
      <c r="V45" s="774" t="s">
        <v>17</v>
      </c>
      <c r="W45" s="775">
        <f t="shared" si="14"/>
        <v>100</v>
      </c>
      <c r="X45" s="1813"/>
      <c r="Y45" s="3269"/>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8"/>
      <c r="Q46" s="1810">
        <f t="shared" si="11"/>
        <v>111</v>
      </c>
      <c r="R46" s="774" t="s">
        <v>17</v>
      </c>
      <c r="S46" s="775">
        <f t="shared" si="12"/>
        <v>100</v>
      </c>
      <c r="T46" s="774" t="s">
        <v>17</v>
      </c>
      <c r="U46" s="775">
        <f t="shared" si="13"/>
        <v>100</v>
      </c>
      <c r="V46" s="774" t="s">
        <v>17</v>
      </c>
      <c r="W46" s="775">
        <f t="shared" si="14"/>
        <v>100</v>
      </c>
      <c r="X46" s="1813"/>
      <c r="Y46" s="3270"/>
      <c r="Z46" s="1814">
        <f t="shared" si="15"/>
        <v>111</v>
      </c>
      <c r="AA46" s="1811">
        <f t="shared" si="3"/>
        <v>1</v>
      </c>
      <c r="AB46" s="1811">
        <f t="shared" si="4"/>
        <v>1</v>
      </c>
      <c r="AC46" s="1811">
        <f t="shared" si="5"/>
        <v>1</v>
      </c>
    </row>
    <row r="47" spans="1:29" ht="15">
      <c r="A47" s="479" t="s">
        <v>2573</v>
      </c>
      <c r="B47" s="480"/>
      <c r="C47" s="1407" t="s">
        <v>1</v>
      </c>
      <c r="D47" s="1408"/>
      <c r="E47" s="1409">
        <f>ROUND(45268*C50,0)</f>
        <v>43910</v>
      </c>
      <c r="F47" s="1410"/>
      <c r="G47" s="1411">
        <f>ROUND(49000*C50,0)</f>
        <v>47530</v>
      </c>
      <c r="H47" s="1412"/>
      <c r="I47" s="1409">
        <f>ROUND(43000*C50,0)</f>
        <v>41710</v>
      </c>
      <c r="J47" s="1412"/>
      <c r="K47" s="783"/>
      <c r="L47" s="1143"/>
      <c r="M47" s="1144"/>
      <c r="N47" s="1131"/>
      <c r="O47" s="1144"/>
      <c r="P47" s="3262" t="str">
        <f>A47</f>
        <v>成交单价（元/平方米）</v>
      </c>
      <c r="Q47" s="3262"/>
      <c r="R47" s="3257">
        <f>E47</f>
        <v>43910</v>
      </c>
      <c r="S47" s="3257"/>
      <c r="T47" s="3257">
        <f>G47</f>
        <v>47530</v>
      </c>
      <c r="U47" s="3257"/>
      <c r="V47" s="3257">
        <f>I47</f>
        <v>41710</v>
      </c>
      <c r="W47" s="3257"/>
      <c r="X47" s="759"/>
      <c r="Y47" s="781"/>
      <c r="Z47" s="759"/>
      <c r="AA47" s="759"/>
      <c r="AB47" s="759"/>
      <c r="AC47" s="759"/>
    </row>
    <row r="48" spans="1:29" ht="15.75" thickBot="1">
      <c r="A48" s="486" t="s">
        <v>2665</v>
      </c>
      <c r="B48" s="487"/>
      <c r="C48" s="1413">
        <f>R49</f>
        <v>43513</v>
      </c>
      <c r="D48" s="1414"/>
      <c r="E48" s="1415">
        <f>R48</f>
        <v>43049</v>
      </c>
      <c r="F48" s="1415"/>
      <c r="G48" s="1413">
        <f>T48</f>
        <v>46598</v>
      </c>
      <c r="H48" s="1414"/>
      <c r="I48" s="1415">
        <f>V48</f>
        <v>40892</v>
      </c>
      <c r="J48" s="1414"/>
      <c r="K48" s="784"/>
      <c r="L48" s="1143"/>
      <c r="M48" s="1144">
        <v>8.5</v>
      </c>
      <c r="N48" s="1131"/>
      <c r="O48" s="1144"/>
      <c r="P48" s="3262" t="str">
        <f>A48</f>
        <v>比较价值（元/平方米）</v>
      </c>
      <c r="Q48" s="3262"/>
      <c r="R48" s="3263">
        <f>IF(F1="售价",ROUND(PRODUCT(R47,AA7:AA46),0),ROUND(PRODUCT(R47,AA7:AA46),1))</f>
        <v>43049</v>
      </c>
      <c r="S48" s="3263"/>
      <c r="T48" s="3263">
        <f>IF(F1="售价",ROUND(PRODUCT(T47,AB7:AB46),0),ROUND(PRODUCT(T47,AB7:AB46),1))</f>
        <v>46598</v>
      </c>
      <c r="U48" s="3263"/>
      <c r="V48" s="3263">
        <f>IF(F1="售价",ROUND(PRODUCT(V47,AC7:AC46),0),ROUND(PRODUCT(V47,AC7:AC46),1))</f>
        <v>40892</v>
      </c>
      <c r="W48" s="3263"/>
      <c r="X48" s="759"/>
      <c r="Y48" s="759"/>
      <c r="Z48" s="759"/>
      <c r="AA48" s="759"/>
      <c r="AB48" s="759"/>
      <c r="AC48" s="759"/>
    </row>
    <row r="49" spans="1:29" ht="15.75" thickBot="1">
      <c r="A49" s="492" t="s">
        <v>2666</v>
      </c>
      <c r="B49" s="493"/>
      <c r="C49" s="1417">
        <f>R49</f>
        <v>43513</v>
      </c>
      <c r="D49" s="1417"/>
      <c r="E49" s="1417"/>
      <c r="F49" s="1417"/>
      <c r="G49" s="1417"/>
      <c r="H49" s="1417"/>
      <c r="I49" s="1417"/>
      <c r="J49" s="1417"/>
      <c r="K49" s="785"/>
      <c r="L49" s="1143"/>
      <c r="M49" s="1144">
        <v>10</v>
      </c>
      <c r="N49" s="1131"/>
      <c r="O49" s="1144"/>
      <c r="P49" s="3259" t="str">
        <f>A49</f>
        <v>估价对象XX用房的比较价值（楼面单价，元/平方米）</v>
      </c>
      <c r="Q49" s="3260"/>
      <c r="R49" s="3261">
        <f>IF(F1="售价",ROUND(AVERAGE(R48:V48),0),ROUND(AVERAGE(R48:V48),1))</f>
        <v>43513</v>
      </c>
      <c r="S49" s="3261"/>
      <c r="T49" s="3261"/>
      <c r="U49" s="3261"/>
      <c r="V49" s="3261"/>
      <c r="W49" s="3261"/>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2.0000464586866107E-2</v>
      </c>
      <c r="F52" s="500" t="str">
        <f>IF(OR(E52&gt;=0.3,E52&lt;=-0.3),"超过30%","")</f>
        <v/>
      </c>
      <c r="G52" s="499">
        <f>IF(G47&lt;G48,G48/G47-1,G47/G48-1)</f>
        <v>2.0000858405940125E-2</v>
      </c>
      <c r="H52" s="500" t="str">
        <f>IF(OR(G52&gt;=0.3,G52&lt;=-0.3),"超过30%","")</f>
        <v/>
      </c>
      <c r="I52" s="499">
        <f>IF(I47&lt;I48,I48/I47-1,I47/I48-1)</f>
        <v>2.0003912745769403E-2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8.2440939394643253E-2</v>
      </c>
      <c r="F53" s="500" t="str">
        <f>IF(OR(E53&gt;=0.2,E53&lt;=-0.2),"超过20%","")</f>
        <v/>
      </c>
      <c r="G53" s="499">
        <f>IF(G48&lt;I48,I48/G48-1,G48/I48-1)</f>
        <v>0.13953829599921752</v>
      </c>
      <c r="H53" s="500" t="str">
        <f>IF(OR(G53&gt;=0.2,G53&lt;=-0.2),"超过20%","")</f>
        <v/>
      </c>
      <c r="I53" s="499">
        <f>IF(I48&lt;E48,E48/I48-1,I48/E48-1)</f>
        <v>5.2748703902963934E-2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8.2441357321794584E-2</v>
      </c>
      <c r="F54" s="500" t="str">
        <f>IF(OR(E54&gt;=0.3,E54&lt;=-0.3),"超过30%","")</f>
        <v/>
      </c>
      <c r="G54" s="499">
        <f>IF(G47&lt;I47,I47/G47-1,G47/I47-1)</f>
        <v>0.13953488372093026</v>
      </c>
      <c r="H54" s="500" t="str">
        <f>IF(OR(G54&gt;=0.3,G54&lt;=-0.3),"超过30%","")</f>
        <v/>
      </c>
      <c r="I54" s="499">
        <f>IF(I47&lt;E47,E47/I47-1,I47/E47-1)</f>
        <v>5.2745145049148956E-2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2648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2682</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631.32000000000005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81" t="s">
        <v>2647</v>
      </c>
      <c r="Q4" s="3282"/>
      <c r="R4" s="3276" t="s">
        <v>2643</v>
      </c>
      <c r="S4" s="3277"/>
      <c r="T4" s="3276" t="s">
        <v>2644</v>
      </c>
      <c r="U4" s="3277"/>
      <c r="V4" s="3285" t="s">
        <v>2645</v>
      </c>
      <c r="W4" s="3285"/>
      <c r="X4" s="2672"/>
      <c r="Y4" s="3276" t="s">
        <v>2647</v>
      </c>
      <c r="Z4" s="3277"/>
      <c r="AA4" s="3275" t="s">
        <v>2643</v>
      </c>
      <c r="AB4" s="3275" t="s">
        <v>2644</v>
      </c>
      <c r="AC4" s="3278" t="s">
        <v>2645</v>
      </c>
    </row>
    <row r="5" spans="1:29" ht="15">
      <c r="A5" s="404"/>
      <c r="B5" s="405"/>
      <c r="C5" s="3238" t="s">
        <v>2538</v>
      </c>
      <c r="D5" s="3239"/>
      <c r="E5" s="3236" t="s">
        <v>2539</v>
      </c>
      <c r="F5" s="3237"/>
      <c r="G5" s="3238" t="s">
        <v>2540</v>
      </c>
      <c r="H5" s="3239"/>
      <c r="I5" s="3238" t="s">
        <v>2541</v>
      </c>
      <c r="J5" s="3239"/>
      <c r="K5" s="610"/>
      <c r="L5" s="1130"/>
      <c r="M5" s="1131"/>
      <c r="N5" s="1131"/>
      <c r="O5" s="1131"/>
      <c r="P5" s="3283"/>
      <c r="Q5" s="3252"/>
      <c r="R5" s="3234"/>
      <c r="S5" s="3235"/>
      <c r="T5" s="3234"/>
      <c r="U5" s="3235"/>
      <c r="V5" s="3257"/>
      <c r="W5" s="3257"/>
      <c r="X5" s="1813"/>
      <c r="Y5" s="3234"/>
      <c r="Z5" s="3235"/>
      <c r="AA5" s="3228"/>
      <c r="AB5" s="3228"/>
      <c r="AC5" s="3279"/>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84"/>
      <c r="Q6" s="3254"/>
      <c r="R6" s="3234"/>
      <c r="S6" s="3235"/>
      <c r="T6" s="3255"/>
      <c r="U6" s="3256"/>
      <c r="V6" s="3257"/>
      <c r="W6" s="3257"/>
      <c r="X6" s="1813"/>
      <c r="Y6" s="3255"/>
      <c r="Z6" s="3256"/>
      <c r="AA6" s="3229"/>
      <c r="AB6" s="3229"/>
      <c r="AC6" s="3280"/>
    </row>
    <row r="7" spans="1:29" s="117" customFormat="1" ht="15.75" thickBot="1">
      <c r="A7" s="408" t="s">
        <v>2544</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6"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2673"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6" t="s">
        <v>2548</v>
      </c>
      <c r="Q8" s="3231"/>
      <c r="R8" s="770" t="s">
        <v>17</v>
      </c>
      <c r="S8" s="771">
        <f t="shared" si="0"/>
        <v>0</v>
      </c>
      <c r="T8" s="770" t="s">
        <v>17</v>
      </c>
      <c r="U8" s="771">
        <f t="shared" si="1"/>
        <v>0</v>
      </c>
      <c r="V8" s="770" t="s">
        <v>17</v>
      </c>
      <c r="W8" s="771">
        <f t="shared" si="2"/>
        <v>0</v>
      </c>
      <c r="X8" s="772"/>
      <c r="Y8" s="3230" t="s">
        <v>2548</v>
      </c>
      <c r="Z8" s="3231"/>
      <c r="AA8" s="773" t="e">
        <f t="shared" ref="AA8:AA47" si="3">D8/F8</f>
        <v>#DIV/0!</v>
      </c>
      <c r="AB8" s="773" t="e">
        <f t="shared" ref="AB8:AB47" si="4">D8/H8</f>
        <v>#DIV/0!</v>
      </c>
      <c r="AC8" s="2673"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4"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2673">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4"/>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4"/>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4"/>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4"/>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2673">
        <f t="shared" si="5"/>
        <v>1</v>
      </c>
    </row>
    <row r="15" spans="1:29" ht="71.25">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1" t="s">
        <v>2556</v>
      </c>
      <c r="Q15" s="1810" t="str">
        <f t="shared" si="6"/>
        <v>办公集聚程度</v>
      </c>
      <c r="R15" s="774" t="s">
        <v>17</v>
      </c>
      <c r="S15" s="775">
        <f t="shared" si="0"/>
        <v>100</v>
      </c>
      <c r="T15" s="774" t="s">
        <v>17</v>
      </c>
      <c r="U15" s="775">
        <f t="shared" si="1"/>
        <v>100</v>
      </c>
      <c r="V15" s="774" t="s">
        <v>17</v>
      </c>
      <c r="W15" s="775">
        <f t="shared" si="2"/>
        <v>100</v>
      </c>
      <c r="X15" s="1813"/>
      <c r="Y15" s="3264" t="s">
        <v>2556</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72"/>
      <c r="Q16" s="1810"/>
      <c r="R16" s="774"/>
      <c r="S16" s="775"/>
      <c r="T16" s="774"/>
      <c r="U16" s="775"/>
      <c r="V16" s="774"/>
      <c r="W16" s="775"/>
      <c r="X16" s="1813"/>
      <c r="Y16" s="3265"/>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2"/>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72"/>
      <c r="Q18" s="1810"/>
      <c r="R18" s="774"/>
      <c r="S18" s="775"/>
      <c r="T18" s="774"/>
      <c r="U18" s="775"/>
      <c r="V18" s="774"/>
      <c r="W18" s="775"/>
      <c r="X18" s="1813"/>
      <c r="Y18" s="3265"/>
      <c r="Z18" s="1814"/>
      <c r="AA18" s="1811">
        <v>1</v>
      </c>
      <c r="AB18" s="1811">
        <v>1</v>
      </c>
      <c r="AC18" s="2676">
        <v>1</v>
      </c>
    </row>
    <row r="19" spans="1:29" ht="42.75">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2"/>
      <c r="Q19" s="1810" t="str">
        <f>B19</f>
        <v>公共配套设施</v>
      </c>
      <c r="R19" s="774" t="s">
        <v>17</v>
      </c>
      <c r="S19" s="775">
        <f>F19</f>
        <v>100</v>
      </c>
      <c r="T19" s="774" t="s">
        <v>17</v>
      </c>
      <c r="U19" s="775">
        <f>H19</f>
        <v>100</v>
      </c>
      <c r="V19" s="774" t="s">
        <v>17</v>
      </c>
      <c r="W19" s="775">
        <f>J19</f>
        <v>100</v>
      </c>
      <c r="X19" s="1813"/>
      <c r="Y19" s="3265"/>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72"/>
      <c r="Q20" s="1810"/>
      <c r="R20" s="774"/>
      <c r="S20" s="775"/>
      <c r="T20" s="774"/>
      <c r="U20" s="775"/>
      <c r="V20" s="774"/>
      <c r="W20" s="775"/>
      <c r="X20" s="1813"/>
      <c r="Y20" s="3265"/>
      <c r="Z20" s="1814"/>
      <c r="AA20" s="1811">
        <v>1</v>
      </c>
      <c r="AB20" s="1811">
        <v>1</v>
      </c>
      <c r="AC20" s="2676">
        <v>1</v>
      </c>
    </row>
    <row r="21" spans="1:29" ht="28.5">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2"/>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72"/>
      <c r="Q22" s="1810"/>
      <c r="R22" s="774"/>
      <c r="S22" s="775"/>
      <c r="T22" s="774"/>
      <c r="U22" s="775"/>
      <c r="V22" s="774"/>
      <c r="W22" s="775"/>
      <c r="X22" s="1813"/>
      <c r="Y22" s="3265"/>
      <c r="Z22" s="1814"/>
      <c r="AA22" s="1811">
        <v>1</v>
      </c>
      <c r="AB22" s="1811">
        <v>1</v>
      </c>
      <c r="AC22" s="2676">
        <v>1</v>
      </c>
    </row>
    <row r="23" spans="1:29" ht="42.75">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2"/>
      <c r="Q23" s="1810" t="str">
        <f>B23</f>
        <v>环境质量</v>
      </c>
      <c r="R23" s="774" t="s">
        <v>17</v>
      </c>
      <c r="S23" s="775">
        <f>F23</f>
        <v>100</v>
      </c>
      <c r="T23" s="774" t="s">
        <v>17</v>
      </c>
      <c r="U23" s="775">
        <f>H23</f>
        <v>100</v>
      </c>
      <c r="V23" s="774" t="s">
        <v>17</v>
      </c>
      <c r="W23" s="775">
        <f>J23</f>
        <v>100</v>
      </c>
      <c r="X23" s="1813"/>
      <c r="Y23" s="3265"/>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72"/>
      <c r="Q24" s="1810"/>
      <c r="R24" s="774"/>
      <c r="S24" s="775"/>
      <c r="T24" s="774"/>
      <c r="U24" s="775"/>
      <c r="V24" s="774"/>
      <c r="W24" s="775"/>
      <c r="X24" s="1813"/>
      <c r="Y24" s="3265"/>
      <c r="Z24" s="1814"/>
      <c r="AA24" s="1811">
        <v>1</v>
      </c>
      <c r="AB24" s="1811">
        <v>1</v>
      </c>
      <c r="AC24" s="2676">
        <v>1</v>
      </c>
    </row>
    <row r="25" spans="1:29" ht="27">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72"/>
      <c r="Q25" s="1810" t="str">
        <f>B25</f>
        <v>毗邻道路的类型与等级</v>
      </c>
      <c r="R25" s="774" t="s">
        <v>17</v>
      </c>
      <c r="S25" s="775">
        <f>F25</f>
        <v>100</v>
      </c>
      <c r="T25" s="774" t="s">
        <v>17</v>
      </c>
      <c r="U25" s="775">
        <f>H25</f>
        <v>100</v>
      </c>
      <c r="V25" s="774" t="s">
        <v>17</v>
      </c>
      <c r="W25" s="775">
        <f>J25</f>
        <v>100</v>
      </c>
      <c r="X25" s="1813"/>
      <c r="Y25" s="3265"/>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72"/>
      <c r="Q26" s="1810"/>
      <c r="R26" s="774"/>
      <c r="S26" s="775"/>
      <c r="T26" s="774"/>
      <c r="U26" s="775"/>
      <c r="V26" s="774"/>
      <c r="W26" s="775"/>
      <c r="X26" s="1813"/>
      <c r="Y26" s="3265"/>
      <c r="Z26" s="1814"/>
      <c r="AA26" s="1811">
        <v>1</v>
      </c>
      <c r="AB26" s="1811">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2"/>
      <c r="Q27" s="1810" t="str">
        <f t="shared" ref="Q27:Q47" si="11">B27</f>
        <v>楼层</v>
      </c>
      <c r="R27" s="774" t="s">
        <v>17</v>
      </c>
      <c r="S27" s="775">
        <f>F27</f>
        <v>100</v>
      </c>
      <c r="T27" s="774" t="s">
        <v>17</v>
      </c>
      <c r="U27" s="775">
        <f>H27</f>
        <v>100</v>
      </c>
      <c r="V27" s="774" t="s">
        <v>17</v>
      </c>
      <c r="W27" s="775">
        <f>J27</f>
        <v>100</v>
      </c>
      <c r="X27" s="1813"/>
      <c r="Y27" s="3265"/>
      <c r="Z27" s="1814" t="str">
        <f>Q27</f>
        <v>楼层</v>
      </c>
      <c r="AA27" s="1811">
        <f t="shared" si="3"/>
        <v>1</v>
      </c>
      <c r="AB27" s="1811">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72"/>
      <c r="Q28" s="1795" t="str">
        <f t="shared" si="11"/>
        <v>朝向</v>
      </c>
      <c r="R28" s="770" t="s">
        <v>17</v>
      </c>
      <c r="S28" s="771">
        <f>F28</f>
        <v>100</v>
      </c>
      <c r="T28" s="770" t="s">
        <v>17</v>
      </c>
      <c r="U28" s="771">
        <f>H28</f>
        <v>100</v>
      </c>
      <c r="V28" s="770" t="s">
        <v>17</v>
      </c>
      <c r="W28" s="771">
        <f>J28</f>
        <v>100</v>
      </c>
      <c r="X28" s="772"/>
      <c r="Y28" s="3265"/>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72"/>
      <c r="Q29" s="1810">
        <f t="shared" si="11"/>
        <v>111</v>
      </c>
      <c r="R29" s="774" t="s">
        <v>17</v>
      </c>
      <c r="S29" s="775">
        <f t="shared" ref="S29:S47" si="12">F29</f>
        <v>100</v>
      </c>
      <c r="T29" s="774" t="s">
        <v>17</v>
      </c>
      <c r="U29" s="775">
        <f t="shared" ref="U29:U47" si="13">H29</f>
        <v>100</v>
      </c>
      <c r="V29" s="774" t="s">
        <v>17</v>
      </c>
      <c r="W29" s="775">
        <f t="shared" ref="W29:W47" si="14">J29</f>
        <v>100</v>
      </c>
      <c r="X29" s="1813"/>
      <c r="Y29" s="3265"/>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72"/>
      <c r="Q30" s="1810">
        <f t="shared" si="11"/>
        <v>111</v>
      </c>
      <c r="R30" s="774" t="s">
        <v>17</v>
      </c>
      <c r="S30" s="775">
        <f t="shared" si="12"/>
        <v>100</v>
      </c>
      <c r="T30" s="774" t="s">
        <v>17</v>
      </c>
      <c r="U30" s="775">
        <f t="shared" si="13"/>
        <v>100</v>
      </c>
      <c r="V30" s="774" t="s">
        <v>17</v>
      </c>
      <c r="W30" s="775">
        <f t="shared" si="14"/>
        <v>100</v>
      </c>
      <c r="X30" s="1813"/>
      <c r="Y30" s="3265"/>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72"/>
      <c r="Q31" s="1810">
        <f t="shared" si="11"/>
        <v>111</v>
      </c>
      <c r="R31" s="774" t="s">
        <v>17</v>
      </c>
      <c r="S31" s="775">
        <f t="shared" si="12"/>
        <v>100</v>
      </c>
      <c r="T31" s="774" t="s">
        <v>17</v>
      </c>
      <c r="U31" s="775">
        <f t="shared" si="13"/>
        <v>100</v>
      </c>
      <c r="V31" s="774" t="s">
        <v>17</v>
      </c>
      <c r="W31" s="775">
        <f t="shared" si="14"/>
        <v>100</v>
      </c>
      <c r="X31" s="1813"/>
      <c r="Y31" s="3265"/>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72"/>
      <c r="Q32" s="1810">
        <f t="shared" si="11"/>
        <v>111</v>
      </c>
      <c r="R32" s="774" t="s">
        <v>17</v>
      </c>
      <c r="S32" s="775">
        <f t="shared" si="12"/>
        <v>100</v>
      </c>
      <c r="T32" s="774" t="s">
        <v>17</v>
      </c>
      <c r="U32" s="775">
        <f t="shared" si="13"/>
        <v>100</v>
      </c>
      <c r="V32" s="774" t="s">
        <v>17</v>
      </c>
      <c r="W32" s="775">
        <f t="shared" si="14"/>
        <v>100</v>
      </c>
      <c r="X32" s="1813"/>
      <c r="Y32" s="3265"/>
      <c r="Z32" s="1814">
        <f t="shared" si="15"/>
        <v>111</v>
      </c>
      <c r="AA32" s="1811">
        <f t="shared" si="3"/>
        <v>1</v>
      </c>
      <c r="AB32" s="1811">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6" t="s">
        <v>2561</v>
      </c>
      <c r="Q33" s="1810" t="str">
        <f t="shared" si="11"/>
        <v>建筑类型</v>
      </c>
      <c r="R33" s="774" t="s">
        <v>17</v>
      </c>
      <c r="S33" s="775">
        <f t="shared" si="12"/>
        <v>100</v>
      </c>
      <c r="T33" s="774" t="s">
        <v>17</v>
      </c>
      <c r="U33" s="775">
        <f t="shared" si="13"/>
        <v>100</v>
      </c>
      <c r="V33" s="774" t="s">
        <v>17</v>
      </c>
      <c r="W33" s="775">
        <f t="shared" si="14"/>
        <v>100</v>
      </c>
      <c r="X33" s="1813"/>
      <c r="Y33" s="3269" t="s">
        <v>2561</v>
      </c>
      <c r="Z33" s="1814" t="str">
        <f t="shared" si="15"/>
        <v>建筑类型</v>
      </c>
      <c r="AA33" s="1811">
        <f t="shared" si="3"/>
        <v>1</v>
      </c>
      <c r="AB33" s="1811">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7"/>
      <c r="Q34" s="776" t="str">
        <f t="shared" si="11"/>
        <v>项目建筑规模</v>
      </c>
      <c r="R34" s="777" t="s">
        <v>17</v>
      </c>
      <c r="S34" s="778" t="e">
        <f t="shared" si="12"/>
        <v>#N/A</v>
      </c>
      <c r="T34" s="777" t="s">
        <v>17</v>
      </c>
      <c r="U34" s="778" t="e">
        <f t="shared" si="13"/>
        <v>#N/A</v>
      </c>
      <c r="V34" s="777" t="s">
        <v>17</v>
      </c>
      <c r="W34" s="778" t="e">
        <f t="shared" si="14"/>
        <v>#N/A</v>
      </c>
      <c r="X34" s="779"/>
      <c r="Y34" s="3269"/>
      <c r="Z34" s="780" t="str">
        <f t="shared" si="15"/>
        <v>项目建筑规模</v>
      </c>
      <c r="AA34" s="1811" t="e">
        <f t="shared" si="3"/>
        <v>#N/A</v>
      </c>
      <c r="AB34" s="1811"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7"/>
      <c r="Q35" s="1810" t="str">
        <f t="shared" si="11"/>
        <v>建筑结构</v>
      </c>
      <c r="R35" s="774" t="s">
        <v>17</v>
      </c>
      <c r="S35" s="775">
        <f t="shared" si="12"/>
        <v>100</v>
      </c>
      <c r="T35" s="774" t="s">
        <v>17</v>
      </c>
      <c r="U35" s="775">
        <f t="shared" si="13"/>
        <v>100</v>
      </c>
      <c r="V35" s="774" t="s">
        <v>17</v>
      </c>
      <c r="W35" s="775">
        <f t="shared" si="14"/>
        <v>100</v>
      </c>
      <c r="X35" s="1813"/>
      <c r="Y35" s="3269"/>
      <c r="Z35" s="1814" t="str">
        <f t="shared" si="15"/>
        <v>建筑结构</v>
      </c>
      <c r="AA35" s="1811">
        <f t="shared" si="3"/>
        <v>1</v>
      </c>
      <c r="AB35" s="1811">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7"/>
      <c r="Q36" s="1810" t="str">
        <f t="shared" si="11"/>
        <v>公共部分装修</v>
      </c>
      <c r="R36" s="774" t="s">
        <v>17</v>
      </c>
      <c r="S36" s="775">
        <f t="shared" si="12"/>
        <v>100</v>
      </c>
      <c r="T36" s="774" t="s">
        <v>17</v>
      </c>
      <c r="U36" s="775">
        <f t="shared" si="13"/>
        <v>100</v>
      </c>
      <c r="V36" s="774" t="s">
        <v>17</v>
      </c>
      <c r="W36" s="775">
        <f t="shared" si="14"/>
        <v>100</v>
      </c>
      <c r="X36" s="1813"/>
      <c r="Y36" s="3269"/>
      <c r="Z36" s="1814" t="str">
        <f t="shared" si="15"/>
        <v>公共部分装修</v>
      </c>
      <c r="AA36" s="1811">
        <f t="shared" si="3"/>
        <v>1</v>
      </c>
      <c r="AB36" s="1811">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7"/>
      <c r="Q37" s="1810" t="str">
        <f t="shared" si="11"/>
        <v>成新度</v>
      </c>
      <c r="R37" s="774" t="s">
        <v>17</v>
      </c>
      <c r="S37" s="775" t="e">
        <f t="shared" si="12"/>
        <v>#N/A</v>
      </c>
      <c r="T37" s="774" t="s">
        <v>17</v>
      </c>
      <c r="U37" s="775" t="e">
        <f t="shared" si="13"/>
        <v>#N/A</v>
      </c>
      <c r="V37" s="774" t="s">
        <v>17</v>
      </c>
      <c r="W37" s="775" t="e">
        <f t="shared" si="14"/>
        <v>#N/A</v>
      </c>
      <c r="X37" s="1813"/>
      <c r="Y37" s="3269"/>
      <c r="Z37" s="1814" t="str">
        <f t="shared" si="15"/>
        <v>成新度</v>
      </c>
      <c r="AA37" s="1811" t="e">
        <f t="shared" si="3"/>
        <v>#N/A</v>
      </c>
      <c r="AB37" s="1811"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7"/>
      <c r="Q38" s="1795" t="str">
        <f t="shared" si="11"/>
        <v>写字楼等级</v>
      </c>
      <c r="R38" s="770" t="s">
        <v>17</v>
      </c>
      <c r="S38" s="771">
        <f t="shared" si="12"/>
        <v>100</v>
      </c>
      <c r="T38" s="770" t="s">
        <v>17</v>
      </c>
      <c r="U38" s="771">
        <f t="shared" si="13"/>
        <v>100</v>
      </c>
      <c r="V38" s="770" t="s">
        <v>17</v>
      </c>
      <c r="W38" s="771">
        <f t="shared" si="14"/>
        <v>100</v>
      </c>
      <c r="X38" s="772"/>
      <c r="Y38" s="3269"/>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7" t="s">
        <v>2561</v>
      </c>
      <c r="Q39" s="1810" t="str">
        <f t="shared" si="11"/>
        <v>物业管理</v>
      </c>
      <c r="R39" s="774" t="s">
        <v>17</v>
      </c>
      <c r="S39" s="775">
        <f t="shared" si="12"/>
        <v>100</v>
      </c>
      <c r="T39" s="774" t="s">
        <v>17</v>
      </c>
      <c r="U39" s="775">
        <f t="shared" si="13"/>
        <v>100</v>
      </c>
      <c r="V39" s="774" t="s">
        <v>17</v>
      </c>
      <c r="W39" s="775">
        <f t="shared" si="14"/>
        <v>100</v>
      </c>
      <c r="X39" s="1813"/>
      <c r="Y39" s="3269" t="s">
        <v>2561</v>
      </c>
      <c r="Z39" s="1814" t="str">
        <f t="shared" si="15"/>
        <v>物业管理</v>
      </c>
      <c r="AA39" s="1811">
        <f t="shared" si="3"/>
        <v>1</v>
      </c>
      <c r="AB39" s="1811">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7"/>
      <c r="Q40" s="1810" t="str">
        <f t="shared" si="11"/>
        <v>市政基础设施</v>
      </c>
      <c r="R40" s="774" t="s">
        <v>17</v>
      </c>
      <c r="S40" s="775">
        <f t="shared" si="12"/>
        <v>100</v>
      </c>
      <c r="T40" s="774" t="s">
        <v>17</v>
      </c>
      <c r="U40" s="775">
        <f t="shared" si="13"/>
        <v>100</v>
      </c>
      <c r="V40" s="774" t="s">
        <v>17</v>
      </c>
      <c r="W40" s="775">
        <f t="shared" si="14"/>
        <v>100</v>
      </c>
      <c r="X40" s="1813"/>
      <c r="Y40" s="3269"/>
      <c r="Z40" s="1814" t="str">
        <f t="shared" si="15"/>
        <v>市政基础设施</v>
      </c>
      <c r="AA40" s="1811">
        <f t="shared" si="3"/>
        <v>1</v>
      </c>
      <c r="AB40" s="1811">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7"/>
      <c r="Q41" s="1810" t="str">
        <f t="shared" si="11"/>
        <v>层高</v>
      </c>
      <c r="R41" s="774" t="s">
        <v>17</v>
      </c>
      <c r="S41" s="775">
        <f t="shared" si="12"/>
        <v>100</v>
      </c>
      <c r="T41" s="774" t="s">
        <v>17</v>
      </c>
      <c r="U41" s="775">
        <f t="shared" si="13"/>
        <v>100</v>
      </c>
      <c r="V41" s="774" t="s">
        <v>17</v>
      </c>
      <c r="W41" s="775">
        <f t="shared" si="14"/>
        <v>100</v>
      </c>
      <c r="X41" s="1813"/>
      <c r="Y41" s="3269"/>
      <c r="Z41" s="1814" t="str">
        <f t="shared" si="15"/>
        <v>层高</v>
      </c>
      <c r="AA41" s="1811">
        <f t="shared" si="3"/>
        <v>1</v>
      </c>
      <c r="AB41" s="1811">
        <f t="shared" si="4"/>
        <v>1</v>
      </c>
      <c r="AC41" s="2676">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7"/>
      <c r="Q42" s="776" t="str">
        <f t="shared" si="11"/>
        <v>单套建筑面积</v>
      </c>
      <c r="R42" s="777" t="s">
        <v>17</v>
      </c>
      <c r="S42" s="778">
        <f t="shared" si="12"/>
        <v>100</v>
      </c>
      <c r="T42" s="777" t="s">
        <v>17</v>
      </c>
      <c r="U42" s="778">
        <f t="shared" si="13"/>
        <v>100</v>
      </c>
      <c r="V42" s="777" t="s">
        <v>17</v>
      </c>
      <c r="W42" s="778">
        <f t="shared" si="14"/>
        <v>100</v>
      </c>
      <c r="X42" s="779"/>
      <c r="Y42" s="3269"/>
      <c r="Z42" s="780" t="str">
        <f t="shared" si="15"/>
        <v>单套建筑面积</v>
      </c>
      <c r="AA42" s="1811">
        <f t="shared" si="3"/>
        <v>1</v>
      </c>
      <c r="AB42" s="1811">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7"/>
      <c r="Q43" s="1810" t="str">
        <f t="shared" si="11"/>
        <v>内部装修</v>
      </c>
      <c r="R43" s="774" t="s">
        <v>17</v>
      </c>
      <c r="S43" s="775">
        <f t="shared" si="12"/>
        <v>100</v>
      </c>
      <c r="T43" s="774" t="s">
        <v>17</v>
      </c>
      <c r="U43" s="775">
        <f t="shared" si="13"/>
        <v>100</v>
      </c>
      <c r="V43" s="774" t="s">
        <v>17</v>
      </c>
      <c r="W43" s="775">
        <f t="shared" si="14"/>
        <v>100</v>
      </c>
      <c r="X43" s="1813"/>
      <c r="Y43" s="3269"/>
      <c r="Z43" s="1814" t="str">
        <f t="shared" si="15"/>
        <v>内部装修</v>
      </c>
      <c r="AA43" s="1811">
        <f t="shared" si="3"/>
        <v>1</v>
      </c>
      <c r="AB43" s="1811">
        <f t="shared" si="4"/>
        <v>1</v>
      </c>
      <c r="AC43" s="2676">
        <f t="shared" si="5"/>
        <v>1</v>
      </c>
    </row>
    <row r="44" spans="1:29" ht="15">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7"/>
      <c r="Q44" s="1810" t="str">
        <f t="shared" si="11"/>
        <v>内部装修维护情况</v>
      </c>
      <c r="R44" s="774" t="s">
        <v>17</v>
      </c>
      <c r="S44" s="775">
        <f t="shared" si="12"/>
        <v>100</v>
      </c>
      <c r="T44" s="774" t="s">
        <v>17</v>
      </c>
      <c r="U44" s="775">
        <f t="shared" si="13"/>
        <v>100</v>
      </c>
      <c r="V44" s="774" t="s">
        <v>17</v>
      </c>
      <c r="W44" s="775">
        <f t="shared" si="14"/>
        <v>100</v>
      </c>
      <c r="X44" s="1813"/>
      <c r="Y44" s="3269"/>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7"/>
      <c r="Q45" s="1795">
        <f t="shared" si="11"/>
        <v>111</v>
      </c>
      <c r="R45" s="770" t="s">
        <v>17</v>
      </c>
      <c r="S45" s="771">
        <f t="shared" si="12"/>
        <v>100</v>
      </c>
      <c r="T45" s="770" t="s">
        <v>17</v>
      </c>
      <c r="U45" s="771">
        <f t="shared" si="13"/>
        <v>100</v>
      </c>
      <c r="V45" s="770" t="s">
        <v>17</v>
      </c>
      <c r="W45" s="771">
        <f t="shared" si="14"/>
        <v>100</v>
      </c>
      <c r="X45" s="772"/>
      <c r="Y45" s="3269"/>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7"/>
      <c r="Q46" s="1810">
        <f t="shared" si="11"/>
        <v>111</v>
      </c>
      <c r="R46" s="774" t="s">
        <v>17</v>
      </c>
      <c r="S46" s="775">
        <f t="shared" si="12"/>
        <v>100</v>
      </c>
      <c r="T46" s="774" t="s">
        <v>17</v>
      </c>
      <c r="U46" s="775">
        <f t="shared" si="13"/>
        <v>100</v>
      </c>
      <c r="V46" s="774" t="s">
        <v>17</v>
      </c>
      <c r="W46" s="775">
        <f t="shared" si="14"/>
        <v>100</v>
      </c>
      <c r="X46" s="1813"/>
      <c r="Y46" s="3269"/>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8"/>
      <c r="Q47" s="1810">
        <f t="shared" si="11"/>
        <v>111</v>
      </c>
      <c r="R47" s="774" t="s">
        <v>17</v>
      </c>
      <c r="S47" s="775">
        <f t="shared" si="12"/>
        <v>100</v>
      </c>
      <c r="T47" s="774" t="s">
        <v>17</v>
      </c>
      <c r="U47" s="775">
        <f t="shared" si="13"/>
        <v>100</v>
      </c>
      <c r="V47" s="774" t="s">
        <v>17</v>
      </c>
      <c r="W47" s="775">
        <f t="shared" si="14"/>
        <v>100</v>
      </c>
      <c r="X47" s="1813"/>
      <c r="Y47" s="3270"/>
      <c r="Z47" s="1814">
        <f t="shared" si="15"/>
        <v>111</v>
      </c>
      <c r="AA47" s="1811">
        <f t="shared" si="3"/>
        <v>1</v>
      </c>
      <c r="AB47" s="1811">
        <f t="shared" si="4"/>
        <v>1</v>
      </c>
      <c r="AC47" s="2676">
        <f t="shared" si="5"/>
        <v>1</v>
      </c>
    </row>
    <row r="48" spans="1:29" ht="15">
      <c r="A48" s="479" t="s">
        <v>2573</v>
      </c>
      <c r="B48" s="480"/>
      <c r="C48" s="1407" t="s">
        <v>1</v>
      </c>
      <c r="D48" s="1408"/>
      <c r="E48" s="1409"/>
      <c r="F48" s="1410"/>
      <c r="G48" s="1411"/>
      <c r="H48" s="1412"/>
      <c r="I48" s="1409"/>
      <c r="J48" s="485"/>
      <c r="K48" s="783"/>
      <c r="L48" s="1143"/>
      <c r="M48" s="1131"/>
      <c r="N48" s="1131"/>
      <c r="O48" s="1131"/>
      <c r="P48" s="3244" t="str">
        <f>A48</f>
        <v>成交单价（元/平方米）</v>
      </c>
      <c r="Q48" s="3262"/>
      <c r="R48" s="3263">
        <f>E48</f>
        <v>0</v>
      </c>
      <c r="S48" s="3263"/>
      <c r="T48" s="3263">
        <f>G48</f>
        <v>0</v>
      </c>
      <c r="U48" s="3263"/>
      <c r="V48" s="3263">
        <f>I48</f>
        <v>0</v>
      </c>
      <c r="W48" s="326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44"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87" t="str">
        <f>A50</f>
        <v>估价对象XX用房的比较价值（楼面单价，元/平方米）</v>
      </c>
      <c r="Q50" s="3288"/>
      <c r="R50" s="3289" t="e">
        <f>IF(F1="售价",ROUND(AVERAGE(R49:V49),0),ROUND(AVERAGE(R49:V49),1))</f>
        <v>#DIV/0!</v>
      </c>
      <c r="S50" s="3289"/>
      <c r="T50" s="3289"/>
      <c r="U50" s="3289"/>
      <c r="V50" s="3289"/>
      <c r="W50" s="328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3"/>
      <c r="Q58" s="504"/>
    </row>
    <row r="59" spans="1:29" s="508" customFormat="1" ht="15">
      <c r="A59" s="505" t="s">
        <v>2544</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2581</v>
      </c>
      <c r="B61" s="516"/>
      <c r="C61" s="517"/>
      <c r="D61" s="518"/>
      <c r="E61" s="518"/>
      <c r="F61" s="518"/>
      <c r="G61" s="518"/>
      <c r="H61" s="518"/>
      <c r="I61" s="518"/>
      <c r="J61" s="518"/>
      <c r="K61" s="518"/>
      <c r="L61" s="518"/>
      <c r="M61" s="519"/>
      <c r="N61" s="518"/>
      <c r="O61" s="519"/>
      <c r="P61" s="2684"/>
      <c r="Q61" s="504"/>
    </row>
    <row r="62" spans="1:29" s="117" customFormat="1" ht="15">
      <c r="A62" s="521" t="s">
        <v>2546</v>
      </c>
      <c r="B62" s="510"/>
      <c r="C62" s="522" t="s">
        <v>2648</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2584</v>
      </c>
      <c r="B64" s="528" t="s">
        <v>2550</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2695</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2559</v>
      </c>
      <c r="B101" s="528" t="s">
        <v>2608</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估价对象为北京市出让国有建设用地使用权及在建建筑物房地产，为所有。根据《国有土地使用证》[]，估价对象（分摊）出让国有建设用地使用权面积为0平方米，建筑面积为631.32平方米。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2698</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631.32000000000005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0"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2"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2"/>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2"/>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62"/>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4" t="s">
        <v>2556</v>
      </c>
      <c r="Q15" s="1810" t="str">
        <f t="shared" si="6"/>
        <v>产业集聚程度</v>
      </c>
      <c r="R15" s="774" t="s">
        <v>17</v>
      </c>
      <c r="S15" s="775">
        <f t="shared" si="0"/>
        <v>100</v>
      </c>
      <c r="T15" s="774" t="s">
        <v>17</v>
      </c>
      <c r="U15" s="775">
        <f t="shared" si="1"/>
        <v>100</v>
      </c>
      <c r="V15" s="774" t="s">
        <v>17</v>
      </c>
      <c r="W15" s="775">
        <f t="shared" si="2"/>
        <v>100</v>
      </c>
      <c r="X15" s="1813"/>
      <c r="Y15" s="3264"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65"/>
      <c r="Q16" s="1810"/>
      <c r="R16" s="774"/>
      <c r="S16" s="775"/>
      <c r="T16" s="774"/>
      <c r="U16" s="775"/>
      <c r="V16" s="774"/>
      <c r="W16" s="775"/>
      <c r="X16" s="1813"/>
      <c r="Y16" s="3265"/>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5"/>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65"/>
      <c r="Q18" s="1810"/>
      <c r="R18" s="774"/>
      <c r="S18" s="775"/>
      <c r="T18" s="774"/>
      <c r="U18" s="775"/>
      <c r="V18" s="774"/>
      <c r="W18" s="775"/>
      <c r="X18" s="1813"/>
      <c r="Y18" s="3265"/>
      <c r="Z18" s="1814"/>
      <c r="AA18" s="1811">
        <v>1</v>
      </c>
      <c r="AB18" s="1811">
        <v>1</v>
      </c>
      <c r="AC18" s="1811">
        <v>1</v>
      </c>
    </row>
    <row r="19" spans="1:29" ht="42.75">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5"/>
      <c r="Q19" s="1810" t="str">
        <f>B19</f>
        <v>公共配套设施</v>
      </c>
      <c r="R19" s="774" t="s">
        <v>17</v>
      </c>
      <c r="S19" s="775">
        <f>F19</f>
        <v>100</v>
      </c>
      <c r="T19" s="774" t="s">
        <v>17</v>
      </c>
      <c r="U19" s="775">
        <f>H19</f>
        <v>100</v>
      </c>
      <c r="V19" s="774" t="s">
        <v>17</v>
      </c>
      <c r="W19" s="775">
        <f>J19</f>
        <v>100</v>
      </c>
      <c r="X19" s="1813"/>
      <c r="Y19" s="3265"/>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65"/>
      <c r="Q20" s="1810"/>
      <c r="R20" s="774"/>
      <c r="S20" s="775"/>
      <c r="T20" s="774"/>
      <c r="U20" s="775"/>
      <c r="V20" s="774"/>
      <c r="W20" s="775"/>
      <c r="X20" s="1813"/>
      <c r="Y20" s="3265"/>
      <c r="Z20" s="1814"/>
      <c r="AA20" s="1811">
        <v>1</v>
      </c>
      <c r="AB20" s="1811">
        <v>1</v>
      </c>
      <c r="AC20" s="1811">
        <v>1</v>
      </c>
    </row>
    <row r="21" spans="1:29" ht="28.5">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5"/>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65"/>
      <c r="Q22" s="1810"/>
      <c r="R22" s="774"/>
      <c r="S22" s="775"/>
      <c r="T22" s="774"/>
      <c r="U22" s="775"/>
      <c r="V22" s="774"/>
      <c r="W22" s="775"/>
      <c r="X22" s="1813"/>
      <c r="Y22" s="3265"/>
      <c r="Z22" s="1814"/>
      <c r="AA22" s="1811">
        <v>1</v>
      </c>
      <c r="AB22" s="1811">
        <v>1</v>
      </c>
      <c r="AC22" s="1811">
        <v>1</v>
      </c>
    </row>
    <row r="23" spans="1:29" ht="71.25">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5"/>
      <c r="Q23" s="1810" t="str">
        <f>B23</f>
        <v>环境质量</v>
      </c>
      <c r="R23" s="774" t="s">
        <v>17</v>
      </c>
      <c r="S23" s="775">
        <f>F23</f>
        <v>100</v>
      </c>
      <c r="T23" s="774" t="s">
        <v>17</v>
      </c>
      <c r="U23" s="775">
        <f>H23</f>
        <v>100</v>
      </c>
      <c r="V23" s="774" t="s">
        <v>17</v>
      </c>
      <c r="W23" s="775">
        <f>J23</f>
        <v>100</v>
      </c>
      <c r="X23" s="1813"/>
      <c r="Y23" s="3265"/>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65"/>
      <c r="Q24" s="1810"/>
      <c r="R24" s="774"/>
      <c r="S24" s="775"/>
      <c r="T24" s="774"/>
      <c r="U24" s="775"/>
      <c r="V24" s="774"/>
      <c r="W24" s="775"/>
      <c r="X24" s="1813"/>
      <c r="Y24" s="326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5"/>
      <c r="Q25" s="1810">
        <f>B25</f>
        <v>111</v>
      </c>
      <c r="R25" s="774" t="s">
        <v>17</v>
      </c>
      <c r="S25" s="775">
        <f>F25</f>
        <v>100</v>
      </c>
      <c r="T25" s="774" t="s">
        <v>17</v>
      </c>
      <c r="U25" s="775">
        <f>H25</f>
        <v>100</v>
      </c>
      <c r="V25" s="774" t="s">
        <v>17</v>
      </c>
      <c r="W25" s="775">
        <f>J25</f>
        <v>100</v>
      </c>
      <c r="X25" s="1813"/>
      <c r="Y25" s="326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5"/>
      <c r="Q26" s="1810">
        <f t="shared" ref="Q26:Q40" si="11">B26</f>
        <v>111</v>
      </c>
      <c r="R26" s="774" t="s">
        <v>17</v>
      </c>
      <c r="S26" s="775">
        <f>F26</f>
        <v>100</v>
      </c>
      <c r="T26" s="774" t="s">
        <v>17</v>
      </c>
      <c r="U26" s="775">
        <f>H26</f>
        <v>100</v>
      </c>
      <c r="V26" s="774" t="s">
        <v>17</v>
      </c>
      <c r="W26" s="775">
        <f>J26</f>
        <v>100</v>
      </c>
      <c r="X26" s="1813"/>
      <c r="Y26" s="326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5"/>
      <c r="Q27" s="1795">
        <f t="shared" si="11"/>
        <v>111</v>
      </c>
      <c r="R27" s="770" t="s">
        <v>17</v>
      </c>
      <c r="S27" s="771">
        <f>F27</f>
        <v>100</v>
      </c>
      <c r="T27" s="770" t="s">
        <v>17</v>
      </c>
      <c r="U27" s="771">
        <f>H27</f>
        <v>100</v>
      </c>
      <c r="V27" s="770" t="s">
        <v>17</v>
      </c>
      <c r="W27" s="771">
        <f>J27</f>
        <v>100</v>
      </c>
      <c r="X27" s="772"/>
      <c r="Y27" s="326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5"/>
      <c r="Q28" s="1810">
        <f t="shared" si="11"/>
        <v>111</v>
      </c>
      <c r="R28" s="774" t="s">
        <v>17</v>
      </c>
      <c r="S28" s="775">
        <f t="shared" ref="S28:S40" si="12">F28</f>
        <v>100</v>
      </c>
      <c r="T28" s="774" t="s">
        <v>17</v>
      </c>
      <c r="U28" s="775">
        <f t="shared" ref="U28:U40" si="13">H28</f>
        <v>100</v>
      </c>
      <c r="V28" s="774" t="s">
        <v>17</v>
      </c>
      <c r="W28" s="775">
        <f t="shared" ref="W28:W40" si="14">J28</f>
        <v>100</v>
      </c>
      <c r="X28" s="1813"/>
      <c r="Y28" s="3265"/>
      <c r="Z28" s="1814">
        <f t="shared" ref="Z28:Z40" si="15">Q28</f>
        <v>111</v>
      </c>
      <c r="AA28" s="1811">
        <f t="shared" si="3"/>
        <v>1</v>
      </c>
      <c r="AB28" s="1811">
        <f t="shared" si="4"/>
        <v>1</v>
      </c>
      <c r="AC28" s="1811">
        <f t="shared" si="5"/>
        <v>1</v>
      </c>
    </row>
    <row r="29" spans="1:29" ht="28.5">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90" t="s">
        <v>2561</v>
      </c>
      <c r="Q29" s="1810" t="str">
        <f t="shared" si="11"/>
        <v>建筑类型</v>
      </c>
      <c r="R29" s="774" t="s">
        <v>17</v>
      </c>
      <c r="S29" s="775">
        <f t="shared" si="12"/>
        <v>100</v>
      </c>
      <c r="T29" s="774" t="s">
        <v>17</v>
      </c>
      <c r="U29" s="775">
        <f t="shared" si="13"/>
        <v>100</v>
      </c>
      <c r="V29" s="774" t="s">
        <v>17</v>
      </c>
      <c r="W29" s="775">
        <f t="shared" si="14"/>
        <v>100</v>
      </c>
      <c r="X29" s="1813"/>
      <c r="Y29" s="3269"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9"/>
      <c r="Q30" s="776" t="str">
        <f t="shared" si="11"/>
        <v>项目建筑规模</v>
      </c>
      <c r="R30" s="777" t="s">
        <v>17</v>
      </c>
      <c r="S30" s="778" t="e">
        <f t="shared" si="12"/>
        <v>#N/A</v>
      </c>
      <c r="T30" s="777" t="s">
        <v>17</v>
      </c>
      <c r="U30" s="778" t="e">
        <f t="shared" si="13"/>
        <v>#N/A</v>
      </c>
      <c r="V30" s="777" t="s">
        <v>17</v>
      </c>
      <c r="W30" s="778" t="e">
        <f t="shared" si="14"/>
        <v>#N/A</v>
      </c>
      <c r="X30" s="779"/>
      <c r="Y30" s="3269"/>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9"/>
      <c r="Q31" s="1810" t="str">
        <f t="shared" si="11"/>
        <v>建筑结构</v>
      </c>
      <c r="R31" s="774" t="s">
        <v>17</v>
      </c>
      <c r="S31" s="775">
        <f t="shared" si="12"/>
        <v>100</v>
      </c>
      <c r="T31" s="774" t="s">
        <v>17</v>
      </c>
      <c r="U31" s="775">
        <f t="shared" si="13"/>
        <v>100</v>
      </c>
      <c r="V31" s="774" t="s">
        <v>17</v>
      </c>
      <c r="W31" s="775">
        <f t="shared" si="14"/>
        <v>100</v>
      </c>
      <c r="X31" s="1813"/>
      <c r="Y31" s="3269"/>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9"/>
      <c r="Q32" s="1810" t="str">
        <f t="shared" si="11"/>
        <v>公共部分装修</v>
      </c>
      <c r="R32" s="774" t="s">
        <v>17</v>
      </c>
      <c r="S32" s="775">
        <f t="shared" si="12"/>
        <v>100</v>
      </c>
      <c r="T32" s="774" t="s">
        <v>17</v>
      </c>
      <c r="U32" s="775">
        <f t="shared" si="13"/>
        <v>100</v>
      </c>
      <c r="V32" s="774" t="s">
        <v>17</v>
      </c>
      <c r="W32" s="775">
        <f t="shared" si="14"/>
        <v>100</v>
      </c>
      <c r="X32" s="1813"/>
      <c r="Y32" s="3269"/>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9"/>
      <c r="Q33" s="1810" t="str">
        <f t="shared" si="11"/>
        <v>成新度</v>
      </c>
      <c r="R33" s="774" t="s">
        <v>17</v>
      </c>
      <c r="S33" s="775" t="e">
        <f t="shared" si="12"/>
        <v>#N/A</v>
      </c>
      <c r="T33" s="774" t="s">
        <v>17</v>
      </c>
      <c r="U33" s="775" t="e">
        <f t="shared" si="13"/>
        <v>#N/A</v>
      </c>
      <c r="V33" s="774" t="s">
        <v>17</v>
      </c>
      <c r="W33" s="775" t="e">
        <f t="shared" si="14"/>
        <v>#N/A</v>
      </c>
      <c r="X33" s="1813"/>
      <c r="Y33" s="3269"/>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9"/>
      <c r="Q34" s="1795" t="str">
        <f t="shared" si="11"/>
        <v>物业管理</v>
      </c>
      <c r="R34" s="770" t="s">
        <v>17</v>
      </c>
      <c r="S34" s="771">
        <f t="shared" si="12"/>
        <v>100</v>
      </c>
      <c r="T34" s="770" t="s">
        <v>17</v>
      </c>
      <c r="U34" s="771">
        <f t="shared" si="13"/>
        <v>100</v>
      </c>
      <c r="V34" s="770" t="s">
        <v>17</v>
      </c>
      <c r="W34" s="771">
        <f t="shared" si="14"/>
        <v>100</v>
      </c>
      <c r="X34" s="772"/>
      <c r="Y34" s="326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9" t="s">
        <v>2561</v>
      </c>
      <c r="Q35" s="1810" t="str">
        <f t="shared" si="11"/>
        <v>市政基础设施</v>
      </c>
      <c r="R35" s="774" t="s">
        <v>17</v>
      </c>
      <c r="S35" s="775">
        <f t="shared" si="12"/>
        <v>100</v>
      </c>
      <c r="T35" s="774" t="s">
        <v>17</v>
      </c>
      <c r="U35" s="775">
        <f t="shared" si="13"/>
        <v>100</v>
      </c>
      <c r="V35" s="774" t="s">
        <v>17</v>
      </c>
      <c r="W35" s="775">
        <f t="shared" si="14"/>
        <v>100</v>
      </c>
      <c r="X35" s="1813"/>
      <c r="Y35" s="3269"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9"/>
      <c r="Q36" s="1810" t="str">
        <f t="shared" si="11"/>
        <v>内部装修</v>
      </c>
      <c r="R36" s="774" t="s">
        <v>17</v>
      </c>
      <c r="S36" s="775">
        <f t="shared" si="12"/>
        <v>100</v>
      </c>
      <c r="T36" s="774" t="s">
        <v>17</v>
      </c>
      <c r="U36" s="775">
        <f t="shared" si="13"/>
        <v>100</v>
      </c>
      <c r="V36" s="774" t="s">
        <v>17</v>
      </c>
      <c r="W36" s="775">
        <f t="shared" si="14"/>
        <v>100</v>
      </c>
      <c r="X36" s="1813"/>
      <c r="Y36" s="3269"/>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9"/>
      <c r="Q37" s="1810" t="str">
        <f t="shared" si="11"/>
        <v>内部装修状况</v>
      </c>
      <c r="R37" s="774" t="s">
        <v>17</v>
      </c>
      <c r="S37" s="775">
        <f t="shared" si="12"/>
        <v>100</v>
      </c>
      <c r="T37" s="774" t="s">
        <v>17</v>
      </c>
      <c r="U37" s="775">
        <f t="shared" si="13"/>
        <v>100</v>
      </c>
      <c r="V37" s="774" t="s">
        <v>17</v>
      </c>
      <c r="W37" s="775">
        <f t="shared" si="14"/>
        <v>100</v>
      </c>
      <c r="X37" s="1813"/>
      <c r="Y37" s="326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9"/>
      <c r="Q38" s="776">
        <f t="shared" si="11"/>
        <v>111</v>
      </c>
      <c r="R38" s="777" t="s">
        <v>17</v>
      </c>
      <c r="S38" s="778">
        <f t="shared" si="12"/>
        <v>100</v>
      </c>
      <c r="T38" s="777" t="s">
        <v>17</v>
      </c>
      <c r="U38" s="778">
        <f t="shared" si="13"/>
        <v>100</v>
      </c>
      <c r="V38" s="777" t="s">
        <v>17</v>
      </c>
      <c r="W38" s="778">
        <f t="shared" si="14"/>
        <v>100</v>
      </c>
      <c r="X38" s="779"/>
      <c r="Y38" s="326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9"/>
      <c r="Q39" s="1810">
        <f t="shared" si="11"/>
        <v>111</v>
      </c>
      <c r="R39" s="774" t="s">
        <v>17</v>
      </c>
      <c r="S39" s="775">
        <f t="shared" si="12"/>
        <v>100</v>
      </c>
      <c r="T39" s="774" t="s">
        <v>17</v>
      </c>
      <c r="U39" s="775">
        <f t="shared" si="13"/>
        <v>100</v>
      </c>
      <c r="V39" s="774" t="s">
        <v>17</v>
      </c>
      <c r="W39" s="775">
        <f t="shared" si="14"/>
        <v>100</v>
      </c>
      <c r="X39" s="1813"/>
      <c r="Y39" s="3269"/>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0"/>
      <c r="Q40" s="1810">
        <f t="shared" si="11"/>
        <v>111</v>
      </c>
      <c r="R40" s="774" t="s">
        <v>17</v>
      </c>
      <c r="S40" s="775">
        <f t="shared" si="12"/>
        <v>100</v>
      </c>
      <c r="T40" s="774" t="s">
        <v>17</v>
      </c>
      <c r="U40" s="775">
        <f t="shared" si="13"/>
        <v>100</v>
      </c>
      <c r="V40" s="774" t="s">
        <v>17</v>
      </c>
      <c r="W40" s="775">
        <f t="shared" si="14"/>
        <v>100</v>
      </c>
      <c r="X40" s="1813"/>
      <c r="Y40" s="3270"/>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62" t="str">
        <f>A41</f>
        <v>成交单价（元/平方米）</v>
      </c>
      <c r="Q41" s="3262"/>
      <c r="R41" s="3263">
        <f>E41</f>
        <v>0</v>
      </c>
      <c r="S41" s="3263"/>
      <c r="T41" s="3263">
        <f>G41</f>
        <v>0</v>
      </c>
      <c r="U41" s="3263"/>
      <c r="V41" s="3263">
        <f>I41</f>
        <v>0</v>
      </c>
      <c r="W41" s="326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6"/>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0" t="s">
        <v>2545</v>
      </c>
      <c r="Q7" s="3258"/>
      <c r="R7" s="770" t="s">
        <v>17</v>
      </c>
      <c r="S7" s="771">
        <f t="shared" ref="S7:S14" si="0">F7</f>
        <v>0</v>
      </c>
      <c r="T7" s="770" t="s">
        <v>17</v>
      </c>
      <c r="U7" s="771">
        <f t="shared" ref="U7:U14" si="1">H7</f>
        <v>0</v>
      </c>
      <c r="V7" s="770" t="s">
        <v>17</v>
      </c>
      <c r="W7" s="771">
        <f t="shared" ref="W7:W14" si="2">J7</f>
        <v>0</v>
      </c>
      <c r="X7" s="772"/>
      <c r="Y7" s="3230" t="s">
        <v>2545</v>
      </c>
      <c r="Z7" s="323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2" t="s">
        <v>2551</v>
      </c>
      <c r="Q9" s="1795" t="str">
        <f t="shared" ref="Q9:Q14" si="6">B9</f>
        <v>用途</v>
      </c>
      <c r="R9" s="770" t="s">
        <v>17</v>
      </c>
      <c r="S9" s="771">
        <f t="shared" si="0"/>
        <v>100</v>
      </c>
      <c r="T9" s="770" t="s">
        <v>17</v>
      </c>
      <c r="U9" s="771">
        <f t="shared" si="1"/>
        <v>100</v>
      </c>
      <c r="V9" s="770" t="s">
        <v>17</v>
      </c>
      <c r="W9" s="771">
        <f t="shared" si="2"/>
        <v>100</v>
      </c>
      <c r="X9" s="772"/>
      <c r="Y9" s="3077"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2"/>
      <c r="Q11" s="1795">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4" t="s">
        <v>2556</v>
      </c>
      <c r="Q14" s="1810" t="str">
        <f t="shared" si="6"/>
        <v>交通便捷度</v>
      </c>
      <c r="R14" s="774" t="s">
        <v>17</v>
      </c>
      <c r="S14" s="775">
        <f t="shared" si="0"/>
        <v>100</v>
      </c>
      <c r="T14" s="774" t="s">
        <v>17</v>
      </c>
      <c r="U14" s="775">
        <f t="shared" si="1"/>
        <v>100</v>
      </c>
      <c r="V14" s="774" t="s">
        <v>17</v>
      </c>
      <c r="W14" s="775">
        <f t="shared" si="2"/>
        <v>100</v>
      </c>
      <c r="X14" s="1813"/>
      <c r="Y14" s="3264"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65"/>
      <c r="Q15" s="1810"/>
      <c r="R15" s="774"/>
      <c r="S15" s="775"/>
      <c r="T15" s="774"/>
      <c r="U15" s="775"/>
      <c r="V15" s="774"/>
      <c r="W15" s="775"/>
      <c r="X15" s="1813"/>
      <c r="Y15" s="3265"/>
      <c r="Z15" s="1814"/>
      <c r="AA15" s="1811">
        <v>1</v>
      </c>
      <c r="AB15" s="1811">
        <v>1</v>
      </c>
      <c r="AC15" s="1811">
        <v>1</v>
      </c>
    </row>
    <row r="16" spans="1:29" ht="42.75">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5"/>
      <c r="Q16" s="1810" t="str">
        <f>B16</f>
        <v>公共配套设施</v>
      </c>
      <c r="R16" s="774" t="s">
        <v>17</v>
      </c>
      <c r="S16" s="775">
        <f>F16</f>
        <v>100</v>
      </c>
      <c r="T16" s="774" t="s">
        <v>17</v>
      </c>
      <c r="U16" s="775">
        <f>H16</f>
        <v>100</v>
      </c>
      <c r="V16" s="774" t="s">
        <v>17</v>
      </c>
      <c r="W16" s="775">
        <f>J16</f>
        <v>100</v>
      </c>
      <c r="X16" s="1813"/>
      <c r="Y16" s="3265"/>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65"/>
      <c r="Q17" s="1810"/>
      <c r="R17" s="774"/>
      <c r="S17" s="775"/>
      <c r="T17" s="774"/>
      <c r="U17" s="775"/>
      <c r="V17" s="774"/>
      <c r="W17" s="775"/>
      <c r="X17" s="1813"/>
      <c r="Y17" s="3265"/>
      <c r="Z17" s="1814"/>
      <c r="AA17" s="1811">
        <v>1</v>
      </c>
      <c r="AB17" s="1811">
        <v>1</v>
      </c>
      <c r="AC17" s="1811">
        <v>1</v>
      </c>
    </row>
    <row r="18" spans="1:29" ht="28.5">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5"/>
      <c r="Q18" s="1810" t="str">
        <f>B18</f>
        <v>基础设施水平</v>
      </c>
      <c r="R18" s="774" t="s">
        <v>17</v>
      </c>
      <c r="S18" s="775">
        <f>F18</f>
        <v>100</v>
      </c>
      <c r="T18" s="774" t="s">
        <v>17</v>
      </c>
      <c r="U18" s="775">
        <f>H18</f>
        <v>100</v>
      </c>
      <c r="V18" s="774" t="s">
        <v>17</v>
      </c>
      <c r="W18" s="775">
        <f>J18</f>
        <v>100</v>
      </c>
      <c r="X18" s="1813"/>
      <c r="Y18" s="3265"/>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65"/>
      <c r="Q19" s="1810"/>
      <c r="R19" s="774"/>
      <c r="S19" s="775"/>
      <c r="T19" s="774"/>
      <c r="U19" s="775"/>
      <c r="V19" s="774"/>
      <c r="W19" s="775"/>
      <c r="X19" s="1813"/>
      <c r="Y19" s="3265"/>
      <c r="Z19" s="1814"/>
      <c r="AA19" s="1811">
        <v>1</v>
      </c>
      <c r="AB19" s="1811">
        <v>1</v>
      </c>
      <c r="AC19" s="1811">
        <v>1</v>
      </c>
    </row>
    <row r="20" spans="1:29" ht="57">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5"/>
      <c r="Q20" s="1810" t="str">
        <f>B20</f>
        <v>自然及人文环境</v>
      </c>
      <c r="R20" s="774" t="s">
        <v>17</v>
      </c>
      <c r="S20" s="775">
        <f>F20</f>
        <v>100</v>
      </c>
      <c r="T20" s="774" t="s">
        <v>17</v>
      </c>
      <c r="U20" s="775">
        <f>H20</f>
        <v>100</v>
      </c>
      <c r="V20" s="774" t="s">
        <v>17</v>
      </c>
      <c r="W20" s="775">
        <f>J20</f>
        <v>100</v>
      </c>
      <c r="X20" s="1813"/>
      <c r="Y20" s="326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65"/>
      <c r="Q21" s="1810"/>
      <c r="R21" s="774"/>
      <c r="S21" s="775"/>
      <c r="T21" s="774"/>
      <c r="U21" s="775"/>
      <c r="V21" s="774"/>
      <c r="W21" s="775"/>
      <c r="X21" s="1813"/>
      <c r="Y21" s="3265"/>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5"/>
      <c r="Q22" s="1810" t="str">
        <f>B22</f>
        <v>楼层</v>
      </c>
      <c r="R22" s="774" t="s">
        <v>17</v>
      </c>
      <c r="S22" s="775">
        <f>F22</f>
        <v>100</v>
      </c>
      <c r="T22" s="774" t="s">
        <v>17</v>
      </c>
      <c r="U22" s="775">
        <f>H22</f>
        <v>100</v>
      </c>
      <c r="V22" s="774" t="s">
        <v>17</v>
      </c>
      <c r="W22" s="775">
        <f>J22</f>
        <v>100</v>
      </c>
      <c r="X22" s="1813"/>
      <c r="Y22" s="326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5"/>
      <c r="Q23" s="1810">
        <f>B23</f>
        <v>111</v>
      </c>
      <c r="R23" s="774" t="s">
        <v>17</v>
      </c>
      <c r="S23" s="775">
        <f>F23</f>
        <v>100</v>
      </c>
      <c r="T23" s="774" t="s">
        <v>17</v>
      </c>
      <c r="U23" s="775">
        <f>H23</f>
        <v>100</v>
      </c>
      <c r="V23" s="774" t="s">
        <v>17</v>
      </c>
      <c r="W23" s="775">
        <f>J23</f>
        <v>100</v>
      </c>
      <c r="X23" s="1813"/>
      <c r="Y23" s="326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5"/>
      <c r="Q24" s="1810">
        <f t="shared" ref="Q24:Q36" si="11">B24</f>
        <v>111</v>
      </c>
      <c r="R24" s="774" t="s">
        <v>17</v>
      </c>
      <c r="S24" s="775">
        <f>F24</f>
        <v>100</v>
      </c>
      <c r="T24" s="774" t="s">
        <v>17</v>
      </c>
      <c r="U24" s="775">
        <f>H24</f>
        <v>100</v>
      </c>
      <c r="V24" s="774" t="s">
        <v>17</v>
      </c>
      <c r="W24" s="775">
        <f>J24</f>
        <v>100</v>
      </c>
      <c r="X24" s="1813"/>
      <c r="Y24" s="326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5"/>
      <c r="Q25" s="1795">
        <f t="shared" si="11"/>
        <v>111</v>
      </c>
      <c r="R25" s="770" t="s">
        <v>17</v>
      </c>
      <c r="S25" s="771">
        <f>F25</f>
        <v>100</v>
      </c>
      <c r="T25" s="770" t="s">
        <v>17</v>
      </c>
      <c r="U25" s="771">
        <f>H25</f>
        <v>100</v>
      </c>
      <c r="V25" s="770" t="s">
        <v>17</v>
      </c>
      <c r="W25" s="771">
        <f>J25</f>
        <v>100</v>
      </c>
      <c r="X25" s="772"/>
      <c r="Y25" s="3265"/>
      <c r="Z25" s="55">
        <f>Q25</f>
        <v>111</v>
      </c>
      <c r="AA25" s="1811">
        <f>D25/F25</f>
        <v>1</v>
      </c>
      <c r="AB25" s="1811">
        <f>D25/H25</f>
        <v>1</v>
      </c>
      <c r="AC25" s="1811">
        <f>D25/J25</f>
        <v>1</v>
      </c>
    </row>
    <row r="26" spans="1:29" ht="28.5">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0"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69"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9"/>
      <c r="Q27" s="776" t="str">
        <f t="shared" si="11"/>
        <v>项目停车位配比</v>
      </c>
      <c r="R27" s="777" t="s">
        <v>17</v>
      </c>
      <c r="S27" s="778">
        <f t="shared" si="12"/>
        <v>100</v>
      </c>
      <c r="T27" s="777" t="s">
        <v>17</v>
      </c>
      <c r="U27" s="778">
        <f t="shared" si="13"/>
        <v>100</v>
      </c>
      <c r="V27" s="777" t="s">
        <v>17</v>
      </c>
      <c r="W27" s="778">
        <f t="shared" si="14"/>
        <v>100</v>
      </c>
      <c r="X27" s="779"/>
      <c r="Y27" s="3269"/>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9"/>
      <c r="Q28" s="1810" t="str">
        <f t="shared" si="11"/>
        <v>公共部分装修</v>
      </c>
      <c r="R28" s="774" t="s">
        <v>17</v>
      </c>
      <c r="S28" s="775">
        <f t="shared" si="12"/>
        <v>100</v>
      </c>
      <c r="T28" s="774" t="s">
        <v>17</v>
      </c>
      <c r="U28" s="775">
        <f t="shared" si="13"/>
        <v>100</v>
      </c>
      <c r="V28" s="774" t="s">
        <v>17</v>
      </c>
      <c r="W28" s="775">
        <f t="shared" si="14"/>
        <v>100</v>
      </c>
      <c r="X28" s="1813"/>
      <c r="Y28" s="3269"/>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9"/>
      <c r="Q29" s="1810" t="str">
        <f t="shared" si="11"/>
        <v>成新率</v>
      </c>
      <c r="R29" s="774" t="s">
        <v>17</v>
      </c>
      <c r="S29" s="775" t="e">
        <f t="shared" si="12"/>
        <v>#N/A</v>
      </c>
      <c r="T29" s="774" t="s">
        <v>17</v>
      </c>
      <c r="U29" s="775" t="e">
        <f t="shared" si="13"/>
        <v>#N/A</v>
      </c>
      <c r="V29" s="774" t="s">
        <v>17</v>
      </c>
      <c r="W29" s="775" t="e">
        <f t="shared" si="14"/>
        <v>#N/A</v>
      </c>
      <c r="X29" s="1813"/>
      <c r="Y29" s="3269"/>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9"/>
      <c r="Q30" s="1810" t="str">
        <f t="shared" si="11"/>
        <v>物业等级</v>
      </c>
      <c r="R30" s="774" t="s">
        <v>17</v>
      </c>
      <c r="S30" s="775">
        <f t="shared" si="12"/>
        <v>100</v>
      </c>
      <c r="T30" s="774" t="s">
        <v>17</v>
      </c>
      <c r="U30" s="775">
        <f t="shared" si="13"/>
        <v>100</v>
      </c>
      <c r="V30" s="774" t="s">
        <v>17</v>
      </c>
      <c r="W30" s="775">
        <f t="shared" si="14"/>
        <v>100</v>
      </c>
      <c r="X30" s="1813"/>
      <c r="Y30" s="3269"/>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9"/>
      <c r="Q31" s="1795" t="str">
        <f t="shared" si="11"/>
        <v>停车位面积</v>
      </c>
      <c r="R31" s="770" t="s">
        <v>17</v>
      </c>
      <c r="S31" s="771" t="e">
        <f t="shared" si="12"/>
        <v>#N/A</v>
      </c>
      <c r="T31" s="770" t="s">
        <v>17</v>
      </c>
      <c r="U31" s="771" t="e">
        <f t="shared" si="13"/>
        <v>#N/A</v>
      </c>
      <c r="V31" s="770" t="s">
        <v>17</v>
      </c>
      <c r="W31" s="771" t="e">
        <f t="shared" si="14"/>
        <v>#N/A</v>
      </c>
      <c r="X31" s="772"/>
      <c r="Y31" s="326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9" t="s">
        <v>2561</v>
      </c>
      <c r="Q32" s="1810" t="str">
        <f t="shared" si="11"/>
        <v>车位类型</v>
      </c>
      <c r="R32" s="774" t="s">
        <v>17</v>
      </c>
      <c r="S32" s="775">
        <f t="shared" si="12"/>
        <v>100</v>
      </c>
      <c r="T32" s="774" t="s">
        <v>17</v>
      </c>
      <c r="U32" s="775">
        <f t="shared" si="13"/>
        <v>100</v>
      </c>
      <c r="V32" s="774" t="s">
        <v>17</v>
      </c>
      <c r="W32" s="775">
        <f t="shared" si="14"/>
        <v>100</v>
      </c>
      <c r="X32" s="1813"/>
      <c r="Y32" s="3269"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9"/>
      <c r="Q33" s="1810" t="str">
        <f t="shared" si="11"/>
        <v>是否直接入户</v>
      </c>
      <c r="R33" s="774" t="s">
        <v>17</v>
      </c>
      <c r="S33" s="775">
        <f t="shared" si="12"/>
        <v>100</v>
      </c>
      <c r="T33" s="774" t="s">
        <v>17</v>
      </c>
      <c r="U33" s="775">
        <f t="shared" si="13"/>
        <v>100</v>
      </c>
      <c r="V33" s="774" t="s">
        <v>17</v>
      </c>
      <c r="W33" s="775">
        <f t="shared" si="14"/>
        <v>100</v>
      </c>
      <c r="X33" s="1813"/>
      <c r="Y33" s="326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9"/>
      <c r="Q34" s="1810">
        <f t="shared" si="11"/>
        <v>111</v>
      </c>
      <c r="R34" s="774" t="s">
        <v>17</v>
      </c>
      <c r="S34" s="775">
        <f t="shared" si="12"/>
        <v>100</v>
      </c>
      <c r="T34" s="774" t="s">
        <v>17</v>
      </c>
      <c r="U34" s="775">
        <f t="shared" si="13"/>
        <v>100</v>
      </c>
      <c r="V34" s="774" t="s">
        <v>17</v>
      </c>
      <c r="W34" s="775">
        <f t="shared" si="14"/>
        <v>100</v>
      </c>
      <c r="X34" s="1813"/>
      <c r="Y34" s="326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9"/>
      <c r="Q35" s="776">
        <f t="shared" si="11"/>
        <v>111</v>
      </c>
      <c r="R35" s="777" t="s">
        <v>17</v>
      </c>
      <c r="S35" s="778">
        <f t="shared" si="12"/>
        <v>100</v>
      </c>
      <c r="T35" s="777" t="s">
        <v>17</v>
      </c>
      <c r="U35" s="778">
        <f t="shared" si="13"/>
        <v>100</v>
      </c>
      <c r="V35" s="777" t="s">
        <v>17</v>
      </c>
      <c r="W35" s="778">
        <f t="shared" si="14"/>
        <v>100</v>
      </c>
      <c r="X35" s="779"/>
      <c r="Y35" s="326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9"/>
      <c r="Q36" s="1810">
        <f t="shared" si="11"/>
        <v>111</v>
      </c>
      <c r="R36" s="774" t="s">
        <v>17</v>
      </c>
      <c r="S36" s="775">
        <f t="shared" si="12"/>
        <v>100</v>
      </c>
      <c r="T36" s="774" t="s">
        <v>17</v>
      </c>
      <c r="U36" s="775">
        <f t="shared" si="13"/>
        <v>100</v>
      </c>
      <c r="V36" s="774" t="s">
        <v>17</v>
      </c>
      <c r="W36" s="775">
        <f t="shared" si="14"/>
        <v>100</v>
      </c>
      <c r="X36" s="1813"/>
      <c r="Y36" s="3269"/>
      <c r="Z36" s="1814">
        <f t="shared" si="15"/>
        <v>111</v>
      </c>
      <c r="AA36" s="1811">
        <f t="shared" si="3"/>
        <v>1</v>
      </c>
      <c r="AB36" s="1811">
        <f t="shared" si="4"/>
        <v>1</v>
      </c>
      <c r="AC36" s="1811">
        <f t="shared" si="5"/>
        <v>1</v>
      </c>
    </row>
    <row r="37" spans="1:29" ht="15">
      <c r="A37" s="479" t="s">
        <v>2716</v>
      </c>
      <c r="B37" s="2697" t="s">
        <v>2717</v>
      </c>
      <c r="C37" s="1407" t="s">
        <v>1</v>
      </c>
      <c r="D37" s="1408"/>
      <c r="E37" s="1409"/>
      <c r="F37" s="1410"/>
      <c r="G37" s="1411"/>
      <c r="H37" s="1412"/>
      <c r="I37" s="1409"/>
      <c r="J37" s="1412"/>
      <c r="K37" s="619"/>
      <c r="L37" s="1143"/>
      <c r="M37" s="1144"/>
      <c r="N37" s="1131"/>
      <c r="O37" s="1144"/>
      <c r="P37" s="3262" t="str">
        <f>A37</f>
        <v>成交单价</v>
      </c>
      <c r="Q37" s="3262"/>
      <c r="R37" s="3263">
        <f>E37</f>
        <v>0</v>
      </c>
      <c r="S37" s="3263"/>
      <c r="T37" s="3263">
        <f>G37</f>
        <v>0</v>
      </c>
      <c r="U37" s="3263"/>
      <c r="V37" s="3263">
        <f>I37</f>
        <v>0</v>
      </c>
      <c r="W37" s="326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59" t="str">
        <f>A39</f>
        <v>估价对象XX用房的比较价值（楼面单价，元/平方米）</v>
      </c>
      <c r="Q39" s="3260"/>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0" t="s">
        <v>2545</v>
      </c>
      <c r="Q7" s="3258"/>
      <c r="R7" s="770" t="s">
        <v>17</v>
      </c>
      <c r="S7" s="771">
        <f t="shared" ref="S7:S14" si="0">F7</f>
        <v>0</v>
      </c>
      <c r="T7" s="770" t="s">
        <v>17</v>
      </c>
      <c r="U7" s="771">
        <f t="shared" ref="U7:U14" si="1">H7</f>
        <v>0</v>
      </c>
      <c r="V7" s="770" t="s">
        <v>17</v>
      </c>
      <c r="W7" s="771">
        <f t="shared" ref="W7:W14" si="2">J7</f>
        <v>0</v>
      </c>
      <c r="X7" s="772"/>
      <c r="Y7" s="3230" t="s">
        <v>2545</v>
      </c>
      <c r="Z7" s="323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2" t="s">
        <v>2551</v>
      </c>
      <c r="Q9" s="1795" t="str">
        <f t="shared" ref="Q9:Q14" si="6">B9</f>
        <v>用途</v>
      </c>
      <c r="R9" s="770" t="s">
        <v>17</v>
      </c>
      <c r="S9" s="771">
        <f t="shared" si="0"/>
        <v>100</v>
      </c>
      <c r="T9" s="770" t="s">
        <v>17</v>
      </c>
      <c r="U9" s="771">
        <f t="shared" si="1"/>
        <v>100</v>
      </c>
      <c r="V9" s="770" t="s">
        <v>17</v>
      </c>
      <c r="W9" s="771">
        <f t="shared" si="2"/>
        <v>100</v>
      </c>
      <c r="X9" s="772"/>
      <c r="Y9" s="3077"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2"/>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2"/>
      <c r="Q11" s="1795">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4" t="s">
        <v>2556</v>
      </c>
      <c r="Q14" s="1810" t="str">
        <f t="shared" si="6"/>
        <v>交通便捷度</v>
      </c>
      <c r="R14" s="774" t="s">
        <v>17</v>
      </c>
      <c r="S14" s="775">
        <f t="shared" si="0"/>
        <v>100</v>
      </c>
      <c r="T14" s="774" t="s">
        <v>17</v>
      </c>
      <c r="U14" s="775">
        <f t="shared" si="1"/>
        <v>100</v>
      </c>
      <c r="V14" s="774" t="s">
        <v>17</v>
      </c>
      <c r="W14" s="775">
        <f t="shared" si="2"/>
        <v>100</v>
      </c>
      <c r="X14" s="1813"/>
      <c r="Y14" s="3264"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65"/>
      <c r="Q15" s="1810"/>
      <c r="R15" s="774"/>
      <c r="S15" s="775"/>
      <c r="T15" s="774"/>
      <c r="U15" s="775"/>
      <c r="V15" s="774"/>
      <c r="W15" s="775"/>
      <c r="X15" s="1813"/>
      <c r="Y15" s="3265"/>
      <c r="Z15" s="1814"/>
      <c r="AA15" s="1811">
        <v>1</v>
      </c>
      <c r="AB15" s="1811">
        <v>1</v>
      </c>
      <c r="AC15" s="1811">
        <v>1</v>
      </c>
    </row>
    <row r="16" spans="1:29" ht="42.75">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5"/>
      <c r="Q16" s="1810" t="str">
        <f>B16</f>
        <v>公共配套设施</v>
      </c>
      <c r="R16" s="774" t="s">
        <v>17</v>
      </c>
      <c r="S16" s="775">
        <f>F16</f>
        <v>100</v>
      </c>
      <c r="T16" s="774" t="s">
        <v>17</v>
      </c>
      <c r="U16" s="775">
        <f>H16</f>
        <v>100</v>
      </c>
      <c r="V16" s="774" t="s">
        <v>17</v>
      </c>
      <c r="W16" s="775">
        <f>J16</f>
        <v>100</v>
      </c>
      <c r="X16" s="1813"/>
      <c r="Y16" s="3265"/>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65"/>
      <c r="Q17" s="1810"/>
      <c r="R17" s="774"/>
      <c r="S17" s="775"/>
      <c r="T17" s="774"/>
      <c r="U17" s="775"/>
      <c r="V17" s="774"/>
      <c r="W17" s="775"/>
      <c r="X17" s="1813"/>
      <c r="Y17" s="3265"/>
      <c r="Z17" s="1814"/>
      <c r="AA17" s="1811">
        <v>1</v>
      </c>
      <c r="AB17" s="1811">
        <v>1</v>
      </c>
      <c r="AC17" s="1811">
        <v>1</v>
      </c>
    </row>
    <row r="18" spans="1:29" ht="28.5">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5"/>
      <c r="Q18" s="1810" t="str">
        <f>B18</f>
        <v>基础设施水平</v>
      </c>
      <c r="R18" s="774" t="s">
        <v>17</v>
      </c>
      <c r="S18" s="775">
        <f>F18</f>
        <v>100</v>
      </c>
      <c r="T18" s="774" t="s">
        <v>17</v>
      </c>
      <c r="U18" s="775">
        <f>H18</f>
        <v>100</v>
      </c>
      <c r="V18" s="774" t="s">
        <v>17</v>
      </c>
      <c r="W18" s="775">
        <f>J18</f>
        <v>100</v>
      </c>
      <c r="X18" s="1813"/>
      <c r="Y18" s="3265"/>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65"/>
      <c r="Q19" s="1810"/>
      <c r="R19" s="774"/>
      <c r="S19" s="775"/>
      <c r="T19" s="774"/>
      <c r="U19" s="775"/>
      <c r="V19" s="774"/>
      <c r="W19" s="775"/>
      <c r="X19" s="1813"/>
      <c r="Y19" s="3265"/>
      <c r="Z19" s="1814"/>
      <c r="AA19" s="1811">
        <v>1</v>
      </c>
      <c r="AB19" s="1811">
        <v>1</v>
      </c>
      <c r="AC19" s="1811">
        <v>1</v>
      </c>
    </row>
    <row r="20" spans="1:29" ht="57">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5"/>
      <c r="Q20" s="1810" t="str">
        <f>B20</f>
        <v>自然及人文环境</v>
      </c>
      <c r="R20" s="774" t="s">
        <v>17</v>
      </c>
      <c r="S20" s="775">
        <f>F20</f>
        <v>100</v>
      </c>
      <c r="T20" s="774" t="s">
        <v>17</v>
      </c>
      <c r="U20" s="775">
        <f>H20</f>
        <v>100</v>
      </c>
      <c r="V20" s="774" t="s">
        <v>17</v>
      </c>
      <c r="W20" s="775">
        <f>J20</f>
        <v>100</v>
      </c>
      <c r="X20" s="1813"/>
      <c r="Y20" s="326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65"/>
      <c r="Q21" s="1810"/>
      <c r="R21" s="774"/>
      <c r="S21" s="775"/>
      <c r="T21" s="774"/>
      <c r="U21" s="775"/>
      <c r="V21" s="774"/>
      <c r="W21" s="775"/>
      <c r="X21" s="1813"/>
      <c r="Y21" s="3265"/>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5"/>
      <c r="Q22" s="1810" t="str">
        <f>B22</f>
        <v>楼层</v>
      </c>
      <c r="R22" s="774" t="s">
        <v>17</v>
      </c>
      <c r="S22" s="775">
        <f>F22</f>
        <v>100</v>
      </c>
      <c r="T22" s="774" t="s">
        <v>17</v>
      </c>
      <c r="U22" s="775">
        <f>H22</f>
        <v>100</v>
      </c>
      <c r="V22" s="774" t="s">
        <v>17</v>
      </c>
      <c r="W22" s="775">
        <f>J22</f>
        <v>100</v>
      </c>
      <c r="X22" s="1813"/>
      <c r="Y22" s="3265"/>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5"/>
      <c r="Q23" s="1810">
        <f>B23</f>
        <v>111</v>
      </c>
      <c r="R23" s="774" t="s">
        <v>17</v>
      </c>
      <c r="S23" s="775">
        <f>F23</f>
        <v>100</v>
      </c>
      <c r="T23" s="774" t="s">
        <v>17</v>
      </c>
      <c r="U23" s="775">
        <f>H23</f>
        <v>100</v>
      </c>
      <c r="V23" s="774" t="s">
        <v>17</v>
      </c>
      <c r="W23" s="775">
        <f>J23</f>
        <v>100</v>
      </c>
      <c r="X23" s="1813"/>
      <c r="Y23" s="3265"/>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5"/>
      <c r="Q24" s="1810">
        <f t="shared" ref="Q24:Q34" si="11">B24</f>
        <v>111</v>
      </c>
      <c r="R24" s="774" t="s">
        <v>17</v>
      </c>
      <c r="S24" s="775">
        <f>F24</f>
        <v>100</v>
      </c>
      <c r="T24" s="774" t="s">
        <v>17</v>
      </c>
      <c r="U24" s="775">
        <f>H24</f>
        <v>100</v>
      </c>
      <c r="V24" s="774" t="s">
        <v>17</v>
      </c>
      <c r="W24" s="775">
        <f>J24</f>
        <v>100</v>
      </c>
      <c r="X24" s="1813"/>
      <c r="Y24" s="3265"/>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65"/>
      <c r="Q25" s="1795">
        <f t="shared" si="11"/>
        <v>111</v>
      </c>
      <c r="R25" s="770" t="s">
        <v>17</v>
      </c>
      <c r="S25" s="771">
        <f>F25</f>
        <v>100</v>
      </c>
      <c r="T25" s="770" t="s">
        <v>17</v>
      </c>
      <c r="U25" s="771">
        <f>H25</f>
        <v>100</v>
      </c>
      <c r="V25" s="770" t="s">
        <v>17</v>
      </c>
      <c r="W25" s="771">
        <f>J25</f>
        <v>100</v>
      </c>
      <c r="X25" s="772"/>
      <c r="Y25" s="3265"/>
      <c r="Z25" s="55">
        <f>Q25</f>
        <v>111</v>
      </c>
      <c r="AA25" s="1811">
        <f>D25/F25</f>
        <v>1</v>
      </c>
      <c r="AB25" s="1811">
        <f>D25/H25</f>
        <v>1</v>
      </c>
      <c r="AC25" s="1811">
        <f>D25/J25</f>
        <v>1</v>
      </c>
    </row>
    <row r="26" spans="1:29" ht="28.5">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90"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69"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9"/>
      <c r="Q27" s="776" t="str">
        <f t="shared" si="11"/>
        <v>成新率</v>
      </c>
      <c r="R27" s="777" t="s">
        <v>17</v>
      </c>
      <c r="S27" s="778" t="e">
        <f t="shared" si="12"/>
        <v>#N/A</v>
      </c>
      <c r="T27" s="777" t="s">
        <v>17</v>
      </c>
      <c r="U27" s="778" t="e">
        <f t="shared" si="13"/>
        <v>#N/A</v>
      </c>
      <c r="V27" s="777" t="s">
        <v>17</v>
      </c>
      <c r="W27" s="778" t="e">
        <f t="shared" si="14"/>
        <v>#N/A</v>
      </c>
      <c r="X27" s="779"/>
      <c r="Y27" s="3269"/>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9"/>
      <c r="Q28" s="1810" t="str">
        <f t="shared" si="11"/>
        <v>物业等级</v>
      </c>
      <c r="R28" s="774" t="s">
        <v>17</v>
      </c>
      <c r="S28" s="775">
        <f t="shared" si="12"/>
        <v>100</v>
      </c>
      <c r="T28" s="774" t="s">
        <v>17</v>
      </c>
      <c r="U28" s="775">
        <f t="shared" si="13"/>
        <v>100</v>
      </c>
      <c r="V28" s="774" t="s">
        <v>17</v>
      </c>
      <c r="W28" s="775">
        <f t="shared" si="14"/>
        <v>100</v>
      </c>
      <c r="X28" s="1813"/>
      <c r="Y28" s="3269"/>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9"/>
      <c r="Q29" s="1810" t="str">
        <f t="shared" si="11"/>
        <v>有无电梯</v>
      </c>
      <c r="R29" s="774" t="s">
        <v>17</v>
      </c>
      <c r="S29" s="775">
        <f t="shared" si="12"/>
        <v>100</v>
      </c>
      <c r="T29" s="774" t="s">
        <v>17</v>
      </c>
      <c r="U29" s="775">
        <f t="shared" si="13"/>
        <v>100</v>
      </c>
      <c r="V29" s="774" t="s">
        <v>17</v>
      </c>
      <c r="W29" s="775">
        <f t="shared" si="14"/>
        <v>100</v>
      </c>
      <c r="X29" s="1813"/>
      <c r="Y29" s="3269"/>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9"/>
      <c r="Q30" s="1810" t="str">
        <f t="shared" si="11"/>
        <v>建筑面积</v>
      </c>
      <c r="R30" s="774" t="s">
        <v>17</v>
      </c>
      <c r="S30" s="775" t="e">
        <f t="shared" si="12"/>
        <v>#N/A</v>
      </c>
      <c r="T30" s="774" t="s">
        <v>17</v>
      </c>
      <c r="U30" s="775" t="e">
        <f t="shared" si="13"/>
        <v>#N/A</v>
      </c>
      <c r="V30" s="774" t="s">
        <v>17</v>
      </c>
      <c r="W30" s="775" t="e">
        <f t="shared" si="14"/>
        <v>#N/A</v>
      </c>
      <c r="X30" s="1813"/>
      <c r="Y30" s="3269"/>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9"/>
      <c r="Q31" s="1795" t="str">
        <f t="shared" si="11"/>
        <v>是否封闭</v>
      </c>
      <c r="R31" s="770" t="s">
        <v>17</v>
      </c>
      <c r="S31" s="771">
        <f t="shared" si="12"/>
        <v>100</v>
      </c>
      <c r="T31" s="770" t="s">
        <v>17</v>
      </c>
      <c r="U31" s="771">
        <f t="shared" si="13"/>
        <v>100</v>
      </c>
      <c r="V31" s="770" t="s">
        <v>17</v>
      </c>
      <c r="W31" s="771">
        <f t="shared" si="14"/>
        <v>100</v>
      </c>
      <c r="X31" s="772"/>
      <c r="Y31" s="326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9" t="s">
        <v>2561</v>
      </c>
      <c r="Q32" s="1810">
        <f t="shared" si="11"/>
        <v>111</v>
      </c>
      <c r="R32" s="774" t="s">
        <v>17</v>
      </c>
      <c r="S32" s="775">
        <f t="shared" si="12"/>
        <v>100</v>
      </c>
      <c r="T32" s="774" t="s">
        <v>17</v>
      </c>
      <c r="U32" s="775">
        <f t="shared" si="13"/>
        <v>100</v>
      </c>
      <c r="V32" s="774" t="s">
        <v>17</v>
      </c>
      <c r="W32" s="775">
        <f t="shared" si="14"/>
        <v>100</v>
      </c>
      <c r="X32" s="1813"/>
      <c r="Y32" s="3269" t="s">
        <v>2561</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9"/>
      <c r="Q33" s="1810">
        <f t="shared" si="11"/>
        <v>111</v>
      </c>
      <c r="R33" s="774" t="s">
        <v>17</v>
      </c>
      <c r="S33" s="775">
        <f t="shared" si="12"/>
        <v>100</v>
      </c>
      <c r="T33" s="774" t="s">
        <v>17</v>
      </c>
      <c r="U33" s="775">
        <f t="shared" si="13"/>
        <v>100</v>
      </c>
      <c r="V33" s="774" t="s">
        <v>17</v>
      </c>
      <c r="W33" s="775">
        <f t="shared" si="14"/>
        <v>100</v>
      </c>
      <c r="X33" s="1813"/>
      <c r="Y33" s="3269"/>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69"/>
      <c r="Q34" s="1810">
        <f t="shared" si="11"/>
        <v>111</v>
      </c>
      <c r="R34" s="774" t="s">
        <v>17</v>
      </c>
      <c r="S34" s="775">
        <f t="shared" si="12"/>
        <v>100</v>
      </c>
      <c r="T34" s="774" t="s">
        <v>17</v>
      </c>
      <c r="U34" s="775">
        <f t="shared" si="13"/>
        <v>100</v>
      </c>
      <c r="V34" s="774" t="s">
        <v>17</v>
      </c>
      <c r="W34" s="775">
        <f t="shared" si="14"/>
        <v>100</v>
      </c>
      <c r="X34" s="1813"/>
      <c r="Y34" s="3269"/>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62" t="str">
        <f>A35</f>
        <v>成交单价（元/平方米）</v>
      </c>
      <c r="Q35" s="3262"/>
      <c r="R35" s="3263">
        <f>E35</f>
        <v>0</v>
      </c>
      <c r="S35" s="3263"/>
      <c r="T35" s="3263">
        <f>G35</f>
        <v>0</v>
      </c>
      <c r="U35" s="3263"/>
      <c r="V35" s="3263">
        <f>I35</f>
        <v>0</v>
      </c>
      <c r="W35" s="326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62" t="str">
        <f>A36</f>
        <v>比较价值（元/平方米）</v>
      </c>
      <c r="Q36" s="326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30"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30"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30" s="117" customFormat="1" ht="15.75" thickBot="1">
      <c r="A7" s="408" t="s">
        <v>2544</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0"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45" si="3">D8/F8</f>
        <v>#DIV/0!</v>
      </c>
      <c r="AB8" s="773" t="e">
        <f t="shared" ref="AB8:AB45" si="4">D8/H8</f>
        <v>#DIV/0!</v>
      </c>
      <c r="AC8" s="773" t="e">
        <f t="shared" ref="AC8:AC45" si="5">D8/J8</f>
        <v>#DIV/0!</v>
      </c>
    </row>
    <row r="9" spans="1:30" s="117" customFormat="1">
      <c r="A9" s="415" t="s">
        <v>2549</v>
      </c>
      <c r="B9" s="71" t="s">
        <v>2550</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62"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62"/>
      <c r="Q10" s="1795" t="str">
        <f t="shared" si="6"/>
        <v>土地使用年限（年）</v>
      </c>
      <c r="R10" s="770" t="s">
        <v>17</v>
      </c>
      <c r="S10" s="771">
        <f t="shared" si="0"/>
        <v>113</v>
      </c>
      <c r="T10" s="770" t="s">
        <v>17</v>
      </c>
      <c r="U10" s="771">
        <f t="shared" si="1"/>
        <v>113</v>
      </c>
      <c r="V10" s="770" t="s">
        <v>17</v>
      </c>
      <c r="W10" s="771">
        <f t="shared" si="2"/>
        <v>113</v>
      </c>
      <c r="X10" s="772"/>
      <c r="Y10" s="3077"/>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2"/>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2"/>
      <c r="Q12" s="1795" t="str">
        <f t="shared" si="6"/>
        <v>配建</v>
      </c>
      <c r="R12" s="770" t="s">
        <v>17</v>
      </c>
      <c r="S12" s="771">
        <f t="shared" si="0"/>
        <v>100</v>
      </c>
      <c r="T12" s="770" t="s">
        <v>17</v>
      </c>
      <c r="U12" s="771">
        <f t="shared" si="1"/>
        <v>100</v>
      </c>
      <c r="V12" s="770" t="s">
        <v>17</v>
      </c>
      <c r="W12" s="771">
        <f t="shared" si="2"/>
        <v>100</v>
      </c>
      <c r="X12" s="772"/>
      <c r="Y12" s="307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2"/>
      <c r="Q14" s="1795">
        <f t="shared" si="6"/>
        <v>111</v>
      </c>
      <c r="R14" s="770" t="s">
        <v>17</v>
      </c>
      <c r="S14" s="771">
        <f t="shared" si="0"/>
        <v>100</v>
      </c>
      <c r="T14" s="770" t="s">
        <v>17</v>
      </c>
      <c r="U14" s="771">
        <f t="shared" si="1"/>
        <v>100</v>
      </c>
      <c r="V14" s="770" t="s">
        <v>17</v>
      </c>
      <c r="W14" s="771">
        <f t="shared" si="2"/>
        <v>100</v>
      </c>
      <c r="X14" s="772"/>
      <c r="Y14" s="3077"/>
      <c r="Z14" s="55">
        <f t="shared" si="7"/>
        <v>111</v>
      </c>
      <c r="AA14" s="773">
        <f>D14/F14</f>
        <v>1</v>
      </c>
      <c r="AB14" s="773">
        <f>D14/H14</f>
        <v>1</v>
      </c>
      <c r="AC14" s="773">
        <f>D14/J14</f>
        <v>1</v>
      </c>
    </row>
    <row r="15" spans="1:30" ht="99.75">
      <c r="A15" s="440" t="s">
        <v>2555</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4" t="s">
        <v>2556</v>
      </c>
      <c r="Q15" s="1810" t="str">
        <f t="shared" si="6"/>
        <v>居住社区成熟度</v>
      </c>
      <c r="R15" s="774" t="s">
        <v>17</v>
      </c>
      <c r="S15" s="775">
        <f t="shared" si="0"/>
        <v>100</v>
      </c>
      <c r="T15" s="774" t="s">
        <v>17</v>
      </c>
      <c r="U15" s="775">
        <f t="shared" si="1"/>
        <v>100</v>
      </c>
      <c r="V15" s="774" t="s">
        <v>17</v>
      </c>
      <c r="W15" s="775">
        <f t="shared" si="2"/>
        <v>100</v>
      </c>
      <c r="X15" s="1813"/>
      <c r="Y15" s="3264" t="s">
        <v>2556</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65"/>
      <c r="Q16" s="1810"/>
      <c r="R16" s="774"/>
      <c r="S16" s="775"/>
      <c r="T16" s="774"/>
      <c r="U16" s="775"/>
      <c r="V16" s="774"/>
      <c r="W16" s="775"/>
      <c r="X16" s="1813"/>
      <c r="Y16" s="3265"/>
      <c r="Z16" s="1814"/>
      <c r="AA16" s="1811">
        <v>1</v>
      </c>
      <c r="AB16" s="1811">
        <v>1</v>
      </c>
      <c r="AC16" s="1811">
        <v>1</v>
      </c>
    </row>
    <row r="17" spans="1:29" ht="71.25">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5"/>
      <c r="Q17" s="1810" t="str">
        <f>B17</f>
        <v>商业繁华度</v>
      </c>
      <c r="R17" s="774" t="s">
        <v>17</v>
      </c>
      <c r="S17" s="775">
        <f>F17</f>
        <v>100</v>
      </c>
      <c r="T17" s="774" t="s">
        <v>17</v>
      </c>
      <c r="U17" s="775">
        <f>H17</f>
        <v>100</v>
      </c>
      <c r="V17" s="774" t="s">
        <v>17</v>
      </c>
      <c r="W17" s="775">
        <f>J17</f>
        <v>100</v>
      </c>
      <c r="X17" s="1813"/>
      <c r="Y17" s="3265"/>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65"/>
      <c r="Q18" s="1810"/>
      <c r="R18" s="774"/>
      <c r="S18" s="775"/>
      <c r="T18" s="774"/>
      <c r="U18" s="775"/>
      <c r="V18" s="774"/>
      <c r="W18" s="775"/>
      <c r="X18" s="1813"/>
      <c r="Y18" s="3265"/>
      <c r="Z18" s="1814"/>
      <c r="AA18" s="1811">
        <v>1</v>
      </c>
      <c r="AB18" s="1811">
        <v>1</v>
      </c>
      <c r="AC18" s="1811">
        <v>1</v>
      </c>
    </row>
    <row r="19" spans="1:29" ht="71.25">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5"/>
      <c r="Q19" s="1810" t="str">
        <f>B19</f>
        <v>办公集聚程度</v>
      </c>
      <c r="R19" s="774" t="s">
        <v>17</v>
      </c>
      <c r="S19" s="775">
        <f>F19</f>
        <v>100</v>
      </c>
      <c r="T19" s="774" t="s">
        <v>17</v>
      </c>
      <c r="U19" s="775">
        <f>H19</f>
        <v>100</v>
      </c>
      <c r="V19" s="774" t="s">
        <v>17</v>
      </c>
      <c r="W19" s="775">
        <f>J19</f>
        <v>100</v>
      </c>
      <c r="X19" s="1813"/>
      <c r="Y19" s="3265"/>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65"/>
      <c r="Q20" s="1810"/>
      <c r="R20" s="774"/>
      <c r="S20" s="775"/>
      <c r="T20" s="774"/>
      <c r="U20" s="775"/>
      <c r="V20" s="774"/>
      <c r="W20" s="775"/>
      <c r="X20" s="1813"/>
      <c r="Y20" s="3265"/>
      <c r="Z20" s="1814"/>
      <c r="AA20" s="1811">
        <v>1</v>
      </c>
      <c r="AB20" s="1811">
        <v>1</v>
      </c>
      <c r="AC20" s="1811">
        <v>1</v>
      </c>
    </row>
    <row r="21" spans="1:29" ht="85.5">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5"/>
      <c r="Q21" s="1810" t="str">
        <f>B21</f>
        <v>交通便捷度</v>
      </c>
      <c r="R21" s="774" t="s">
        <v>17</v>
      </c>
      <c r="S21" s="775">
        <f>F21</f>
        <v>100</v>
      </c>
      <c r="T21" s="774" t="s">
        <v>17</v>
      </c>
      <c r="U21" s="775">
        <f>H21</f>
        <v>100</v>
      </c>
      <c r="V21" s="774" t="s">
        <v>17</v>
      </c>
      <c r="W21" s="775">
        <f>J21</f>
        <v>100</v>
      </c>
      <c r="X21" s="1813"/>
      <c r="Y21" s="3265"/>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65"/>
      <c r="Q22" s="1810"/>
      <c r="R22" s="774"/>
      <c r="S22" s="775"/>
      <c r="T22" s="774"/>
      <c r="U22" s="775"/>
      <c r="V22" s="774"/>
      <c r="W22" s="775"/>
      <c r="X22" s="1813"/>
      <c r="Y22" s="3265"/>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5"/>
      <c r="Q23" s="1810" t="str">
        <f t="shared" ref="Q23:Q37" si="8">B23</f>
        <v>区域土地利用方向</v>
      </c>
      <c r="R23" s="774" t="s">
        <v>17</v>
      </c>
      <c r="S23" s="775">
        <f>F23</f>
        <v>100</v>
      </c>
      <c r="T23" s="774" t="s">
        <v>17</v>
      </c>
      <c r="U23" s="775">
        <f>H23</f>
        <v>100</v>
      </c>
      <c r="V23" s="774" t="s">
        <v>17</v>
      </c>
      <c r="W23" s="775">
        <f>J23</f>
        <v>100</v>
      </c>
      <c r="X23" s="1813"/>
      <c r="Y23" s="3265"/>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65"/>
      <c r="Q24" s="1810"/>
      <c r="R24" s="774"/>
      <c r="S24" s="775"/>
      <c r="T24" s="774"/>
      <c r="U24" s="775"/>
      <c r="V24" s="774"/>
      <c r="W24" s="775"/>
      <c r="X24" s="1813"/>
      <c r="Y24" s="3265"/>
      <c r="Z24" s="1814"/>
      <c r="AA24" s="1811"/>
      <c r="AB24" s="1811"/>
      <c r="AC24" s="1811"/>
    </row>
    <row r="25" spans="1:29" ht="57">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5"/>
      <c r="Q25" s="1810" t="str">
        <f t="shared" si="8"/>
        <v>自然及人文环境状况</v>
      </c>
      <c r="R25" s="774" t="s">
        <v>17</v>
      </c>
      <c r="S25" s="775">
        <f>F25</f>
        <v>100</v>
      </c>
      <c r="T25" s="774" t="s">
        <v>17</v>
      </c>
      <c r="U25" s="775">
        <f>H25</f>
        <v>100</v>
      </c>
      <c r="V25" s="774" t="s">
        <v>17</v>
      </c>
      <c r="W25" s="775">
        <f>J25</f>
        <v>100</v>
      </c>
      <c r="X25" s="1813"/>
      <c r="Y25" s="3265"/>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65"/>
      <c r="Q26" s="1810"/>
      <c r="R26" s="774"/>
      <c r="S26" s="775"/>
      <c r="T26" s="774"/>
      <c r="U26" s="775"/>
      <c r="V26" s="774"/>
      <c r="W26" s="775"/>
      <c r="X26" s="1813"/>
      <c r="Y26" s="3265"/>
      <c r="Z26" s="1814"/>
      <c r="AA26" s="1811">
        <v>1</v>
      </c>
      <c r="AB26" s="1811">
        <v>1</v>
      </c>
      <c r="AC26" s="1811">
        <v>1</v>
      </c>
    </row>
    <row r="27" spans="1:29" s="117" customFormat="1" ht="42.75">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5"/>
      <c r="Q27" s="1795" t="str">
        <f t="shared" si="8"/>
        <v>公共配套设施</v>
      </c>
      <c r="R27" s="770" t="s">
        <v>17</v>
      </c>
      <c r="S27" s="771">
        <f>F27</f>
        <v>100</v>
      </c>
      <c r="T27" s="770" t="s">
        <v>17</v>
      </c>
      <c r="U27" s="771">
        <f>H27</f>
        <v>100</v>
      </c>
      <c r="V27" s="770" t="s">
        <v>17</v>
      </c>
      <c r="W27" s="771">
        <f>J27</f>
        <v>100</v>
      </c>
      <c r="X27" s="772"/>
      <c r="Y27" s="3265"/>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65"/>
      <c r="Q28" s="1795"/>
      <c r="R28" s="770"/>
      <c r="S28" s="771"/>
      <c r="T28" s="770"/>
      <c r="U28" s="771"/>
      <c r="V28" s="770"/>
      <c r="W28" s="771"/>
      <c r="X28" s="772"/>
      <c r="Y28" s="3265"/>
      <c r="Z28" s="55"/>
      <c r="AA28" s="1811">
        <v>1</v>
      </c>
      <c r="AB28" s="1811">
        <v>1</v>
      </c>
      <c r="AC28" s="1811">
        <v>1</v>
      </c>
    </row>
    <row r="29" spans="1:29" s="117" customFormat="1" ht="28.5">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5"/>
      <c r="Q29" s="1795" t="str">
        <f t="shared" ref="Q29" si="9">B29</f>
        <v>基础设施水平</v>
      </c>
      <c r="R29" s="770" t="s">
        <v>17</v>
      </c>
      <c r="S29" s="771">
        <f>F29</f>
        <v>100</v>
      </c>
      <c r="T29" s="770" t="s">
        <v>17</v>
      </c>
      <c r="U29" s="771">
        <f>H29</f>
        <v>100</v>
      </c>
      <c r="V29" s="770" t="s">
        <v>17</v>
      </c>
      <c r="W29" s="771">
        <f>J29</f>
        <v>100</v>
      </c>
      <c r="X29" s="772"/>
      <c r="Y29" s="3265"/>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65"/>
      <c r="Q30" s="1795"/>
      <c r="R30" s="770"/>
      <c r="S30" s="771"/>
      <c r="T30" s="770"/>
      <c r="U30" s="771"/>
      <c r="V30" s="770"/>
      <c r="W30" s="771"/>
      <c r="X30" s="772"/>
      <c r="Y30" s="3265"/>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65"/>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5"/>
      <c r="Q32" s="1810" t="str">
        <f t="shared" si="8"/>
        <v>毗邻道路的类型与等级</v>
      </c>
      <c r="R32" s="774" t="s">
        <v>17</v>
      </c>
      <c r="S32" s="775">
        <f t="shared" si="10"/>
        <v>100</v>
      </c>
      <c r="T32" s="774" t="s">
        <v>17</v>
      </c>
      <c r="U32" s="775">
        <f t="shared" si="11"/>
        <v>100</v>
      </c>
      <c r="V32" s="774" t="s">
        <v>17</v>
      </c>
      <c r="W32" s="775">
        <f t="shared" si="12"/>
        <v>100</v>
      </c>
      <c r="X32" s="1813"/>
      <c r="Y32" s="3265"/>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65"/>
      <c r="Q33" s="1810"/>
      <c r="R33" s="774"/>
      <c r="S33" s="775"/>
      <c r="T33" s="774"/>
      <c r="U33" s="775"/>
      <c r="V33" s="774"/>
      <c r="W33" s="775"/>
      <c r="X33" s="1813"/>
      <c r="Y33" s="3265"/>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5"/>
      <c r="Q34" s="1810" t="str">
        <f t="shared" si="8"/>
        <v>土地级别</v>
      </c>
      <c r="R34" s="774" t="s">
        <v>17</v>
      </c>
      <c r="S34" s="775">
        <f t="shared" si="10"/>
        <v>100</v>
      </c>
      <c r="T34" s="774" t="s">
        <v>17</v>
      </c>
      <c r="U34" s="775">
        <f t="shared" si="11"/>
        <v>100</v>
      </c>
      <c r="V34" s="774" t="s">
        <v>17</v>
      </c>
      <c r="W34" s="775">
        <f t="shared" si="12"/>
        <v>100</v>
      </c>
      <c r="X34" s="1813"/>
      <c r="Y34" s="326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5"/>
      <c r="Q35" s="1810">
        <f t="shared" si="8"/>
        <v>111</v>
      </c>
      <c r="R35" s="774" t="s">
        <v>17</v>
      </c>
      <c r="S35" s="775">
        <f t="shared" si="10"/>
        <v>100</v>
      </c>
      <c r="T35" s="774" t="s">
        <v>17</v>
      </c>
      <c r="U35" s="775">
        <f t="shared" si="11"/>
        <v>100</v>
      </c>
      <c r="V35" s="774" t="s">
        <v>17</v>
      </c>
      <c r="W35" s="775">
        <f t="shared" si="12"/>
        <v>100</v>
      </c>
      <c r="X35" s="1813"/>
      <c r="Y35" s="326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0" t="s">
        <v>2561</v>
      </c>
      <c r="Q36" s="1810">
        <f t="shared" si="8"/>
        <v>111</v>
      </c>
      <c r="R36" s="774" t="s">
        <v>17</v>
      </c>
      <c r="S36" s="775">
        <f t="shared" si="10"/>
        <v>100</v>
      </c>
      <c r="T36" s="774" t="s">
        <v>17</v>
      </c>
      <c r="U36" s="775">
        <f t="shared" si="11"/>
        <v>100</v>
      </c>
      <c r="V36" s="774" t="s">
        <v>17</v>
      </c>
      <c r="W36" s="775">
        <f t="shared" si="12"/>
        <v>100</v>
      </c>
      <c r="X36" s="1813"/>
      <c r="Y36" s="3269"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9"/>
      <c r="Q37" s="1810">
        <f t="shared" si="8"/>
        <v>111</v>
      </c>
      <c r="R37" s="777" t="s">
        <v>17</v>
      </c>
      <c r="S37" s="778">
        <f t="shared" si="10"/>
        <v>100</v>
      </c>
      <c r="T37" s="777" t="s">
        <v>17</v>
      </c>
      <c r="U37" s="778">
        <f t="shared" si="11"/>
        <v>100</v>
      </c>
      <c r="V37" s="777" t="s">
        <v>17</v>
      </c>
      <c r="W37" s="778">
        <f t="shared" si="12"/>
        <v>100</v>
      </c>
      <c r="X37" s="779"/>
      <c r="Y37" s="3269"/>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9"/>
      <c r="Q38" s="1810" t="str">
        <f>B38</f>
        <v>宗地面积</v>
      </c>
      <c r="R38" s="774" t="s">
        <v>17</v>
      </c>
      <c r="S38" s="775" t="e">
        <f t="shared" si="10"/>
        <v>#N/A</v>
      </c>
      <c r="T38" s="774" t="s">
        <v>17</v>
      </c>
      <c r="U38" s="775" t="e">
        <f t="shared" si="11"/>
        <v>#N/A</v>
      </c>
      <c r="V38" s="774" t="s">
        <v>17</v>
      </c>
      <c r="W38" s="775" t="e">
        <f t="shared" si="12"/>
        <v>#N/A</v>
      </c>
      <c r="X38" s="1813"/>
      <c r="Y38" s="3269"/>
      <c r="Z38" s="1814" t="str">
        <f t="shared" si="13"/>
        <v>宗地面积</v>
      </c>
      <c r="AA38" s="1811" t="e">
        <f t="shared" si="3"/>
        <v>#N/A</v>
      </c>
      <c r="AB38" s="1811" t="e">
        <f t="shared" si="4"/>
        <v>#N/A</v>
      </c>
      <c r="AC38" s="1811"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69"/>
      <c r="Q39" s="1810" t="str">
        <f t="shared" ref="Q39:Q45" si="14">B39</f>
        <v>宗地形状</v>
      </c>
      <c r="R39" s="774" t="s">
        <v>17</v>
      </c>
      <c r="S39" s="775">
        <f t="shared" si="10"/>
        <v>100</v>
      </c>
      <c r="T39" s="774" t="s">
        <v>17</v>
      </c>
      <c r="U39" s="775">
        <f t="shared" si="11"/>
        <v>100</v>
      </c>
      <c r="V39" s="774" t="s">
        <v>17</v>
      </c>
      <c r="W39" s="775">
        <f t="shared" si="12"/>
        <v>100</v>
      </c>
      <c r="X39" s="1813"/>
      <c r="Y39" s="3269"/>
      <c r="Z39" s="1814" t="str">
        <f t="shared" si="13"/>
        <v>宗地形状</v>
      </c>
      <c r="AA39" s="1811">
        <f t="shared" si="3"/>
        <v>1</v>
      </c>
      <c r="AB39" s="1811">
        <f t="shared" si="4"/>
        <v>1</v>
      </c>
      <c r="AC39" s="1811">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69"/>
      <c r="Q40" s="1810" t="str">
        <f t="shared" si="14"/>
        <v>临街宽度及深度</v>
      </c>
      <c r="R40" s="774" t="s">
        <v>17</v>
      </c>
      <c r="S40" s="775">
        <f t="shared" si="10"/>
        <v>100</v>
      </c>
      <c r="T40" s="774" t="s">
        <v>17</v>
      </c>
      <c r="U40" s="775">
        <f t="shared" si="11"/>
        <v>100</v>
      </c>
      <c r="V40" s="774" t="s">
        <v>17</v>
      </c>
      <c r="W40" s="775">
        <f t="shared" si="12"/>
        <v>100</v>
      </c>
      <c r="X40" s="1813"/>
      <c r="Y40" s="3269"/>
      <c r="Z40" s="1814" t="str">
        <f t="shared" si="13"/>
        <v>临街宽度及深度</v>
      </c>
      <c r="AA40" s="1811">
        <f t="shared" si="3"/>
        <v>1</v>
      </c>
      <c r="AB40" s="1811">
        <f t="shared" si="4"/>
        <v>1</v>
      </c>
      <c r="AC40" s="1811">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69"/>
      <c r="Q41" s="1810" t="str">
        <f t="shared" si="14"/>
        <v>宗地开发程度</v>
      </c>
      <c r="R41" s="770" t="s">
        <v>17</v>
      </c>
      <c r="S41" s="771">
        <f t="shared" si="10"/>
        <v>100</v>
      </c>
      <c r="T41" s="770" t="s">
        <v>17</v>
      </c>
      <c r="U41" s="771">
        <f t="shared" si="11"/>
        <v>100</v>
      </c>
      <c r="V41" s="770" t="s">
        <v>17</v>
      </c>
      <c r="W41" s="771">
        <f t="shared" si="12"/>
        <v>100</v>
      </c>
      <c r="X41" s="772"/>
      <c r="Y41" s="3269"/>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69" t="s">
        <v>2561</v>
      </c>
      <c r="Q42" s="1810" t="str">
        <f t="shared" si="14"/>
        <v>工程地质条件</v>
      </c>
      <c r="R42" s="774" t="s">
        <v>17</v>
      </c>
      <c r="S42" s="775">
        <f t="shared" si="10"/>
        <v>100</v>
      </c>
      <c r="T42" s="774" t="s">
        <v>17</v>
      </c>
      <c r="U42" s="775">
        <f t="shared" si="11"/>
        <v>100</v>
      </c>
      <c r="V42" s="774" t="s">
        <v>17</v>
      </c>
      <c r="W42" s="775">
        <f t="shared" si="12"/>
        <v>100</v>
      </c>
      <c r="X42" s="1813"/>
      <c r="Y42" s="3269"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9"/>
      <c r="Q43" s="1810">
        <f t="shared" si="14"/>
        <v>111</v>
      </c>
      <c r="R43" s="774" t="s">
        <v>17</v>
      </c>
      <c r="S43" s="775">
        <f t="shared" si="10"/>
        <v>100</v>
      </c>
      <c r="T43" s="774" t="s">
        <v>17</v>
      </c>
      <c r="U43" s="775">
        <f t="shared" si="11"/>
        <v>100</v>
      </c>
      <c r="V43" s="774" t="s">
        <v>17</v>
      </c>
      <c r="W43" s="775">
        <f t="shared" si="12"/>
        <v>100</v>
      </c>
      <c r="X43" s="1813"/>
      <c r="Y43" s="326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9"/>
      <c r="Q44" s="1810">
        <f t="shared" si="14"/>
        <v>111</v>
      </c>
      <c r="R44" s="774" t="s">
        <v>17</v>
      </c>
      <c r="S44" s="775">
        <f t="shared" si="10"/>
        <v>100</v>
      </c>
      <c r="T44" s="774" t="s">
        <v>17</v>
      </c>
      <c r="U44" s="775">
        <f t="shared" si="11"/>
        <v>100</v>
      </c>
      <c r="V44" s="774" t="s">
        <v>17</v>
      </c>
      <c r="W44" s="775">
        <f t="shared" si="12"/>
        <v>100</v>
      </c>
      <c r="X44" s="1813"/>
      <c r="Y44" s="3269"/>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9"/>
      <c r="Q45" s="1810">
        <f t="shared" si="14"/>
        <v>111</v>
      </c>
      <c r="R45" s="777" t="s">
        <v>17</v>
      </c>
      <c r="S45" s="778">
        <f t="shared" si="10"/>
        <v>100</v>
      </c>
      <c r="T45" s="777" t="s">
        <v>17</v>
      </c>
      <c r="U45" s="778">
        <f t="shared" si="11"/>
        <v>100</v>
      </c>
      <c r="V45" s="777" t="s">
        <v>17</v>
      </c>
      <c r="W45" s="778">
        <f t="shared" si="12"/>
        <v>100</v>
      </c>
      <c r="X45" s="779"/>
      <c r="Y45" s="3269"/>
      <c r="Z45" s="780">
        <f t="shared" si="13"/>
        <v>111</v>
      </c>
      <c r="AA45" s="1811">
        <f t="shared" si="3"/>
        <v>1</v>
      </c>
      <c r="AB45" s="1811">
        <f t="shared" si="4"/>
        <v>1</v>
      </c>
      <c r="AC45" s="1811">
        <f t="shared" si="5"/>
        <v>1</v>
      </c>
    </row>
    <row r="46" spans="1:29" ht="15">
      <c r="A46" s="479" t="s">
        <v>2716</v>
      </c>
      <c r="B46" s="2706" t="s">
        <v>2752</v>
      </c>
      <c r="C46" s="682" t="s">
        <v>1</v>
      </c>
      <c r="D46" s="481"/>
      <c r="E46" s="482"/>
      <c r="F46" s="483"/>
      <c r="G46" s="484"/>
      <c r="H46" s="485"/>
      <c r="I46" s="482"/>
      <c r="J46" s="485"/>
      <c r="K46" s="783"/>
      <c r="L46" s="1143"/>
      <c r="M46" s="1144"/>
      <c r="N46" s="1131"/>
      <c r="O46" s="1144"/>
      <c r="P46" s="3262" t="str">
        <f>A46</f>
        <v>成交单价</v>
      </c>
      <c r="Q46" s="3262"/>
      <c r="R46" s="3257">
        <f>E46</f>
        <v>0</v>
      </c>
      <c r="S46" s="3257"/>
      <c r="T46" s="3257">
        <f>G46</f>
        <v>0</v>
      </c>
      <c r="U46" s="3257"/>
      <c r="V46" s="3257">
        <f>I46</f>
        <v>0</v>
      </c>
      <c r="W46" s="325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62" t="str">
        <f>A47</f>
        <v>比较价值（元/平方米）</v>
      </c>
      <c r="Q47" s="3262"/>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59" t="str">
        <f>A48</f>
        <v>估价对象XX用房的比较价值（楼面单价，元/平方米）</v>
      </c>
      <c r="Q48" s="3260"/>
      <c r="R48" s="3292" t="e">
        <f>ROUND(AVERAGE(R47:V47),0)</f>
        <v>#DIV/0!</v>
      </c>
      <c r="S48" s="3292"/>
      <c r="T48" s="3292"/>
      <c r="U48" s="3292"/>
      <c r="V48" s="3292"/>
      <c r="W48" s="329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245" t="s">
        <v>2760</v>
      </c>
      <c r="H55" s="3293"/>
      <c r="I55" s="144" t="s">
        <v>2761</v>
      </c>
      <c r="J55" s="2709">
        <f>项目基本情况!F35</f>
        <v>0</v>
      </c>
      <c r="K55" s="2710" t="s">
        <v>2762</v>
      </c>
      <c r="L55" s="1106"/>
      <c r="M55" s="1144"/>
      <c r="N55" s="1144"/>
      <c r="O55" s="1144"/>
    </row>
    <row r="56" spans="1:15" s="692" customFormat="1">
      <c r="A56" s="688" t="s">
        <v>2763</v>
      </c>
      <c r="B56" s="689" t="e">
        <f>C48</f>
        <v>#DIV/0!</v>
      </c>
      <c r="C56" s="690">
        <v>1</v>
      </c>
      <c r="D56" s="1163">
        <v>1</v>
      </c>
      <c r="E56" s="690">
        <f>'数据-汇总表'!E8+'数据-汇总表'!E9</f>
        <v>631.32000000000005</v>
      </c>
      <c r="F56" s="1103" t="e">
        <f t="shared" ref="F56:F65" si="15">ROUND(B56*E56/10000,0)</f>
        <v>#DIV/0!</v>
      </c>
      <c r="G56" s="3244"/>
      <c r="H56" s="3262"/>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94"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94"/>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94"/>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94"/>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1"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1"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2"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631.32000000000005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3" t="s">
        <v>2778</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95" t="s">
        <v>2793</v>
      </c>
      <c r="D6" s="3296"/>
      <c r="E6" s="3297" t="s">
        <v>2793</v>
      </c>
      <c r="F6" s="3298"/>
      <c r="G6" s="3295" t="s">
        <v>2793</v>
      </c>
      <c r="H6" s="3296"/>
      <c r="I6" s="3295" t="s">
        <v>2793</v>
      </c>
      <c r="J6" s="3296"/>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0"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40" si="3">D8/F8</f>
        <v>#DIV/0!</v>
      </c>
      <c r="AB8" s="773" t="e">
        <f t="shared" ref="AB8:AB40" si="4">D8/H8</f>
        <v>#DIV/0!</v>
      </c>
      <c r="AC8" s="773" t="e">
        <f t="shared" ref="AC8:AC40" si="5">D8/J8</f>
        <v>#DIV/0!</v>
      </c>
    </row>
    <row r="9" spans="1:29" s="117" customFormat="1">
      <c r="A9" s="415" t="s">
        <v>2549</v>
      </c>
      <c r="B9" s="71" t="s">
        <v>2550</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62"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62"/>
      <c r="Q10" s="1795" t="str">
        <f t="shared" si="6"/>
        <v>土地使用年限（年）</v>
      </c>
      <c r="R10" s="770" t="s">
        <v>17</v>
      </c>
      <c r="S10" s="771">
        <f t="shared" si="0"/>
        <v>113</v>
      </c>
      <c r="T10" s="770" t="s">
        <v>17</v>
      </c>
      <c r="U10" s="771">
        <f t="shared" si="1"/>
        <v>113</v>
      </c>
      <c r="V10" s="770" t="s">
        <v>17</v>
      </c>
      <c r="W10" s="771">
        <f t="shared" si="2"/>
        <v>113</v>
      </c>
      <c r="X10" s="772"/>
      <c r="Y10" s="3077"/>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2"/>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2"/>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2555</v>
      </c>
      <c r="B15" s="629" t="s">
        <v>2794</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4" t="s">
        <v>2556</v>
      </c>
      <c r="Q15" s="1810" t="str">
        <f t="shared" si="6"/>
        <v>产业集聚程度</v>
      </c>
      <c r="R15" s="774" t="s">
        <v>17</v>
      </c>
      <c r="S15" s="775">
        <f t="shared" si="0"/>
        <v>100</v>
      </c>
      <c r="T15" s="774" t="s">
        <v>17</v>
      </c>
      <c r="U15" s="775">
        <f t="shared" si="1"/>
        <v>100</v>
      </c>
      <c r="V15" s="774" t="s">
        <v>17</v>
      </c>
      <c r="W15" s="775">
        <f t="shared" si="2"/>
        <v>100</v>
      </c>
      <c r="X15" s="1813"/>
      <c r="Y15" s="3264" t="s">
        <v>2556</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65"/>
      <c r="Q16" s="1810"/>
      <c r="R16" s="774"/>
      <c r="S16" s="775"/>
      <c r="T16" s="774"/>
      <c r="U16" s="775"/>
      <c r="V16" s="774"/>
      <c r="W16" s="775"/>
      <c r="X16" s="1813"/>
      <c r="Y16" s="3265"/>
      <c r="Z16" s="1814"/>
      <c r="AA16" s="1811">
        <v>1</v>
      </c>
      <c r="AB16" s="1811">
        <v>1</v>
      </c>
      <c r="AC16" s="1811">
        <v>1</v>
      </c>
    </row>
    <row r="17" spans="1:29" ht="85.5">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5"/>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65"/>
      <c r="Q18" s="1810"/>
      <c r="R18" s="774"/>
      <c r="S18" s="775"/>
      <c r="T18" s="774"/>
      <c r="U18" s="775"/>
      <c r="V18" s="774"/>
      <c r="W18" s="775"/>
      <c r="X18" s="1813"/>
      <c r="Y18" s="3265"/>
      <c r="Z18" s="1814"/>
      <c r="AA18" s="1811">
        <v>1</v>
      </c>
      <c r="AB18" s="1811">
        <v>1</v>
      </c>
      <c r="AC18" s="1811">
        <v>1</v>
      </c>
    </row>
    <row r="19" spans="1:29" ht="15">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5"/>
      <c r="Q19" s="1810" t="str">
        <f t="shared" ref="Q19:Q33" si="8">B19</f>
        <v>区域土地利用方向</v>
      </c>
      <c r="R19" s="774" t="s">
        <v>17</v>
      </c>
      <c r="S19" s="775">
        <f>F19</f>
        <v>100</v>
      </c>
      <c r="T19" s="774" t="s">
        <v>17</v>
      </c>
      <c r="U19" s="775">
        <f>H19</f>
        <v>100</v>
      </c>
      <c r="V19" s="774" t="s">
        <v>17</v>
      </c>
      <c r="W19" s="775">
        <f>J19</f>
        <v>100</v>
      </c>
      <c r="X19" s="1813"/>
      <c r="Y19" s="3265"/>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65"/>
      <c r="Q20" s="1810"/>
      <c r="R20" s="774"/>
      <c r="S20" s="775"/>
      <c r="T20" s="774"/>
      <c r="U20" s="775"/>
      <c r="V20" s="774"/>
      <c r="W20" s="775"/>
      <c r="X20" s="1813"/>
      <c r="Y20" s="3265"/>
      <c r="Z20" s="1814"/>
      <c r="AA20" s="1811"/>
      <c r="AB20" s="1811"/>
      <c r="AC20" s="1811"/>
    </row>
    <row r="21" spans="1:29" ht="71.25">
      <c r="A21" s="404"/>
      <c r="B21" s="631" t="s">
        <v>2795</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5"/>
      <c r="Q21" s="1810" t="str">
        <f t="shared" si="8"/>
        <v>环境状况</v>
      </c>
      <c r="R21" s="774" t="s">
        <v>17</v>
      </c>
      <c r="S21" s="775">
        <f>F21</f>
        <v>100</v>
      </c>
      <c r="T21" s="774" t="s">
        <v>17</v>
      </c>
      <c r="U21" s="775">
        <f>H21</f>
        <v>100</v>
      </c>
      <c r="V21" s="774" t="s">
        <v>17</v>
      </c>
      <c r="W21" s="775">
        <f>J21</f>
        <v>100</v>
      </c>
      <c r="X21" s="1813"/>
      <c r="Y21" s="3265"/>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65"/>
      <c r="Q22" s="1810"/>
      <c r="R22" s="774"/>
      <c r="S22" s="775"/>
      <c r="T22" s="774"/>
      <c r="U22" s="775"/>
      <c r="V22" s="774"/>
      <c r="W22" s="775"/>
      <c r="X22" s="1813"/>
      <c r="Y22" s="3265"/>
      <c r="Z22" s="1814"/>
      <c r="AA22" s="1811">
        <v>1</v>
      </c>
      <c r="AB22" s="1811">
        <v>1</v>
      </c>
      <c r="AC22" s="1811">
        <v>1</v>
      </c>
    </row>
    <row r="23" spans="1:29" s="117" customFormat="1" ht="42.75">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5"/>
      <c r="Q23" s="1795" t="str">
        <f t="shared" si="8"/>
        <v>公共配套设施</v>
      </c>
      <c r="R23" s="770" t="s">
        <v>17</v>
      </c>
      <c r="S23" s="771">
        <f>F23</f>
        <v>100</v>
      </c>
      <c r="T23" s="770" t="s">
        <v>17</v>
      </c>
      <c r="U23" s="771">
        <f>H23</f>
        <v>100</v>
      </c>
      <c r="V23" s="770" t="s">
        <v>17</v>
      </c>
      <c r="W23" s="771">
        <f>J23</f>
        <v>100</v>
      </c>
      <c r="X23" s="772"/>
      <c r="Y23" s="3265"/>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65"/>
      <c r="Q24" s="1795"/>
      <c r="R24" s="770"/>
      <c r="S24" s="771"/>
      <c r="T24" s="770"/>
      <c r="U24" s="771"/>
      <c r="V24" s="770"/>
      <c r="W24" s="771"/>
      <c r="X24" s="772"/>
      <c r="Y24" s="3265"/>
      <c r="Z24" s="55"/>
      <c r="AA24" s="773">
        <v>1</v>
      </c>
      <c r="AB24" s="773">
        <v>1</v>
      </c>
      <c r="AC24" s="773">
        <v>1</v>
      </c>
    </row>
    <row r="25" spans="1:29" s="117" customFormat="1" ht="28.5">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5"/>
      <c r="Q25" s="1795" t="str">
        <f t="shared" ref="Q25" si="9">B25</f>
        <v>基础设施水平</v>
      </c>
      <c r="R25" s="770" t="s">
        <v>17</v>
      </c>
      <c r="S25" s="771">
        <f>F25</f>
        <v>100</v>
      </c>
      <c r="T25" s="770" t="s">
        <v>17</v>
      </c>
      <c r="U25" s="771">
        <f>H25</f>
        <v>100</v>
      </c>
      <c r="V25" s="770" t="s">
        <v>17</v>
      </c>
      <c r="W25" s="771">
        <f>J25</f>
        <v>100</v>
      </c>
      <c r="X25" s="772"/>
      <c r="Y25" s="3265"/>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65"/>
      <c r="Q26" s="1795"/>
      <c r="R26" s="770"/>
      <c r="S26" s="771"/>
      <c r="T26" s="770"/>
      <c r="U26" s="771"/>
      <c r="V26" s="770"/>
      <c r="W26" s="771"/>
      <c r="X26" s="772"/>
      <c r="Y26" s="326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65"/>
      <c r="Z27" s="1814" t="str">
        <f t="shared" ref="Z27:Z40" si="13">Q27</f>
        <v>临街状况</v>
      </c>
      <c r="AA27" s="1811">
        <f t="shared" si="3"/>
        <v>1</v>
      </c>
      <c r="AB27" s="1811">
        <f t="shared" si="4"/>
        <v>1</v>
      </c>
      <c r="AC27" s="1811">
        <f t="shared" si="5"/>
        <v>1</v>
      </c>
    </row>
    <row r="28" spans="1:29" ht="27">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5"/>
      <c r="Q28" s="1810" t="str">
        <f t="shared" si="8"/>
        <v>毗邻道路的类型与等级</v>
      </c>
      <c r="R28" s="774" t="s">
        <v>17</v>
      </c>
      <c r="S28" s="775">
        <f t="shared" si="10"/>
        <v>100</v>
      </c>
      <c r="T28" s="774" t="s">
        <v>17</v>
      </c>
      <c r="U28" s="775">
        <f t="shared" si="11"/>
        <v>100</v>
      </c>
      <c r="V28" s="774" t="s">
        <v>17</v>
      </c>
      <c r="W28" s="775">
        <f t="shared" si="12"/>
        <v>100</v>
      </c>
      <c r="X28" s="1813"/>
      <c r="Y28" s="3265"/>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65"/>
      <c r="Q29" s="1810"/>
      <c r="R29" s="774"/>
      <c r="S29" s="775"/>
      <c r="T29" s="774"/>
      <c r="U29" s="775"/>
      <c r="V29" s="774"/>
      <c r="W29" s="775"/>
      <c r="X29" s="1813"/>
      <c r="Y29" s="3265"/>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5"/>
      <c r="Q30" s="1810" t="str">
        <f t="shared" si="8"/>
        <v>土地级别</v>
      </c>
      <c r="R30" s="774" t="s">
        <v>17</v>
      </c>
      <c r="S30" s="775">
        <f t="shared" si="10"/>
        <v>100</v>
      </c>
      <c r="T30" s="774" t="s">
        <v>17</v>
      </c>
      <c r="U30" s="775">
        <f t="shared" si="11"/>
        <v>100</v>
      </c>
      <c r="V30" s="774" t="s">
        <v>17</v>
      </c>
      <c r="W30" s="775">
        <f t="shared" si="12"/>
        <v>100</v>
      </c>
      <c r="X30" s="1813"/>
      <c r="Y30" s="3265"/>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5"/>
      <c r="Q31" s="1810">
        <f t="shared" si="8"/>
        <v>111</v>
      </c>
      <c r="R31" s="774" t="s">
        <v>17</v>
      </c>
      <c r="S31" s="775">
        <f t="shared" si="10"/>
        <v>100</v>
      </c>
      <c r="T31" s="774" t="s">
        <v>17</v>
      </c>
      <c r="U31" s="775">
        <f t="shared" si="11"/>
        <v>100</v>
      </c>
      <c r="V31" s="774" t="s">
        <v>17</v>
      </c>
      <c r="W31" s="775">
        <f t="shared" si="12"/>
        <v>100</v>
      </c>
      <c r="X31" s="1813"/>
      <c r="Y31" s="3265"/>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0" t="s">
        <v>2561</v>
      </c>
      <c r="Q32" s="1810">
        <f t="shared" si="8"/>
        <v>111</v>
      </c>
      <c r="R32" s="774" t="s">
        <v>17</v>
      </c>
      <c r="S32" s="775">
        <f t="shared" si="10"/>
        <v>100</v>
      </c>
      <c r="T32" s="774" t="s">
        <v>17</v>
      </c>
      <c r="U32" s="775">
        <f t="shared" si="11"/>
        <v>100</v>
      </c>
      <c r="V32" s="774" t="s">
        <v>17</v>
      </c>
      <c r="W32" s="775">
        <f t="shared" si="12"/>
        <v>100</v>
      </c>
      <c r="X32" s="1813"/>
      <c r="Y32" s="3269" t="s">
        <v>2561</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9"/>
      <c r="Q33" s="1810">
        <f t="shared" si="8"/>
        <v>111</v>
      </c>
      <c r="R33" s="777" t="s">
        <v>17</v>
      </c>
      <c r="S33" s="778">
        <f t="shared" si="10"/>
        <v>100</v>
      </c>
      <c r="T33" s="777" t="s">
        <v>17</v>
      </c>
      <c r="U33" s="778">
        <f t="shared" si="11"/>
        <v>100</v>
      </c>
      <c r="V33" s="777" t="s">
        <v>17</v>
      </c>
      <c r="W33" s="778">
        <f t="shared" si="12"/>
        <v>100</v>
      </c>
      <c r="X33" s="779"/>
      <c r="Y33" s="3269"/>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9"/>
      <c r="Q34" s="1810" t="str">
        <f>B34</f>
        <v>宗地面积</v>
      </c>
      <c r="R34" s="774" t="s">
        <v>17</v>
      </c>
      <c r="S34" s="775" t="e">
        <f t="shared" si="10"/>
        <v>#N/A</v>
      </c>
      <c r="T34" s="774" t="s">
        <v>17</v>
      </c>
      <c r="U34" s="775" t="e">
        <f t="shared" si="11"/>
        <v>#N/A</v>
      </c>
      <c r="V34" s="774" t="s">
        <v>17</v>
      </c>
      <c r="W34" s="775" t="e">
        <f t="shared" si="12"/>
        <v>#N/A</v>
      </c>
      <c r="X34" s="1813"/>
      <c r="Y34" s="3269"/>
      <c r="Z34" s="1814" t="str">
        <f t="shared" si="13"/>
        <v>宗地面积</v>
      </c>
      <c r="AA34" s="1811" t="e">
        <f t="shared" si="3"/>
        <v>#N/A</v>
      </c>
      <c r="AB34" s="1811" t="e">
        <f t="shared" si="4"/>
        <v>#N/A</v>
      </c>
      <c r="AC34" s="1811"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69"/>
      <c r="Q35" s="1810" t="str">
        <f t="shared" ref="Q35:Q40" si="14">B35</f>
        <v>宗地形状</v>
      </c>
      <c r="R35" s="774" t="s">
        <v>17</v>
      </c>
      <c r="S35" s="775">
        <f t="shared" si="10"/>
        <v>100</v>
      </c>
      <c r="T35" s="774" t="s">
        <v>17</v>
      </c>
      <c r="U35" s="775">
        <f t="shared" si="11"/>
        <v>100</v>
      </c>
      <c r="V35" s="774" t="s">
        <v>17</v>
      </c>
      <c r="W35" s="775">
        <f t="shared" si="12"/>
        <v>100</v>
      </c>
      <c r="X35" s="1813"/>
      <c r="Y35" s="3269"/>
      <c r="Z35" s="1814" t="str">
        <f t="shared" si="13"/>
        <v>宗地形状</v>
      </c>
      <c r="AA35" s="1811">
        <f t="shared" si="3"/>
        <v>1</v>
      </c>
      <c r="AB35" s="1811">
        <f t="shared" si="4"/>
        <v>1</v>
      </c>
      <c r="AC35" s="1811">
        <f t="shared" si="5"/>
        <v>1</v>
      </c>
    </row>
    <row r="36" spans="1:29" s="117" customFormat="1" ht="15">
      <c r="A36" s="473"/>
      <c r="B36" s="422" t="s">
        <v>2750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69"/>
      <c r="Q36" s="1810" t="str">
        <f t="shared" si="14"/>
        <v>宗地开发程度</v>
      </c>
      <c r="R36" s="770" t="s">
        <v>17</v>
      </c>
      <c r="S36" s="771">
        <f t="shared" si="10"/>
        <v>100</v>
      </c>
      <c r="T36" s="770" t="s">
        <v>17</v>
      </c>
      <c r="U36" s="771">
        <f t="shared" si="11"/>
        <v>100</v>
      </c>
      <c r="V36" s="770" t="s">
        <v>17</v>
      </c>
      <c r="W36" s="771">
        <f t="shared" si="12"/>
        <v>100</v>
      </c>
      <c r="X36" s="772"/>
      <c r="Y36" s="3269"/>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69" t="s">
        <v>2561</v>
      </c>
      <c r="Q37" s="1810" t="str">
        <f t="shared" si="14"/>
        <v>工程地质条件</v>
      </c>
      <c r="R37" s="774" t="s">
        <v>17</v>
      </c>
      <c r="S37" s="775">
        <f t="shared" si="10"/>
        <v>100</v>
      </c>
      <c r="T37" s="774" t="s">
        <v>17</v>
      </c>
      <c r="U37" s="775">
        <f t="shared" si="11"/>
        <v>100</v>
      </c>
      <c r="V37" s="774" t="s">
        <v>17</v>
      </c>
      <c r="W37" s="775">
        <f t="shared" si="12"/>
        <v>100</v>
      </c>
      <c r="X37" s="1813"/>
      <c r="Y37" s="3269"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9"/>
      <c r="Q38" s="1810">
        <f t="shared" si="14"/>
        <v>111</v>
      </c>
      <c r="R38" s="774" t="s">
        <v>17</v>
      </c>
      <c r="S38" s="775">
        <f t="shared" si="10"/>
        <v>100</v>
      </c>
      <c r="T38" s="774" t="s">
        <v>17</v>
      </c>
      <c r="U38" s="775">
        <f t="shared" si="11"/>
        <v>100</v>
      </c>
      <c r="V38" s="774" t="s">
        <v>17</v>
      </c>
      <c r="W38" s="775">
        <f t="shared" si="12"/>
        <v>100</v>
      </c>
      <c r="X38" s="1813"/>
      <c r="Y38" s="326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9"/>
      <c r="Q39" s="1810">
        <f t="shared" si="14"/>
        <v>111</v>
      </c>
      <c r="R39" s="774" t="s">
        <v>17</v>
      </c>
      <c r="S39" s="775">
        <f t="shared" si="10"/>
        <v>100</v>
      </c>
      <c r="T39" s="774" t="s">
        <v>17</v>
      </c>
      <c r="U39" s="775">
        <f t="shared" si="11"/>
        <v>100</v>
      </c>
      <c r="V39" s="774" t="s">
        <v>17</v>
      </c>
      <c r="W39" s="775">
        <f t="shared" si="12"/>
        <v>100</v>
      </c>
      <c r="X39" s="1813"/>
      <c r="Y39" s="3269"/>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9"/>
      <c r="Q40" s="1810">
        <f t="shared" si="14"/>
        <v>111</v>
      </c>
      <c r="R40" s="777" t="s">
        <v>17</v>
      </c>
      <c r="S40" s="778">
        <f t="shared" si="10"/>
        <v>100</v>
      </c>
      <c r="T40" s="777" t="s">
        <v>17</v>
      </c>
      <c r="U40" s="778">
        <f t="shared" si="11"/>
        <v>100</v>
      </c>
      <c r="V40" s="777" t="s">
        <v>17</v>
      </c>
      <c r="W40" s="778">
        <f t="shared" si="12"/>
        <v>100</v>
      </c>
      <c r="X40" s="779"/>
      <c r="Y40" s="3269"/>
      <c r="Z40" s="780">
        <f t="shared" si="13"/>
        <v>111</v>
      </c>
      <c r="AA40" s="1811">
        <f t="shared" si="3"/>
        <v>1</v>
      </c>
      <c r="AB40" s="1811">
        <f t="shared" si="4"/>
        <v>1</v>
      </c>
      <c r="AC40" s="1811">
        <f t="shared" si="5"/>
        <v>1</v>
      </c>
    </row>
    <row r="41" spans="1:29" ht="15">
      <c r="A41" s="479" t="s">
        <v>2716</v>
      </c>
      <c r="B41" s="2706" t="s">
        <v>2796</v>
      </c>
      <c r="C41" s="682" t="s">
        <v>1</v>
      </c>
      <c r="D41" s="481"/>
      <c r="E41" s="482"/>
      <c r="F41" s="483"/>
      <c r="G41" s="484"/>
      <c r="H41" s="485"/>
      <c r="I41" s="482"/>
      <c r="J41" s="485"/>
      <c r="K41" s="783"/>
      <c r="L41" s="1143"/>
      <c r="M41" s="1131"/>
      <c r="N41" s="1131"/>
      <c r="O41" s="1144"/>
      <c r="P41" s="3262" t="str">
        <f>A41</f>
        <v>成交单价</v>
      </c>
      <c r="Q41" s="3262"/>
      <c r="R41" s="3257">
        <f>E41</f>
        <v>0</v>
      </c>
      <c r="S41" s="3257"/>
      <c r="T41" s="3257">
        <f>G41</f>
        <v>0</v>
      </c>
      <c r="U41" s="3257"/>
      <c r="V41" s="3257">
        <f>I41</f>
        <v>0</v>
      </c>
      <c r="W41" s="325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62" t="str">
        <f>A42</f>
        <v>比较价值（元/平方米）</v>
      </c>
      <c r="Q42" s="3262"/>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59" t="str">
        <f>A43</f>
        <v>估价对象XX用房的比较价值（楼面单价，元/平方米）</v>
      </c>
      <c r="Q43" s="3260"/>
      <c r="R43" s="3292" t="e">
        <f>ROUND(AVERAGE(R42:V42),0)</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7" t="s">
        <v>2756</v>
      </c>
      <c r="D50" s="2708" t="s">
        <v>2757</v>
      </c>
      <c r="E50" s="686" t="s">
        <v>2758</v>
      </c>
      <c r="F50" s="687" t="s">
        <v>2759</v>
      </c>
      <c r="G50" s="3245" t="s">
        <v>2760</v>
      </c>
      <c r="H50" s="3293"/>
      <c r="I50" s="1814" t="s">
        <v>2797</v>
      </c>
      <c r="J50" s="1814">
        <f>项目基本情况!F35</f>
        <v>0</v>
      </c>
      <c r="K50" s="2710" t="s">
        <v>2762</v>
      </c>
      <c r="L50" s="1106"/>
      <c r="M50" s="1144"/>
      <c r="N50" s="1144"/>
      <c r="O50" s="1144"/>
    </row>
    <row r="51" spans="1:17" s="692" customFormat="1">
      <c r="A51" s="688" t="s">
        <v>2763</v>
      </c>
      <c r="B51" s="689" t="e">
        <f>C43</f>
        <v>#DIV/0!</v>
      </c>
      <c r="C51" s="690">
        <v>1</v>
      </c>
      <c r="D51" s="1163">
        <v>1</v>
      </c>
      <c r="E51" s="690">
        <f>'数据-汇总表'!E8+'数据-汇总表'!E9</f>
        <v>631.32000000000005</v>
      </c>
      <c r="F51" s="691" t="e">
        <f t="shared" ref="F51:F60" si="15">ROUND(B51*E51/10000,0)</f>
        <v>#DIV/0!</v>
      </c>
      <c r="G51" s="3244"/>
      <c r="H51" s="3262"/>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94"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94"/>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94"/>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94"/>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1"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1"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2"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3" t="s">
        <v>2778</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2798</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2800</v>
      </c>
      <c r="B1" s="241"/>
      <c r="C1" s="245" t="s">
        <v>2801</v>
      </c>
      <c r="D1" s="388">
        <f>SUM(D29:D30,D33:D39)</f>
        <v>0</v>
      </c>
      <c r="E1" s="2719"/>
      <c r="F1" s="2719"/>
      <c r="G1" s="2719"/>
      <c r="H1" s="2719"/>
      <c r="I1" s="2719"/>
      <c r="J1" s="2719"/>
      <c r="K1" s="1370"/>
      <c r="L1" s="2720" t="s">
        <v>2802</v>
      </c>
      <c r="M1" s="1080">
        <f>SUMPRODUCT((区片价!B5:B9=I2)*(区片价!C3:F3=E2)*(区片价!C5:F9))</f>
        <v>0</v>
      </c>
      <c r="N1" s="1083">
        <f>SUMPRODUCT((因素修正幅度!B5:B9=I2)*(因素修正幅度!C3:F3=E2)*(因素修正幅度!C5:F9))</f>
        <v>0</v>
      </c>
      <c r="O1" s="2721"/>
      <c r="P1" s="2721"/>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3" t="s">
        <v>2809</v>
      </c>
      <c r="D2" s="2724" t="s">
        <v>2810</v>
      </c>
      <c r="E2" s="2725"/>
      <c r="F2" s="2724" t="s">
        <v>2811</v>
      </c>
      <c r="G2" s="2726">
        <f>IF(E2="商业",项目基本情况!B37,IF(E2="办公",项目基本情况!C37,IF(E2="住宅",项目基本情况!D37,项目基本情况!E37)))</f>
        <v>0</v>
      </c>
      <c r="H2" s="2724" t="s">
        <v>2812</v>
      </c>
      <c r="I2" s="2726">
        <f>IF(E2="商业",项目基本情况!B38,IF(E2="办公",项目基本情况!C38,IF(E2="住宅",项目基本情况!D38,项目基本情况!E38)))</f>
        <v>0</v>
      </c>
      <c r="J2" s="2727"/>
      <c r="K2" s="1370"/>
      <c r="L2" s="2728"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3" t="s">
        <v>2815</v>
      </c>
      <c r="D3" s="2724" t="s">
        <v>2816</v>
      </c>
      <c r="E3" s="2729"/>
      <c r="F3" s="2730" t="s">
        <v>2817</v>
      </c>
      <c r="G3" s="916" t="e">
        <f>IF(F3="宗地容积率",'数据-汇总表'!I4,IF(F3="估价对象容积率",'数据-汇总表'!I6,'数据-汇总表'!I7))</f>
        <v>#DIV/0!</v>
      </c>
      <c r="H3" s="198" t="s">
        <v>2818</v>
      </c>
      <c r="I3" s="944"/>
      <c r="J3" s="2727" t="s">
        <v>2819</v>
      </c>
      <c r="K3" s="1370"/>
      <c r="L3" s="2728"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5"/>
      <c r="B4" s="3316"/>
      <c r="C4" s="3316"/>
      <c r="D4" s="3317"/>
      <c r="E4" s="3317"/>
      <c r="F4" s="3317"/>
      <c r="G4" s="3317"/>
      <c r="H4" s="3317"/>
      <c r="I4" s="3317"/>
      <c r="J4" s="3318"/>
      <c r="K4" s="1370"/>
      <c r="L4" s="2728"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2822</v>
      </c>
      <c r="C5" s="917" t="e">
        <f>ROUND(IF(E2="商业",C6*C7+C16,(IF(E2="住宅",C6*C12+C16,C6+C16))),0)</f>
        <v>#DIV/0!</v>
      </c>
      <c r="D5" s="1787" t="e">
        <f>ROUND(C6+C16,0)</f>
        <v>#DIV/0!</v>
      </c>
      <c r="E5" s="1787"/>
      <c r="F5" s="2733"/>
      <c r="G5" s="2734"/>
      <c r="H5" s="2734"/>
      <c r="I5" s="2734"/>
      <c r="J5" s="2735"/>
      <c r="K5" s="2736"/>
      <c r="L5" s="2728"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2824</v>
      </c>
      <c r="B6" s="2742" t="s">
        <v>2825</v>
      </c>
      <c r="C6" s="918">
        <f>SUMIF(L1:L12,G2,M1:M12)</f>
        <v>0</v>
      </c>
      <c r="D6" s="2743" t="s">
        <v>2826</v>
      </c>
      <c r="E6" s="2744"/>
      <c r="F6" s="2744"/>
      <c r="G6" s="2745"/>
      <c r="H6" s="2745"/>
      <c r="I6" s="2745"/>
      <c r="J6" s="2746"/>
      <c r="K6" s="1842"/>
      <c r="L6" s="2728"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99" t="str">
        <f>IF(E2="商业",IF(C8="不临58条商业街","",2),"")</f>
        <v/>
      </c>
      <c r="B7" s="2747" t="s">
        <v>2828</v>
      </c>
      <c r="C7" s="919" t="e">
        <f>IF(C8="不临58条商业街",1,ROUND(1+(1.6*E8+1.2*E9+0.8*E10+0.4*E11)*C9,4))</f>
        <v>#DIV/0!</v>
      </c>
      <c r="D7" s="2748" t="s">
        <v>2829</v>
      </c>
      <c r="E7" s="945"/>
      <c r="F7" s="2749"/>
      <c r="G7" s="2750"/>
      <c r="H7" s="2750"/>
      <c r="I7" s="2750"/>
      <c r="J7" s="2751"/>
      <c r="K7" s="1842"/>
      <c r="L7" s="2728"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319"/>
      <c r="B8" s="198" t="s">
        <v>2833</v>
      </c>
      <c r="C8" s="2752"/>
      <c r="D8" s="920" t="s">
        <v>139</v>
      </c>
      <c r="E8" s="921" t="e">
        <f>ROUND(C11/E7,4)</f>
        <v>#DIV/0!</v>
      </c>
      <c r="F8" s="2753" t="s">
        <v>2834</v>
      </c>
      <c r="G8" s="2754"/>
      <c r="H8" s="2754"/>
      <c r="I8" s="2754"/>
      <c r="J8" s="2755"/>
      <c r="K8" s="1370"/>
      <c r="L8" s="2728"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2" t="s">
        <v>2836</v>
      </c>
      <c r="X8" s="3313"/>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319"/>
      <c r="B9" s="198" t="s">
        <v>2849</v>
      </c>
      <c r="C9" s="922">
        <f>SUMIF(修正!C59:C119,C8,修正!E59:E119)</f>
        <v>0</v>
      </c>
      <c r="D9" s="200" t="s">
        <v>140</v>
      </c>
      <c r="E9" s="200" t="e">
        <f>ROUND(C11/E7,4)</f>
        <v>#DIV/0!</v>
      </c>
      <c r="F9" s="2753" t="s">
        <v>2850</v>
      </c>
      <c r="G9" s="2754"/>
      <c r="H9" s="2754"/>
      <c r="I9" s="2754"/>
      <c r="J9" s="2755"/>
      <c r="K9" s="1370"/>
      <c r="L9" s="2728"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4"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9"/>
      <c r="B10" s="198" t="s">
        <v>2854</v>
      </c>
      <c r="C10" s="200">
        <f>SUMIF(修正!C59:C119,C8,修正!F59:F119)</f>
        <v>0</v>
      </c>
      <c r="D10" s="200" t="s">
        <v>141</v>
      </c>
      <c r="E10" s="200" t="e">
        <f>ROUND(C11/E7,4)</f>
        <v>#DIV/0!</v>
      </c>
      <c r="F10" s="2753" t="s">
        <v>2855</v>
      </c>
      <c r="G10" s="2754"/>
      <c r="H10" s="2754"/>
      <c r="I10" s="2754"/>
      <c r="J10" s="2755"/>
      <c r="K10" s="1370"/>
      <c r="L10" s="2728"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9"/>
      <c r="B11" s="2756" t="s">
        <v>2857</v>
      </c>
      <c r="C11" s="923">
        <f>C10/4</f>
        <v>0</v>
      </c>
      <c r="D11" s="923" t="s">
        <v>142</v>
      </c>
      <c r="E11" s="923" t="e">
        <f>ROUND(C11/E7,4)</f>
        <v>#DIV/0!</v>
      </c>
      <c r="F11" s="2757" t="s">
        <v>2858</v>
      </c>
      <c r="G11" s="2758"/>
      <c r="H11" s="2758"/>
      <c r="I11" s="2758"/>
      <c r="J11" s="2759"/>
      <c r="K11" s="1370"/>
      <c r="L11" s="2728"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4"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99" t="s">
        <v>2862</v>
      </c>
      <c r="B12" s="2760" t="s">
        <v>2863</v>
      </c>
      <c r="C12" s="919">
        <f>ROUND(C15*D15*E15*F15*G15*H15*I15*J15,4)</f>
        <v>1</v>
      </c>
      <c r="D12" s="2761" t="s">
        <v>2864</v>
      </c>
      <c r="E12" s="2762"/>
      <c r="F12" s="2762"/>
      <c r="G12" s="2763"/>
      <c r="H12" s="2763"/>
      <c r="I12" s="2763"/>
      <c r="J12" s="2764"/>
      <c r="K12" s="1370"/>
      <c r="L12" s="2765"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4"/>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0"/>
      <c r="B13" s="2766" t="s">
        <v>2867</v>
      </c>
      <c r="C13" s="2767" t="s">
        <v>2868</v>
      </c>
      <c r="D13" s="1808" t="s">
        <v>2869</v>
      </c>
      <c r="E13" s="1808" t="s">
        <v>2870</v>
      </c>
      <c r="F13" s="30" t="s">
        <v>2871</v>
      </c>
      <c r="G13" s="2768" t="s">
        <v>2872</v>
      </c>
      <c r="H13" s="2768" t="s">
        <v>2872</v>
      </c>
      <c r="I13" s="2768" t="s">
        <v>2872</v>
      </c>
      <c r="J13" s="2769" t="s">
        <v>2872</v>
      </c>
      <c r="K13" s="1370"/>
      <c r="L13" s="1370"/>
      <c r="M13" s="1370"/>
      <c r="N13" s="1370"/>
      <c r="O13" s="1370"/>
      <c r="P13" s="1370"/>
      <c r="Q13" s="1370"/>
      <c r="R13" s="1602">
        <v>12</v>
      </c>
      <c r="S13" s="1603"/>
      <c r="T13" s="1602" t="e">
        <f t="shared" si="0"/>
        <v>#DIV/0!</v>
      </c>
      <c r="U13" s="1603"/>
      <c r="V13" s="1602" t="e">
        <f t="shared" si="1"/>
        <v>#DIV/0!</v>
      </c>
      <c r="W13" s="331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20"/>
      <c r="B14" s="2770"/>
      <c r="C14" s="2771"/>
      <c r="D14" s="2772"/>
      <c r="E14" s="2772"/>
      <c r="F14" s="2773"/>
      <c r="G14" s="2774" t="s">
        <v>2873</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1"/>
      <c r="B15" s="2778"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99" t="s">
        <v>2879</v>
      </c>
      <c r="B16" s="2747" t="s">
        <v>2880</v>
      </c>
      <c r="C16" s="2934" t="e">
        <f>ROUND(IF(F17="与级别开发程度一致",0,(G17-E17)/C17),0)</f>
        <v>#DIV/0!</v>
      </c>
      <c r="D16" s="3310" t="s">
        <v>2884</v>
      </c>
      <c r="E16" s="3311"/>
      <c r="F16" s="3310" t="s">
        <v>2881</v>
      </c>
      <c r="G16" s="3311"/>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0"/>
      <c r="B17" s="2945" t="s">
        <v>2883</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2886</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2887</v>
      </c>
      <c r="C19" s="924" t="e">
        <f>ROUND(IF(H19="按公示增长率计算",SUMPRODUCT((地价!A3:A29=YEAR(G19)&amp;"-"&amp;ROUNDUP(MONTH(G19)/3,0))*(地价!X2:AB2=E2)*(地价!X3:AB29)),IF(H19="地价指数",M20/M19,(1+I19)^O19)),4)</f>
        <v>#VALUE!</v>
      </c>
      <c r="D19" s="2791" t="s">
        <v>2888</v>
      </c>
      <c r="E19" s="925">
        <v>41640</v>
      </c>
      <c r="F19" s="2791" t="s">
        <v>2889</v>
      </c>
      <c r="G19" s="926">
        <f>'数据-取费表'!B2</f>
        <v>43914</v>
      </c>
      <c r="H19" s="2792"/>
      <c r="I19" s="927" t="str">
        <f>IF(H19="季度增幅（自定义）",SUMIF(N21:N24,E2,O21:O24),"")</f>
        <v/>
      </c>
      <c r="J19" s="2789"/>
      <c r="K19" s="1377"/>
      <c r="L19" s="2793" t="s">
        <v>2890</v>
      </c>
      <c r="M19" s="1734">
        <f>ROUND(SUMIF(地价!B2:F2,E2,地价!B29:F29),0)</f>
        <v>0</v>
      </c>
      <c r="N19" s="2794"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2892</v>
      </c>
      <c r="C20" s="929" t="e">
        <f>ROUND(POWER(1+G20,J20-I20)*(POWER(1+G20,I20)-1)/(POWER(1+G20,J20)-1),4)</f>
        <v>#DIV/0!</v>
      </c>
      <c r="D20" s="2800" t="s">
        <v>2893</v>
      </c>
      <c r="E20" s="1768">
        <f ca="1">存贷款利率!D4/100</f>
        <v>4.3499999999999997E-2</v>
      </c>
      <c r="F20" s="2800" t="s">
        <v>2885</v>
      </c>
      <c r="G20" s="934">
        <f>SUMIF(M26:P26,E2,M28:P28)</f>
        <v>0</v>
      </c>
      <c r="H20" s="2800" t="s">
        <v>2894</v>
      </c>
      <c r="I20" s="935" t="e">
        <f>SUMIF('数据-取费表'!C6:C15,E2,'数据-取费表'!F6:F15)/COUNTIF('数据-取费表'!C6:C15,E2)</f>
        <v>#DIV/0!</v>
      </c>
      <c r="J20" s="936">
        <f>IF(E2="住宅",70,IF(E2="商业",40,50))</f>
        <v>50</v>
      </c>
      <c r="K20" s="1377"/>
      <c r="L20" s="2801" t="s">
        <v>2895</v>
      </c>
      <c r="M20" s="1735">
        <f>ROUND(SUMPRODUCT((地价!A4:A29=YEAR(G19)&amp;"-"&amp;ROUNDUP(MONTH(G19)/3,0))*(地价!B2:F2=E2)*(地价!B4:F29)),0)</f>
        <v>0</v>
      </c>
      <c r="N20" s="2802" t="s">
        <v>2896</v>
      </c>
      <c r="O20" s="2803" t="s">
        <v>2897</v>
      </c>
      <c r="P20" s="2804" t="s">
        <v>2898</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2899</v>
      </c>
      <c r="C21" s="937" t="e">
        <f>IF(B21="容积率修正",IF(G3&lt;=10,D22,J22),C23)</f>
        <v>#DIV/0!</v>
      </c>
      <c r="D21" s="2807"/>
      <c r="E21" s="2807"/>
      <c r="F21" s="2807"/>
      <c r="G21" s="2807"/>
      <c r="H21" s="2807"/>
      <c r="I21" s="2807"/>
      <c r="J21" s="2808"/>
      <c r="K21" s="1377"/>
      <c r="N21" s="2809"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0</v>
      </c>
      <c r="D24" s="2788"/>
      <c r="E24" s="2817"/>
      <c r="F24" s="2817"/>
      <c r="G24" s="2817"/>
      <c r="H24" s="2817"/>
      <c r="I24" s="2817"/>
      <c r="J24" s="2818"/>
      <c r="K24" s="1377"/>
      <c r="N24" s="2819"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2912</v>
      </c>
      <c r="C26" s="206" t="e">
        <f>E29+SUM(E33:E39)</f>
        <v>#DIV/0!</v>
      </c>
      <c r="D26" s="2824"/>
      <c r="E26" s="2775"/>
      <c r="F26" s="2825"/>
      <c r="G26" s="2775"/>
      <c r="H26" s="2775"/>
      <c r="I26" s="2775"/>
      <c r="J26" s="2826"/>
      <c r="K26" s="1370"/>
      <c r="L26" s="2779" t="s">
        <v>2810</v>
      </c>
      <c r="M26" s="920" t="s">
        <v>2875</v>
      </c>
      <c r="N26" s="920" t="s">
        <v>2876</v>
      </c>
      <c r="O26" s="920" t="s">
        <v>2877</v>
      </c>
      <c r="P26" s="2780" t="s">
        <v>2878</v>
      </c>
      <c r="R26" s="1376"/>
      <c r="S26" s="1376"/>
      <c r="T26" s="1371"/>
      <c r="U26" s="1371"/>
      <c r="V26" s="1371"/>
      <c r="W26" s="1370"/>
      <c r="X26" s="1370"/>
      <c r="Y26" s="1370"/>
      <c r="Z26" s="1377"/>
      <c r="AA26" s="1378"/>
      <c r="AB26" s="1378"/>
      <c r="AC26" s="1378"/>
      <c r="AD26" s="1378"/>
    </row>
    <row r="27" spans="1:37" ht="15.75" thickBot="1">
      <c r="A27" s="2823"/>
      <c r="B27" s="2827" t="s">
        <v>2913</v>
      </c>
      <c r="C27" s="931" t="e">
        <f>E30+SUM(I33:I39)</f>
        <v>#DIV/0!</v>
      </c>
      <c r="D27" s="2828"/>
      <c r="E27" s="2829"/>
      <c r="F27" s="2830"/>
      <c r="G27" s="2829"/>
      <c r="H27" s="2829"/>
      <c r="I27" s="2829"/>
      <c r="J27" s="2831"/>
      <c r="K27" s="1370"/>
      <c r="L27" s="2783"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t="e">
        <f>ROUND(C5*C18*C19*C20*C21*C24,0)</f>
        <v>#DIV/0!</v>
      </c>
      <c r="D29" s="2839"/>
      <c r="E29" s="942" t="e">
        <f>ROUND(C29*D29/10000,0)</f>
        <v>#DIV/0!</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t="e">
        <f>ROUND(IF(E2="工业",C29*M39,C29*M38),0)</f>
        <v>#DIV/0!</v>
      </c>
      <c r="D30" s="2845"/>
      <c r="E30" s="942" t="e">
        <f>ROUND(C30*D30/10000,0)</f>
        <v>#DIV/0!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07" t="s">
        <v>2926</v>
      </c>
      <c r="B33" s="2855" t="s">
        <v>2927</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8"/>
      <c r="B34" s="2767" t="s">
        <v>2928</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8"/>
      <c r="B35" s="2767" t="s">
        <v>2929</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09"/>
      <c r="B36" s="2767" t="s">
        <v>2930</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2878</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3042</v>
      </c>
      <c r="C41" s="388" t="e">
        <f>ROUND(POWER(1+E41,H41-G41)*(POWER(1+E41,G41)-1)/(POWER(1+E41,H41)-1),4)</f>
        <v>#DIV/0!</v>
      </c>
      <c r="D41" s="200" t="s">
        <v>2885</v>
      </c>
      <c r="E41" s="2931">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2938</v>
      </c>
      <c r="B47" s="1809" t="s">
        <v>2939</v>
      </c>
      <c r="C47" s="1809" t="s">
        <v>2940</v>
      </c>
      <c r="D47" s="1809" t="s">
        <v>2941</v>
      </c>
      <c r="E47" s="819" t="s">
        <v>2942</v>
      </c>
      <c r="F47" s="2873" t="s">
        <v>2943</v>
      </c>
      <c r="G47" s="1809" t="s">
        <v>754</v>
      </c>
      <c r="H47" s="2874"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2938</v>
      </c>
      <c r="B58" s="1809"/>
      <c r="C58" s="1809" t="s">
        <v>2940</v>
      </c>
      <c r="D58" s="1809" t="s">
        <v>2941</v>
      </c>
      <c r="E58" s="819" t="s">
        <v>2942</v>
      </c>
      <c r="F58" s="2873" t="s">
        <v>2958</v>
      </c>
      <c r="G58" s="1809" t="s">
        <v>754</v>
      </c>
      <c r="H58" s="2874"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2938</v>
      </c>
      <c r="B69" s="1809"/>
      <c r="C69" s="1809" t="s">
        <v>2940</v>
      </c>
      <c r="D69" s="1809" t="s">
        <v>2941</v>
      </c>
      <c r="E69" s="819" t="s">
        <v>2942</v>
      </c>
      <c r="F69" s="2873" t="s">
        <v>2958</v>
      </c>
      <c r="G69" s="1809" t="s">
        <v>754</v>
      </c>
      <c r="H69" s="2874"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2593</v>
      </c>
      <c r="K80" s="603" t="s">
        <v>2594</v>
      </c>
      <c r="L80" s="603" t="s">
        <v>2595</v>
      </c>
      <c r="M80" s="603" t="s">
        <v>2596</v>
      </c>
      <c r="N80" s="603" t="s">
        <v>2597</v>
      </c>
      <c r="Z80" s="2722"/>
      <c r="AA80" s="2790"/>
      <c r="AG80" s="1372"/>
      <c r="AK80" s="2790"/>
    </row>
    <row r="81" spans="1:37" ht="38.25">
      <c r="A81" s="2872" t="s">
        <v>2965</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2947</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2948</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2962</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2954</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2955</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2952</v>
      </c>
      <c r="B87" s="2878" t="s">
        <v>2966</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2967</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01" t="s">
        <v>2968</v>
      </c>
      <c r="B90" s="3301"/>
      <c r="C90" s="3301"/>
      <c r="D90" s="3301"/>
      <c r="E90" s="3301"/>
      <c r="F90" s="3301"/>
      <c r="G90" s="3301"/>
      <c r="H90" s="3301"/>
      <c r="I90" s="3301"/>
      <c r="J90" s="3301"/>
      <c r="K90" s="2886"/>
      <c r="L90" s="2886"/>
      <c r="M90" s="2886"/>
      <c r="N90" s="2886"/>
    </row>
    <row r="91" spans="1:37">
      <c r="A91" s="3303" t="s">
        <v>2969</v>
      </c>
      <c r="B91" s="3303" t="s">
        <v>2970</v>
      </c>
      <c r="C91" s="2840" t="s">
        <v>2971</v>
      </c>
      <c r="D91" s="2841"/>
      <c r="E91" s="2841"/>
      <c r="F91" s="2841"/>
      <c r="G91" s="2841"/>
      <c r="H91" s="2841"/>
      <c r="I91" s="2841"/>
      <c r="J91" s="2887"/>
      <c r="K91" s="2888"/>
      <c r="L91" s="2888"/>
      <c r="M91" s="2888"/>
      <c r="N91" s="2888"/>
    </row>
    <row r="92" spans="1:37">
      <c r="A92" s="3303"/>
      <c r="B92" s="3303"/>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04"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5"/>
      <c r="B99" s="2889" t="s">
        <v>2853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0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04" t="s">
        <v>2973</v>
      </c>
      <c r="B101" s="2893" t="s">
        <v>2974</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05"/>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05"/>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05"/>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05"/>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05"/>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05"/>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05"/>
      <c r="B108" s="3131"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06"/>
      <c r="B109" s="3132"/>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02" t="s">
        <v>2976</v>
      </c>
      <c r="B110" s="3302"/>
      <c r="C110" s="3302"/>
      <c r="D110" s="3302"/>
      <c r="E110" s="3302"/>
      <c r="F110" s="3302"/>
      <c r="G110" s="3302"/>
      <c r="H110" s="3302"/>
      <c r="I110" s="3302"/>
      <c r="J110" s="3302"/>
      <c r="K110" s="2895"/>
      <c r="L110" s="2895"/>
      <c r="M110" s="2895"/>
      <c r="N110" s="2895"/>
    </row>
    <row r="112" spans="1:14" ht="13.5" thickBot="1"/>
    <row r="113" spans="1:13" ht="25.5" thickBot="1">
      <c r="A113" s="903" t="s">
        <v>2977</v>
      </c>
      <c r="B113" s="1287" t="e">
        <f>G3</f>
        <v>#DIV/0!</v>
      </c>
      <c r="C113" s="904" t="s">
        <v>2978</v>
      </c>
      <c r="D113" s="905" t="e">
        <f>SUMPRODUCT((A115:A118=F113)*(B114:M114=H113)*B115:M118)</f>
        <v>#DIV/0!</v>
      </c>
      <c r="E113" s="2726" t="s">
        <v>2810</v>
      </c>
      <c r="F113" s="2897">
        <f>E2</f>
        <v>0</v>
      </c>
      <c r="G113" s="2726" t="s">
        <v>2811</v>
      </c>
      <c r="H113" s="2897">
        <f>G2</f>
        <v>0</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77">
        <f ca="1">SUMIF(INDIRECT("'"&amp;A6&amp;"'"&amp;"!C:C"),"建筑面积",INDIRECT("'"&amp;A6&amp;"'"&amp;"!D:D"))</f>
        <v>0</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8" t="s">
        <v>1145</v>
      </c>
      <c r="C1" s="3328"/>
      <c r="D1" s="3328"/>
      <c r="E1" s="3328"/>
      <c r="F1" s="3328"/>
      <c r="G1" s="3324" t="s">
        <v>1146</v>
      </c>
      <c r="H1" s="3324"/>
      <c r="I1" s="3324"/>
      <c r="J1" s="3324"/>
      <c r="K1" s="3324"/>
      <c r="L1" s="3324"/>
      <c r="N1" s="3324" t="s">
        <v>1147</v>
      </c>
      <c r="O1" s="3324"/>
      <c r="P1" s="3324"/>
      <c r="Q1" s="3324"/>
      <c r="R1" s="1446"/>
      <c r="S1" s="3324" t="s">
        <v>1148</v>
      </c>
      <c r="T1" s="3324"/>
      <c r="U1" s="3324"/>
      <c r="V1" s="3324"/>
      <c r="X1" s="3323" t="s">
        <v>1149</v>
      </c>
      <c r="Y1" s="3324"/>
      <c r="Z1" s="3324"/>
      <c r="AA1" s="3324"/>
      <c r="AB1" s="3324"/>
      <c r="AD1" s="3323" t="s">
        <v>1150</v>
      </c>
      <c r="AE1" s="3324"/>
      <c r="AF1" s="3324"/>
      <c r="AG1" s="3324"/>
      <c r="AH1" s="332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3033</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3034</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2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32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6">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7">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6">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7">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0"/>
      <c r="B4" s="3015" t="s">
        <v>1624</v>
      </c>
      <c r="C4" s="3015"/>
      <c r="D4" s="3015"/>
      <c r="E4" s="1960"/>
    </row>
    <row r="5" spans="1:5" ht="16.5" thickTop="1">
      <c r="A5" s="1958"/>
      <c r="B5" s="3013" t="s">
        <v>1616</v>
      </c>
      <c r="C5" s="1961" t="s">
        <v>1617</v>
      </c>
      <c r="D5" s="1040">
        <f ca="1">结果表!H101</f>
        <v>2776</v>
      </c>
      <c r="E5" s="1958"/>
    </row>
    <row r="6" spans="1:5" ht="15.75">
      <c r="A6" s="1958"/>
      <c r="B6" s="3013"/>
      <c r="C6" s="1961" t="s">
        <v>1618</v>
      </c>
      <c r="D6" s="1040" t="str">
        <f ca="1">NUMBERSTRING(INT(D5*10000),2)&amp;"元整"</f>
        <v>贰仟柒佰柒拾陆万元整</v>
      </c>
      <c r="E6" s="1958"/>
    </row>
    <row r="7" spans="1:5" ht="15.75">
      <c r="A7" s="1958"/>
      <c r="B7" s="3018"/>
      <c r="C7" s="1962" t="s">
        <v>1619</v>
      </c>
      <c r="D7" s="1041">
        <f ca="1">结果表!H102</f>
        <v>43971</v>
      </c>
      <c r="E7" s="1958"/>
    </row>
    <row r="8" spans="1:5" ht="15.75">
      <c r="A8" s="1958"/>
      <c r="B8" s="3019" t="str">
        <f>结果表!E103</f>
        <v>2.估价师知悉的法定优先受偿款</v>
      </c>
      <c r="C8" s="1963" t="s">
        <v>1620</v>
      </c>
      <c r="D8" s="1041">
        <f>结果表!H103</f>
        <v>0</v>
      </c>
      <c r="E8" s="1958"/>
    </row>
    <row r="9" spans="1:5" ht="15.75">
      <c r="A9" s="1958"/>
      <c r="B9" s="302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12" t="str">
        <f>结果表!E107</f>
        <v>3.房地产抵押价值</v>
      </c>
      <c r="C13" s="1966" t="s">
        <v>1617</v>
      </c>
      <c r="D13" s="1043">
        <f ca="1">结果表!H107</f>
        <v>2776</v>
      </c>
      <c r="E13" s="1958"/>
    </row>
    <row r="14" spans="1:5" ht="15.75">
      <c r="A14" s="1958"/>
      <c r="B14" s="3013"/>
      <c r="C14" s="1961" t="s">
        <v>1618</v>
      </c>
      <c r="D14" s="1040" t="str">
        <f ca="1">NUMBERSTRING(INT(D13*10000),2)&amp;"元整"</f>
        <v>贰仟柒佰柒拾陆万元整</v>
      </c>
      <c r="E14" s="1958"/>
    </row>
    <row r="15" spans="1:5" ht="15">
      <c r="A15" s="1958"/>
      <c r="B15" s="3018"/>
      <c r="C15" s="1962" t="s">
        <v>1628</v>
      </c>
      <c r="D15" s="1052">
        <f ca="1">结果表!H108</f>
        <v>43971</v>
      </c>
      <c r="E15" s="1958"/>
    </row>
    <row r="16" spans="1:5" ht="15">
      <c r="A16" s="1958"/>
      <c r="B16" s="3019" t="str">
        <f>结果表!E109</f>
        <v>——</v>
      </c>
      <c r="C16" s="1966" t="s">
        <v>1629</v>
      </c>
      <c r="D16" s="1967" t="str">
        <f>结果表!H109</f>
        <v>——</v>
      </c>
      <c r="E16" s="1958"/>
    </row>
    <row r="17" spans="1:5" ht="15.75">
      <c r="A17" s="1958"/>
      <c r="B17" s="3020"/>
      <c r="C17" s="1961" t="s">
        <v>1630</v>
      </c>
      <c r="D17" s="1040" t="e">
        <f>NUMBERSTRING(INT(D16*10000),2)&amp;"元整"</f>
        <v>#VALUE!</v>
      </c>
      <c r="E17" s="1958"/>
    </row>
    <row r="18" spans="1:5" ht="15">
      <c r="A18" s="1958"/>
      <c r="B18" s="3021"/>
      <c r="C18" s="1962" t="s">
        <v>1619</v>
      </c>
      <c r="D18" s="1052" t="str">
        <f>结果表!H110</f>
        <v>——</v>
      </c>
      <c r="E18" s="1958"/>
    </row>
    <row r="19" spans="1:5" ht="15.75">
      <c r="A19" s="1958"/>
      <c r="B19" s="3012" t="str">
        <f>结果表!E111</f>
        <v>4.抵押净值</v>
      </c>
      <c r="C19" s="1966" t="s">
        <v>1617</v>
      </c>
      <c r="D19" s="1041">
        <f ca="1">结果表!H111</f>
        <v>2146</v>
      </c>
      <c r="E19" s="1958"/>
    </row>
    <row r="20" spans="1:5" ht="15.75">
      <c r="A20" s="1958"/>
      <c r="B20" s="3013"/>
      <c r="C20" s="1961" t="s">
        <v>1630</v>
      </c>
      <c r="D20" s="1040" t="str">
        <f ca="1">NUMBERSTRING(INT(D19*10000),2)&amp;"元整"</f>
        <v>贰仟壹佰肆拾陆万元整</v>
      </c>
      <c r="E20" s="1958"/>
    </row>
    <row r="21" spans="1:5" ht="15.75" thickBot="1">
      <c r="A21" s="1958"/>
      <c r="B21" s="3014"/>
      <c r="C21" s="1968" t="s">
        <v>1628</v>
      </c>
      <c r="D21" s="1053">
        <f ca="1">结果表!H112</f>
        <v>33992</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35" t="s">
        <v>3002</v>
      </c>
      <c r="D1" s="3336"/>
      <c r="E1" s="3336"/>
      <c r="F1" s="3336"/>
      <c r="G1" s="3336"/>
      <c r="H1" s="3336"/>
      <c r="I1" s="3336"/>
      <c r="J1" s="3336"/>
      <c r="K1" s="3336"/>
      <c r="L1" s="3336"/>
      <c r="M1" s="3336"/>
      <c r="N1" s="3336"/>
      <c r="O1" s="3336"/>
      <c r="P1" s="3336"/>
      <c r="Q1" s="3336"/>
      <c r="R1" s="3336"/>
      <c r="S1" s="3337"/>
      <c r="T1" s="1204" t="s">
        <v>3003</v>
      </c>
    </row>
    <row r="2" spans="1:45" s="707" customFormat="1" ht="38.25">
      <c r="A2" s="1205"/>
      <c r="B2" s="703" t="s">
        <v>3004</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500</v>
      </c>
      <c r="F3" s="1704">
        <v>1000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f ca="1">IF(D20="——",S22,S22-F20)</f>
        <v>9512</v>
      </c>
      <c r="C20" s="168"/>
      <c r="D20" s="2913" t="s">
        <v>70</v>
      </c>
      <c r="E20" s="1793"/>
      <c r="F20" s="1204" t="e">
        <f ca="1">SUMIF(INDIRECT("'"&amp;H20&amp;"'"&amp;"!A:A"),"承租人权益价值",INDIRECT("'"&amp;H20&amp;"'"&amp;"!c:c"))</f>
        <v>#REF!</v>
      </c>
      <c r="G20" s="1204" t="s">
        <v>3015</v>
      </c>
      <c r="H20" s="2914"/>
      <c r="I20" s="168"/>
      <c r="J20" s="168"/>
      <c r="K20" s="168"/>
      <c r="L20" s="168"/>
      <c r="M20" s="168"/>
      <c r="N20" s="168"/>
      <c r="O20" s="168"/>
      <c r="P20" s="168"/>
      <c r="Q20" s="168"/>
      <c r="R20" s="788"/>
      <c r="S20" s="138"/>
    </row>
    <row r="21" spans="1:45" ht="15.75">
      <c r="A21" s="715" t="s">
        <v>3016</v>
      </c>
      <c r="B21" s="338">
        <f ca="1">R22</f>
        <v>43971</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2163.25</v>
      </c>
      <c r="C22" s="3112" t="s">
        <v>33</v>
      </c>
      <c r="D22" s="3113"/>
      <c r="E22" s="3113"/>
      <c r="F22" s="3113"/>
      <c r="G22" s="3113"/>
      <c r="H22" s="3113"/>
      <c r="I22" s="3113"/>
      <c r="J22" s="3113"/>
      <c r="K22" s="3113"/>
      <c r="L22" s="3113"/>
      <c r="M22" s="3113"/>
      <c r="N22" s="3113"/>
      <c r="O22" s="3113"/>
      <c r="P22" s="3113"/>
      <c r="Q22" s="3334"/>
      <c r="R22" s="716">
        <f ca="1">ROUND(S22*10000/B22,0)</f>
        <v>43971</v>
      </c>
      <c r="S22" s="24">
        <f ca="1">SUM(S24:S10000)</f>
        <v>9512</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结果表!G20</f>
        <v>43972</v>
      </c>
      <c r="S24" s="719">
        <f t="shared" ref="S24:S54" ca="1" si="11">ROUND(R24*B24/10000,0)</f>
        <v>3368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'数据-基础表'!I14</f>
        <v>631.32000000000005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43972</v>
      </c>
      <c r="S25" s="361">
        <f t="shared" ca="1" si="11"/>
        <v>2776</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43972</v>
      </c>
      <c r="S26" s="361">
        <f t="shared" ca="1" si="11"/>
        <v>3368</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28654</v>
      </c>
      <c r="C2" s="2" t="s">
        <v>133</v>
      </c>
      <c r="D2" s="243"/>
      <c r="E2" s="243"/>
      <c r="F2" s="243"/>
      <c r="G2" s="243"/>
    </row>
    <row r="3" spans="1:7" s="244" customFormat="1" ht="18" customHeight="1" thickBot="1">
      <c r="A3" s="247" t="s">
        <v>85</v>
      </c>
      <c r="B3" s="248">
        <f ca="1">ROUND(B2*10000/'数据-汇总表'!E3,0)</f>
        <v>453874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v>
      </c>
      <c r="D10" s="1032">
        <f>'数据-汇总表'!E6</f>
        <v>631.32000000000005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v>
      </c>
      <c r="D19" s="1036">
        <f>'数据-汇总表'!E3</f>
        <v>631.32000000000005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189</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v>
      </c>
      <c r="D37" s="261">
        <f>'数据-汇总表'!E3</f>
        <v>631.32000000000005</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10</v>
      </c>
      <c r="D42" s="282"/>
      <c r="E42" s="282"/>
      <c r="F42" s="283"/>
      <c r="G42" s="3197" t="s">
        <v>121</v>
      </c>
    </row>
    <row r="43" spans="1:7" ht="13.5" customHeight="1">
      <c r="A43" s="951" t="s">
        <v>792</v>
      </c>
      <c r="B43" s="259" t="s">
        <v>1060</v>
      </c>
      <c r="C43" s="282">
        <f ca="1">ROUND(IF('数据-取费表'!B22&lt;=1,C39*F22*'数据-取费表'!B21/2,C39*(POWER((1+F22),'数据-取费表'!B21/2)-1)),0)</f>
        <v>0</v>
      </c>
      <c r="D43" s="282"/>
      <c r="E43" s="282"/>
      <c r="F43" s="283"/>
      <c r="G43" s="3198"/>
    </row>
    <row r="44" spans="1:7" ht="13.5" customHeight="1">
      <c r="A44" s="951" t="s">
        <v>793</v>
      </c>
      <c r="B44" s="259" t="s">
        <v>1062</v>
      </c>
      <c r="C44" s="282">
        <f ca="1">ROUND(IF('数据-取费表'!B22&lt;=1,C40*F22*'数据-取费表'!B21/2,C40*(POWER((1+F22),'数据-取费表'!B21/2)-1)),4)</f>
        <v>1E-3</v>
      </c>
      <c r="D44" s="282"/>
      <c r="E44" s="282"/>
      <c r="F44" s="283"/>
      <c r="G44" s="3199"/>
    </row>
    <row r="45" spans="1:7" s="258" customFormat="1" ht="13.5" customHeight="1">
      <c r="A45" s="948" t="s">
        <v>786</v>
      </c>
      <c r="B45" s="288" t="s">
        <v>112</v>
      </c>
      <c r="C45" s="289">
        <f>C46</f>
        <v>32</v>
      </c>
      <c r="D45" s="279">
        <f>C47</f>
        <v>3.0000000000000001E-3</v>
      </c>
      <c r="E45" s="280" t="s">
        <v>129</v>
      </c>
      <c r="F45" s="290"/>
      <c r="G45" s="291" t="s">
        <v>1068</v>
      </c>
    </row>
    <row r="46" spans="1:7" s="258" customFormat="1" ht="13.5" customHeight="1">
      <c r="A46" s="951" t="s">
        <v>794</v>
      </c>
      <c r="B46" s="292" t="s">
        <v>1061</v>
      </c>
      <c r="C46" s="293">
        <f>ROUND((C33+C39)*F27,0)</f>
        <v>32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279</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242</v>
      </c>
      <c r="D51" s="276"/>
      <c r="E51" s="276"/>
      <c r="F51" s="308"/>
      <c r="G51" s="278" t="s">
        <v>64</v>
      </c>
    </row>
    <row r="52" spans="1:7" s="252" customFormat="1" ht="16.5" thickBot="1">
      <c r="A52" s="309" t="s">
        <v>65</v>
      </c>
      <c r="B52" s="310"/>
      <c r="C52" s="311">
        <f ca="1">C31+C51</f>
        <v>28654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workbookViewId="0">
      <selection activeCell="I9" sqref="I9"/>
    </sheetView>
  </sheetViews>
  <sheetFormatPr defaultColWidth="9" defaultRowHeight="13.5"/>
  <cols>
    <col min="1" max="1" width="5.75" style="2956" customWidth="1"/>
    <col min="2" max="2" width="17" style="2993" customWidth="1"/>
    <col min="3" max="3" width="13.625" style="2994" customWidth="1"/>
    <col min="4" max="5" width="16" style="2994" customWidth="1"/>
    <col min="6" max="6" width="6.75" style="2994" bestFit="1" customWidth="1"/>
    <col min="7" max="7" width="13.25" style="2995" bestFit="1" customWidth="1"/>
    <col min="8" max="8" width="40.875" style="2996" bestFit="1" customWidth="1"/>
    <col min="9" max="9" width="10.625" style="2996" customWidth="1"/>
    <col min="10" max="10" width="10.5" style="2997" customWidth="1"/>
    <col min="11" max="11" width="8.75" style="2997" bestFit="1" customWidth="1"/>
    <col min="12" max="12" width="10.375" style="2998" customWidth="1"/>
    <col min="13" max="13" width="10.75" style="2955" customWidth="1"/>
    <col min="14" max="15" width="9" style="2956"/>
    <col min="16" max="16" width="13.375" style="2957" customWidth="1"/>
    <col min="17" max="16384" width="9" style="2956"/>
  </cols>
  <sheetData>
    <row r="1" spans="1:17" ht="40.5" customHeight="1">
      <c r="A1" s="3342" t="s">
        <v>3054</v>
      </c>
      <c r="B1" s="3342"/>
      <c r="C1" s="3342"/>
      <c r="D1" s="3342"/>
      <c r="E1" s="3342"/>
      <c r="F1" s="3342"/>
      <c r="G1" s="3342"/>
      <c r="H1" s="3342"/>
      <c r="I1" s="3342"/>
      <c r="J1" s="3342"/>
      <c r="K1" s="3342"/>
      <c r="L1" s="3342"/>
    </row>
    <row r="2" spans="1:17" s="2959" customFormat="1" ht="29.25" customHeight="1">
      <c r="A2" s="2958" t="s">
        <v>3055</v>
      </c>
      <c r="D2" s="2960"/>
      <c r="E2" s="2960"/>
      <c r="F2" s="2960"/>
      <c r="G2" s="2961"/>
      <c r="H2" s="2962"/>
      <c r="I2" s="2962"/>
      <c r="J2" s="2963"/>
      <c r="K2" s="2963"/>
      <c r="L2" s="2964"/>
      <c r="M2" s="2965"/>
      <c r="P2" s="2966"/>
    </row>
    <row r="3" spans="1:17" s="2971" customFormat="1" ht="24" customHeight="1">
      <c r="A3" s="2967" t="s">
        <v>608</v>
      </c>
      <c r="B3" s="2967" t="s">
        <v>3056</v>
      </c>
      <c r="C3" s="2967" t="s">
        <v>3057</v>
      </c>
      <c r="D3" s="2967" t="s">
        <v>3058</v>
      </c>
      <c r="E3" s="2967" t="s">
        <v>3059</v>
      </c>
      <c r="F3" s="2967" t="s">
        <v>3060</v>
      </c>
      <c r="G3" s="2968" t="s">
        <v>3061</v>
      </c>
      <c r="H3" s="2967" t="s">
        <v>3062</v>
      </c>
      <c r="I3" s="2967" t="s">
        <v>3063</v>
      </c>
      <c r="J3" s="2967" t="s">
        <v>3064</v>
      </c>
      <c r="K3" s="2967" t="s">
        <v>3065</v>
      </c>
      <c r="L3" s="2969" t="s">
        <v>3066</v>
      </c>
      <c r="M3" s="2969" t="s">
        <v>3067</v>
      </c>
      <c r="N3" s="2967" t="s">
        <v>3068</v>
      </c>
      <c r="O3" s="2967" t="s">
        <v>3069</v>
      </c>
      <c r="P3" s="2970" t="s">
        <v>3070</v>
      </c>
    </row>
    <row r="4" spans="1:17" s="2959" customFormat="1" ht="49.5" customHeight="1">
      <c r="A4" s="2972">
        <v>1</v>
      </c>
      <c r="B4" s="2972" t="s">
        <v>3071</v>
      </c>
      <c r="C4" s="2973" t="s">
        <v>3072</v>
      </c>
      <c r="D4" s="2974" t="s">
        <v>3073</v>
      </c>
      <c r="E4" s="2974" t="s">
        <v>3074</v>
      </c>
      <c r="F4" s="2974">
        <v>2</v>
      </c>
      <c r="G4" s="2975">
        <f>2163.25-631.32</f>
        <v>1531.9299999999998</v>
      </c>
      <c r="H4" s="2976" t="s">
        <v>3075</v>
      </c>
      <c r="I4" s="2976" t="s">
        <v>3076</v>
      </c>
      <c r="J4" s="2977" t="s">
        <v>3077</v>
      </c>
      <c r="K4" s="2978" t="s">
        <v>3078</v>
      </c>
      <c r="L4" s="2979"/>
      <c r="M4" s="2980"/>
      <c r="N4" s="2981"/>
      <c r="O4" s="2981"/>
      <c r="P4" s="2982"/>
    </row>
    <row r="5" spans="1:17" s="2959" customFormat="1" ht="49.5" customHeight="1">
      <c r="A5" s="2972">
        <v>2</v>
      </c>
      <c r="B5" s="2972" t="s">
        <v>3079</v>
      </c>
      <c r="C5" s="2973" t="s">
        <v>3072</v>
      </c>
      <c r="D5" s="2974" t="s">
        <v>3073</v>
      </c>
      <c r="E5" s="2974" t="s">
        <v>3080</v>
      </c>
      <c r="F5" s="2974">
        <v>1</v>
      </c>
      <c r="G5" s="2975">
        <v>631.32000000000005</v>
      </c>
      <c r="H5" s="2976" t="s">
        <v>3081</v>
      </c>
      <c r="I5" s="2976" t="s">
        <v>3082</v>
      </c>
      <c r="J5" s="2977" t="s">
        <v>3083</v>
      </c>
      <c r="K5" s="2978" t="s">
        <v>3078</v>
      </c>
      <c r="L5" s="2979"/>
      <c r="M5" s="2980"/>
      <c r="N5" s="2981"/>
      <c r="O5" s="2981"/>
      <c r="P5" s="2982"/>
    </row>
    <row r="6" spans="1:17" s="2959" customFormat="1" ht="49.5" customHeight="1">
      <c r="A6" s="2972">
        <v>3</v>
      </c>
      <c r="B6" s="2972" t="s">
        <v>3084</v>
      </c>
      <c r="C6" s="2973" t="s">
        <v>3085</v>
      </c>
      <c r="D6" s="2974" t="s">
        <v>3086</v>
      </c>
      <c r="E6" s="2974" t="s">
        <v>3087</v>
      </c>
      <c r="F6" s="2983">
        <v>2</v>
      </c>
      <c r="G6" s="2984">
        <v>708.8</v>
      </c>
      <c r="H6" s="2978" t="s">
        <v>3088</v>
      </c>
      <c r="I6" s="2978" t="s">
        <v>3089</v>
      </c>
      <c r="J6" s="2977" t="s">
        <v>3090</v>
      </c>
      <c r="K6" s="2978" t="s">
        <v>3091</v>
      </c>
      <c r="L6" s="2979"/>
      <c r="M6" s="2980"/>
      <c r="N6" s="2981"/>
      <c r="O6" s="2981"/>
      <c r="P6" s="2982"/>
      <c r="Q6" s="2985"/>
    </row>
    <row r="7" spans="1:17" s="2959" customFormat="1" ht="49.5" customHeight="1">
      <c r="A7" s="2972">
        <v>4</v>
      </c>
      <c r="B7" s="2972" t="s">
        <v>3092</v>
      </c>
      <c r="C7" s="2973" t="s">
        <v>3093</v>
      </c>
      <c r="D7" s="2974" t="s">
        <v>3094</v>
      </c>
      <c r="E7" s="2974" t="s">
        <v>3095</v>
      </c>
      <c r="F7" s="2983">
        <v>1</v>
      </c>
      <c r="G7" s="2984">
        <v>693.12</v>
      </c>
      <c r="H7" s="2978" t="s">
        <v>3096</v>
      </c>
      <c r="I7" s="2978" t="s">
        <v>3097</v>
      </c>
      <c r="J7" s="2977" t="s">
        <v>3098</v>
      </c>
      <c r="K7" s="2978" t="s">
        <v>3091</v>
      </c>
      <c r="L7" s="2979"/>
      <c r="M7" s="2980"/>
      <c r="N7" s="2981"/>
      <c r="O7" s="2981"/>
      <c r="P7" s="2982"/>
    </row>
    <row r="8" spans="1:17" s="2971" customFormat="1" ht="49.5" customHeight="1">
      <c r="A8" s="2967">
        <v>4</v>
      </c>
      <c r="B8" s="2967" t="s">
        <v>3099</v>
      </c>
      <c r="C8" s="2986"/>
      <c r="D8" s="2986"/>
      <c r="E8" s="2986"/>
      <c r="F8" s="2986">
        <f>SUM(F4:F7)</f>
        <v>6</v>
      </c>
      <c r="G8" s="2987">
        <f>SUM(G4:G7)</f>
        <v>3565.17</v>
      </c>
      <c r="H8" s="2988"/>
      <c r="I8" s="2988"/>
      <c r="J8" s="2967"/>
      <c r="K8" s="2967"/>
      <c r="L8" s="2989">
        <f>SUM(L4:L7)</f>
        <v>0</v>
      </c>
      <c r="M8" s="2990">
        <f>SUM(M4:M7)</f>
        <v>0</v>
      </c>
      <c r="N8" s="2991"/>
      <c r="O8" s="2991"/>
      <c r="P8" s="2992"/>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1635</v>
      </c>
      <c r="B2" s="3023" t="s">
        <v>1636</v>
      </c>
      <c r="C2" s="3023" t="s">
        <v>1637</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24"/>
      <c r="B3" s="3024"/>
      <c r="C3" s="3024"/>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631.32000000000005</v>
      </c>
      <c r="C4" s="1044">
        <f>项目基本情况!C18</f>
        <v>0</v>
      </c>
      <c r="D4" s="1044" t="e">
        <f ca="1">结果表!D118</f>
        <v>#REF!</v>
      </c>
      <c r="E4" s="1044" t="e">
        <f ca="1">结果表!E118</f>
        <v>#REF!</v>
      </c>
      <c r="F4" s="1044" t="e">
        <f ca="1">结果表!F118</f>
        <v>#REF!</v>
      </c>
      <c r="G4" s="1044" t="e">
        <f ca="1">结果表!G118</f>
        <v>#REF!</v>
      </c>
      <c r="H4" s="1044">
        <f ca="1">结果表!H118</f>
        <v>2776</v>
      </c>
      <c r="I4" s="1044">
        <f ca="1">结果表!I118</f>
        <v>43971</v>
      </c>
    </row>
    <row r="5" spans="1:9" ht="30" customHeight="1">
      <c r="A5" s="3024" t="s">
        <v>1634</v>
      </c>
      <c r="B5" s="3024"/>
      <c r="C5" s="3024"/>
      <c r="D5" s="3025" t="e">
        <f ca="1">结果表!D119</f>
        <v>#REF!</v>
      </c>
      <c r="E5" s="3025"/>
      <c r="F5" s="3025" t="e">
        <f ca="1">结果表!F119</f>
        <v>#REF!</v>
      </c>
      <c r="G5" s="3025"/>
      <c r="H5" s="3025" t="str">
        <f ca="1">结果表!H119</f>
        <v>贰仟柒佰柒拾陆万元整</v>
      </c>
      <c r="I5" s="3025"/>
    </row>
    <row r="6" spans="1:9" ht="15.75">
      <c r="A6" s="3026" t="str">
        <f>结果表!A120</f>
        <v>估价师知悉的法定优先受偿款</v>
      </c>
      <c r="B6" s="3026"/>
      <c r="C6" s="3026"/>
      <c r="D6" s="3026">
        <f>结果表!D120</f>
        <v>0</v>
      </c>
      <c r="E6" s="3026"/>
      <c r="F6" s="3026"/>
      <c r="G6" s="3026"/>
      <c r="H6" s="3026"/>
      <c r="I6" s="3026"/>
    </row>
    <row r="7" spans="1:9" ht="15">
      <c r="A7" s="3024" t="s">
        <v>1634</v>
      </c>
      <c r="B7" s="3024"/>
      <c r="C7" s="3024"/>
      <c r="D7" s="3027" t="str">
        <f>结果表!D121</f>
        <v>零元整</v>
      </c>
      <c r="E7" s="3028"/>
      <c r="F7" s="3028"/>
      <c r="G7" s="3028"/>
      <c r="H7" s="3028"/>
      <c r="I7" s="3029"/>
    </row>
    <row r="8" spans="1:9" ht="15.75">
      <c r="A8" s="3026" t="str">
        <f>结果表!A122</f>
        <v>房地产抵押价值</v>
      </c>
      <c r="B8" s="3026"/>
      <c r="C8" s="3026"/>
      <c r="D8" s="3026">
        <f ca="1">结果表!D122</f>
        <v>2776</v>
      </c>
      <c r="E8" s="3026"/>
      <c r="F8" s="3026"/>
      <c r="G8" s="3026"/>
      <c r="H8" s="3026"/>
      <c r="I8" s="3026"/>
    </row>
    <row r="9" spans="1:9" ht="15">
      <c r="A9" s="3024" t="s">
        <v>1634</v>
      </c>
      <c r="B9" s="3024"/>
      <c r="C9" s="3024"/>
      <c r="D9" s="3025" t="str">
        <f ca="1">结果表!D123</f>
        <v>贰仟柒佰柒拾陆万元整</v>
      </c>
      <c r="E9" s="3025"/>
      <c r="F9" s="3025"/>
      <c r="G9" s="3025"/>
      <c r="H9" s="3025"/>
      <c r="I9" s="3025"/>
    </row>
    <row r="10" spans="1:9" ht="15.75">
      <c r="A10" s="3026" t="str">
        <f>结果表!A124</f>
        <v/>
      </c>
      <c r="B10" s="3026"/>
      <c r="C10" s="3026"/>
      <c r="D10" s="3026" t="str">
        <f>结果表!D124</f>
        <v>——</v>
      </c>
      <c r="E10" s="3026"/>
      <c r="F10" s="3026"/>
      <c r="G10" s="3026"/>
      <c r="H10" s="3026"/>
      <c r="I10" s="3026"/>
    </row>
    <row r="11" spans="1:9" ht="15">
      <c r="A11" s="3024" t="s">
        <v>1634</v>
      </c>
      <c r="B11" s="3024"/>
      <c r="C11" s="3024"/>
      <c r="D11" s="3025" t="e">
        <f>结果表!D125</f>
        <v>#VALUE!</v>
      </c>
      <c r="E11" s="3025"/>
      <c r="F11" s="3025"/>
      <c r="G11" s="3025"/>
      <c r="H11" s="3025"/>
      <c r="I11" s="3025"/>
    </row>
    <row r="12" spans="1:9" ht="15.75">
      <c r="A12" s="3026" t="str">
        <f>结果表!A126</f>
        <v>抵押净值</v>
      </c>
      <c r="B12" s="3026"/>
      <c r="C12" s="3026"/>
      <c r="D12" s="3026">
        <f ca="1">结果表!D126</f>
        <v>2146</v>
      </c>
      <c r="E12" s="3026"/>
      <c r="F12" s="3026"/>
      <c r="G12" s="3026"/>
      <c r="H12" s="3026"/>
      <c r="I12" s="3026"/>
    </row>
    <row r="13" spans="1:9" ht="15.75" thickBot="1">
      <c r="A13" s="3030" t="s">
        <v>1634</v>
      </c>
      <c r="B13" s="3030"/>
      <c r="C13" s="3030"/>
      <c r="D13" s="3031" t="str">
        <f ca="1">结果表!D127</f>
        <v>贰仟壹佰肆拾陆万元整</v>
      </c>
      <c r="E13" s="3031"/>
      <c r="F13" s="3031"/>
      <c r="G13" s="3031"/>
      <c r="H13" s="3031"/>
      <c r="I13" s="3031"/>
    </row>
    <row r="14" spans="1:9" ht="15" thickTop="1">
      <c r="A14" s="3032" t="s">
        <v>1639</v>
      </c>
      <c r="B14" s="3032"/>
      <c r="C14" s="3032"/>
      <c r="D14" s="3032"/>
      <c r="E14" s="3032"/>
      <c r="F14" s="3032"/>
      <c r="G14" s="3032"/>
      <c r="H14" s="3032"/>
      <c r="I14" s="303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3" t="s">
        <v>1656</v>
      </c>
      <c r="B1" s="3033"/>
      <c r="C1" s="3033"/>
      <c r="D1" s="3033"/>
    </row>
    <row r="2" spans="1:4" ht="18">
      <c r="A2" s="3034" t="s">
        <v>1640</v>
      </c>
      <c r="B2" s="3034"/>
      <c r="C2" s="3034"/>
      <c r="D2" s="3034"/>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34" t="s">
        <v>1646</v>
      </c>
      <c r="B6" s="3034"/>
      <c r="C6" s="3034"/>
      <c r="D6" s="303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35" t="s">
        <v>1649</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6" t="str">
        <f>IF(项目基本情况!B8="抵押","4.本次评估估价师所知悉的法定优先受偿款情况说明如下：","——")</f>
        <v>4.本次评估估价师所知悉的法定优先受偿款情况说明如下：</v>
      </c>
      <c r="B14" s="3037"/>
      <c r="C14" s="3037"/>
      <c r="D14" s="3037"/>
    </row>
    <row r="15" spans="1:4" ht="42" customHeight="1">
      <c r="A15" s="30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9" t="s">
        <v>1650</v>
      </c>
      <c r="B16" s="3039"/>
      <c r="C16" s="3039"/>
      <c r="D16" s="3039"/>
    </row>
    <row r="17" spans="1:4" ht="144" customHeight="1">
      <c r="A17" s="3039" t="s">
        <v>1651</v>
      </c>
      <c r="B17" s="3039"/>
      <c r="C17" s="3039"/>
      <c r="D17" s="3039"/>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6"/>
      <c r="C20" s="3036"/>
      <c r="D20" s="3036"/>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0"/>
      <c r="C21" s="3040"/>
      <c r="D21" s="3040"/>
    </row>
    <row r="22" spans="1:4" ht="18.75" customHeight="1">
      <c r="A22" s="3041" t="s">
        <v>1652</v>
      </c>
      <c r="B22" s="3041"/>
      <c r="C22" s="3041"/>
      <c r="D22" s="304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8">
        <v>42551</v>
      </c>
      <c r="D31" s="30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47" t="s">
        <v>1663</v>
      </c>
      <c r="B15" s="3042" t="s">
        <v>136</v>
      </c>
      <c r="C15" s="3043"/>
    </row>
    <row r="16" spans="1:7" ht="13.5">
      <c r="A16" s="3048"/>
      <c r="B16" s="3042" t="s">
        <v>69</v>
      </c>
      <c r="C16" s="3043"/>
    </row>
    <row r="17" spans="1:3" ht="13.5">
      <c r="A17" s="3048"/>
      <c r="B17" s="3045" t="s">
        <v>1664</v>
      </c>
      <c r="C17" s="1999" t="s">
        <v>1663</v>
      </c>
    </row>
    <row r="18" spans="1:3" ht="13.5">
      <c r="A18" s="3048"/>
      <c r="B18" s="3045"/>
      <c r="C18" s="1999" t="s">
        <v>1665</v>
      </c>
    </row>
    <row r="19" spans="1:3" ht="13.5">
      <c r="A19" s="3048"/>
      <c r="B19" s="3045"/>
      <c r="C19" s="1999" t="s">
        <v>1666</v>
      </c>
    </row>
    <row r="20" spans="1:3" ht="13.5">
      <c r="A20" s="3049"/>
      <c r="B20" s="3044" t="s">
        <v>1667</v>
      </c>
      <c r="C20" s="3043"/>
    </row>
    <row r="21" spans="1:3" ht="13.5">
      <c r="A21" s="2000" t="s">
        <v>1668</v>
      </c>
      <c r="B21" s="2001"/>
      <c r="C21" s="2002"/>
    </row>
    <row r="22" spans="1:3" ht="13.5">
      <c r="A22" s="3046" t="s">
        <v>1669</v>
      </c>
      <c r="B22" s="3044" t="s">
        <v>1670</v>
      </c>
      <c r="C22" s="3043"/>
    </row>
    <row r="23" spans="1:3" ht="13.5">
      <c r="A23" s="3046"/>
      <c r="B23" s="3044" t="s">
        <v>1671</v>
      </c>
      <c r="C23" s="3043"/>
    </row>
    <row r="24" spans="1:3" ht="13.5">
      <c r="A24" s="3046"/>
      <c r="B24" s="3044" t="s">
        <v>1672</v>
      </c>
      <c r="C24" s="3043"/>
    </row>
    <row r="25" spans="1:3" ht="13.5">
      <c r="A25" s="3046"/>
      <c r="B25" s="3045" t="s">
        <v>1673</v>
      </c>
      <c r="C25" s="1999" t="s">
        <v>1674</v>
      </c>
    </row>
    <row r="26" spans="1:3" ht="13.5">
      <c r="A26" s="3046"/>
      <c r="B26" s="3045"/>
      <c r="C26" s="1999" t="s">
        <v>1675</v>
      </c>
    </row>
    <row r="27" spans="1:3" ht="13.5">
      <c r="A27" s="3046"/>
      <c r="B27" s="3045"/>
      <c r="C27" s="1999" t="s">
        <v>1676</v>
      </c>
    </row>
    <row r="28" spans="1:3" ht="13.5">
      <c r="A28" s="3046"/>
      <c r="B28" s="3045"/>
      <c r="C28" s="1999" t="s">
        <v>1677</v>
      </c>
    </row>
    <row r="29" spans="1:3" ht="13.5">
      <c r="A29" s="3046"/>
      <c r="B29" s="3045"/>
      <c r="C29" s="1999" t="s">
        <v>1678</v>
      </c>
    </row>
    <row r="30" spans="1:3" ht="13.5">
      <c r="A30" s="3046"/>
      <c r="B30" s="3045"/>
      <c r="C30" s="1999" t="s">
        <v>1679</v>
      </c>
    </row>
    <row r="31" spans="1:3" ht="13.5">
      <c r="A31" s="3046"/>
      <c r="B31" s="3045"/>
      <c r="C31" s="1999" t="s">
        <v>1680</v>
      </c>
    </row>
    <row r="32" spans="1:3" ht="13.5">
      <c r="A32" s="3046"/>
      <c r="B32" s="3045"/>
      <c r="C32" s="1999" t="s">
        <v>1681</v>
      </c>
    </row>
    <row r="33" spans="1:3" ht="13.5">
      <c r="A33" s="3046"/>
      <c r="B33" s="304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3041</v>
      </c>
      <c r="B14" s="1022">
        <f ca="1">IF(C14&lt;B2,"已过期",1120040230)</f>
        <v>1120040230</v>
      </c>
      <c r="C14" s="2348">
        <v>44864</v>
      </c>
      <c r="D14" s="2351" t="s">
        <v>3041</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3048</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3050</v>
      </c>
      <c r="B23" s="1022">
        <v>1119980106</v>
      </c>
      <c r="C23" s="2348">
        <v>43916</v>
      </c>
      <c r="D23" s="1702" t="s">
        <v>3053</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50" t="s">
        <v>842</v>
      </c>
      <c r="B25" s="3050"/>
      <c r="C25" s="3050"/>
      <c r="D25" s="3050"/>
      <c r="E25" s="3050"/>
      <c r="F25" s="3050"/>
      <c r="G25" s="3050"/>
    </row>
    <row r="26" spans="1:7" s="1025" customFormat="1" ht="24" customHeight="1">
      <c r="A26" s="3051" t="s">
        <v>843</v>
      </c>
      <c r="B26" s="3051"/>
      <c r="C26" s="3052"/>
      <c r="D26" s="3053" t="s">
        <v>844</v>
      </c>
      <c r="E26" s="3051"/>
      <c r="F26" s="305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2020-04-08T07:59:09Z</dcterms:modified>
</cp:coreProperties>
</file>