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0730" windowHeight="5565" tabRatio="899" firstSheet="20"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清单" sheetId="80" r:id="rId15"/>
    <sheet name="Sheet1" sheetId="84" r:id="rId16"/>
    <sheet name="数据-取费表" sheetId="1" r:id="rId17"/>
    <sheet name="估价对象房地状况" sheetId="20" r:id="rId18"/>
    <sheet name="系统读取表" sheetId="74" r:id="rId19"/>
    <sheet name="结果表" sheetId="9" r:id="rId20"/>
    <sheet name="比较法-办公" sheetId="34" r:id="rId21"/>
    <sheet name="成本法 (元)" sheetId="69" state="hidden" r:id="rId22"/>
    <sheet name="假设开发法" sheetId="12" state="hidden" r:id="rId23"/>
    <sheet name="收益法" sheetId="15" r:id="rId24"/>
    <sheet name="收益法 (元)" sheetId="67" state="hidden" r:id="rId25"/>
    <sheet name="收益法-酒店模型" sheetId="77" state="hidden" r:id="rId26"/>
    <sheet name="收益法2" sheetId="82" r:id="rId27"/>
    <sheet name="收益法(车库)" sheetId="83" r:id="rId28"/>
    <sheet name="比较法-住宅" sheetId="21" state="hidden" r:id="rId29"/>
    <sheet name="比较法-商业" sheetId="33"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典型户型修正" sheetId="31" state="hidden" r:id="rId36"/>
    <sheet name="基准地价（汇总）" sheetId="76" state="hidden" r:id="rId37"/>
    <sheet name="修正" sheetId="45" state="hidden" r:id="rId38"/>
    <sheet name="容积率修正" sheetId="46" state="hidden" r:id="rId39"/>
    <sheet name="成本法（废）" sheetId="11" state="hidden" r:id="rId40"/>
    <sheet name="区片价" sheetId="44" state="hidden" r:id="rId41"/>
    <sheet name="因素修正幅度" sheetId="65" state="hidden" r:id="rId42"/>
    <sheet name="区片价（范围）" sheetId="75" state="hidden" r:id="rId43"/>
    <sheet name="地价-分区" sheetId="79" state="hidden" r:id="rId44"/>
    <sheet name="地价" sheetId="71" state="hidden" r:id="rId45"/>
    <sheet name="存贷款利率" sheetId="73" state="hidden" r:id="rId46"/>
    <sheet name="收益法（汇总）" sheetId="70" r:id="rId47"/>
    <sheet name="案例" sheetId="81" r:id="rId48"/>
    <sheet name="成本法" sheetId="68" r:id="rId49"/>
    <sheet name="基准地价修正" sheetId="43" r:id="rId50"/>
  </sheets>
  <externalReferences>
    <externalReference r:id="rId51"/>
    <externalReference r:id="rId52"/>
  </externalReferences>
  <definedNames>
    <definedName name="_xlnm._FilterDatabase" localSheetId="20"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20">'比较法-办公'!$A$1:$K$55,'比较法-办公'!$A$58:$M$132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48">成本法!$A$1:$G$57</definedName>
    <definedName name="_xlnm.Print_Area" localSheetId="21">'成本法 (元)'!$A$1:$G$57</definedName>
    <definedName name="_xlnm.Print_Area" localSheetId="17">估价对象房地状况!$A$1:$G$24</definedName>
    <definedName name="_xlnm.Print_Area" localSheetId="8">估价师及机构信息!$A$1:$G$22</definedName>
    <definedName name="_xlnm.Print_Area" localSheetId="36">'基准地价（汇总）'!$A$1:$E$13</definedName>
    <definedName name="_xlnm.Print_Area" localSheetId="49">基准地价修正!$A$1:$J$44,基准地价修正!$A$47:$H$101,基准地价修正!$R$1:$V$16</definedName>
    <definedName name="_xlnm.Print_Area" localSheetId="22">假设开发法!$A$1:$K$32</definedName>
    <definedName name="_xlnm.Print_Area" localSheetId="19">结果表!$A$1:$I$127</definedName>
    <definedName name="_xlnm.Print_Area" localSheetId="23">收益法!$A$1:$F$43,收益法!$H$3:$M$29,收益法!$A$46:$F$71,收益法!$I$46:$N$65</definedName>
    <definedName name="_xlnm.Print_Area" localSheetId="24">'收益法 (元)'!$A$1:$F$43,'收益法 (元)'!$H$3:$M$29,'收益法 (元)'!$A$45:$F$71,'收益法 (元)'!$I$46:$N$65</definedName>
    <definedName name="_xlnm.Print_Area" localSheetId="27">'收益法(车库)'!$A$1:$F$43,'收益法(车库)'!$H$3:$M$29,'收益法(车库)'!$A$46:$F$71,'收益法(车库)'!$I$46:$N$65</definedName>
    <definedName name="_xlnm.Print_Area" localSheetId="46">'收益法（汇总）'!$A$1:$F$13</definedName>
    <definedName name="_xlnm.Print_Area" localSheetId="26">收益法2!$A$1:$F$43,收益法2!$H$3:$M$29,收益法2!$A$46:$F$71,收益法2!$I$46:$N$65</definedName>
    <definedName name="_xlnm.Print_Area" localSheetId="13">'数据-汇总表'!$A$1:$P$32</definedName>
    <definedName name="_xlnm.Print_Area" localSheetId="34">'土地比较法-工业'!$A$1:$K$61,'土地比较法-工业'!$A$64:$M$121</definedName>
    <definedName name="_xlnm.Print_Area" localSheetId="33">'土地比较法-住宅、综合'!$A$1:$K$65,'土地比较法-住宅、综合'!$A$68:$M$131</definedName>
    <definedName name="_xlnm.Print_Area" localSheetId="18">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U6" i="1" l="1"/>
  <c r="E58" i="80" l="1"/>
  <c r="F57" i="80"/>
  <c r="F56" i="80"/>
  <c r="AF8" i="1"/>
  <c r="AD8" i="1"/>
  <c r="Y8" i="1"/>
  <c r="U8" i="1"/>
  <c r="P74" i="83"/>
  <c r="Q72" i="83"/>
  <c r="F60" i="83"/>
  <c r="Q59" i="83"/>
  <c r="K59" i="83"/>
  <c r="P61" i="83" s="1"/>
  <c r="F59" i="83"/>
  <c r="Q58" i="83"/>
  <c r="Q51" i="83"/>
  <c r="J50" i="83"/>
  <c r="J51" i="83" s="1"/>
  <c r="M47" i="83"/>
  <c r="D46" i="83"/>
  <c r="F34" i="83"/>
  <c r="F62" i="83" s="1"/>
  <c r="F33" i="83"/>
  <c r="F61" i="83" s="1"/>
  <c r="F32" i="83"/>
  <c r="F31" i="83"/>
  <c r="F28" i="83"/>
  <c r="C28" i="83"/>
  <c r="F23" i="83"/>
  <c r="D24" i="83" s="1"/>
  <c r="D23" i="83"/>
  <c r="D22" i="83"/>
  <c r="F21" i="83"/>
  <c r="M20" i="83"/>
  <c r="F20" i="83"/>
  <c r="M19" i="83"/>
  <c r="M18" i="83"/>
  <c r="F18" i="83"/>
  <c r="M17" i="83"/>
  <c r="F17" i="83"/>
  <c r="F15" i="83"/>
  <c r="G1" i="83"/>
  <c r="Y7" i="1"/>
  <c r="P74" i="82"/>
  <c r="Q72" i="82"/>
  <c r="F60" i="82"/>
  <c r="Q59" i="82"/>
  <c r="K59" i="82"/>
  <c r="P61" i="82" s="1"/>
  <c r="F59" i="82"/>
  <c r="Q58" i="82"/>
  <c r="Q51" i="82"/>
  <c r="J50" i="82"/>
  <c r="J51" i="82" s="1"/>
  <c r="M47" i="82"/>
  <c r="D46" i="82"/>
  <c r="F34" i="82"/>
  <c r="F62" i="82" s="1"/>
  <c r="F33" i="82"/>
  <c r="F61" i="82" s="1"/>
  <c r="F32" i="82"/>
  <c r="F31" i="82"/>
  <c r="F28" i="82"/>
  <c r="C28" i="82"/>
  <c r="F23" i="82"/>
  <c r="D24" i="82" s="1"/>
  <c r="D23" i="82"/>
  <c r="D22" i="82"/>
  <c r="F21" i="82"/>
  <c r="M20" i="82"/>
  <c r="F20" i="82"/>
  <c r="M19" i="82"/>
  <c r="M18" i="82"/>
  <c r="F18" i="82"/>
  <c r="M17" i="82"/>
  <c r="F17" i="82"/>
  <c r="F15" i="82"/>
  <c r="G1" i="82"/>
  <c r="AD21" i="1"/>
  <c r="AF6" i="1"/>
  <c r="AD19" i="1"/>
  <c r="N19" i="1"/>
  <c r="Z6" i="1"/>
  <c r="Y6" i="1"/>
  <c r="I48" i="34"/>
  <c r="G48" i="34"/>
  <c r="E48" i="34"/>
  <c r="E37" i="34"/>
  <c r="I37" i="34"/>
  <c r="G37" i="34"/>
  <c r="N21" i="1"/>
  <c r="N6" i="1" s="1"/>
  <c r="I34" i="34"/>
  <c r="G34" i="34"/>
  <c r="E34" i="34"/>
  <c r="C34" i="34"/>
  <c r="F71" i="34"/>
  <c r="E71" i="34"/>
  <c r="D71" i="34"/>
  <c r="F66" i="34"/>
  <c r="E66" i="34"/>
  <c r="D66" i="34"/>
  <c r="C66" i="34"/>
  <c r="I12" i="34"/>
  <c r="G12" i="34"/>
  <c r="E12" i="34"/>
  <c r="C10" i="34"/>
  <c r="I5" i="34"/>
  <c r="G5" i="34"/>
  <c r="E5" i="34"/>
  <c r="C76" i="82"/>
  <c r="C76" i="83"/>
  <c r="F8" i="83"/>
  <c r="F8" i="82"/>
  <c r="Q71" i="83" l="1"/>
  <c r="F51" i="83"/>
  <c r="Q71" i="82"/>
  <c r="F51" i="82"/>
  <c r="L48" i="83"/>
  <c r="M22" i="83"/>
  <c r="M6" i="82"/>
  <c r="F16" i="82"/>
  <c r="F13" i="82"/>
  <c r="F37" i="82"/>
  <c r="J15" i="83"/>
  <c r="F36" i="82"/>
  <c r="M26" i="83"/>
  <c r="F26" i="83"/>
  <c r="F6" i="82"/>
  <c r="M22" i="82"/>
  <c r="F9" i="83"/>
  <c r="F26" i="82"/>
  <c r="M8" i="83"/>
  <c r="F42" i="82"/>
  <c r="F37" i="83"/>
  <c r="F36" i="83"/>
  <c r="M23" i="83"/>
  <c r="F9" i="82"/>
  <c r="F38" i="82"/>
  <c r="F38" i="83"/>
  <c r="M23" i="82"/>
  <c r="F6" i="83"/>
  <c r="L48" i="82"/>
  <c r="M8" i="82"/>
  <c r="M26" i="82"/>
  <c r="L47" i="82"/>
  <c r="F42" i="83"/>
  <c r="M6" i="83"/>
  <c r="M9" i="83"/>
  <c r="F13" i="83"/>
  <c r="F16" i="83"/>
  <c r="J15" i="82"/>
  <c r="M28" i="82"/>
  <c r="M24" i="82"/>
  <c r="L47" i="83"/>
  <c r="M24" i="83"/>
  <c r="F7" i="83"/>
  <c r="M28" i="83"/>
  <c r="M9" i="82"/>
  <c r="F40" i="82"/>
  <c r="F40" i="83"/>
  <c r="F41" i="83"/>
  <c r="F66" i="83" l="1"/>
  <c r="L57" i="83"/>
  <c r="L56" i="83"/>
  <c r="I54" i="83"/>
  <c r="J53" i="83"/>
  <c r="J57" i="83"/>
  <c r="J55" i="83" s="1"/>
  <c r="J58" i="83" s="1"/>
  <c r="Q50" i="83" s="1"/>
  <c r="L60" i="83"/>
  <c r="C6" i="83"/>
  <c r="F64" i="83"/>
  <c r="N59" i="83"/>
  <c r="L58" i="83"/>
  <c r="L59" i="83"/>
  <c r="M59" i="83"/>
  <c r="C27" i="83"/>
  <c r="F69" i="83"/>
  <c r="F68" i="83"/>
  <c r="F65" i="83"/>
  <c r="F50" i="83"/>
  <c r="C49" i="83" s="1"/>
  <c r="M7" i="83"/>
  <c r="J6" i="83" s="1"/>
  <c r="F68" i="82"/>
  <c r="F65" i="82"/>
  <c r="F66" i="82"/>
  <c r="L57" i="82"/>
  <c r="L56" i="82"/>
  <c r="I54" i="82"/>
  <c r="J53" i="82"/>
  <c r="L60" i="82"/>
  <c r="J57" i="82"/>
  <c r="J55" i="82" s="1"/>
  <c r="J58" i="82" s="1"/>
  <c r="Q50" i="82" s="1"/>
  <c r="F64" i="82"/>
  <c r="M59" i="82"/>
  <c r="L59" i="82"/>
  <c r="N59" i="82"/>
  <c r="L58" i="82"/>
  <c r="C27" i="82"/>
  <c r="J19" i="83" l="1"/>
  <c r="J18" i="83"/>
  <c r="Q61" i="83"/>
  <c r="Q74" i="83"/>
  <c r="C32" i="83"/>
  <c r="C33" i="83"/>
  <c r="Q73" i="83"/>
  <c r="Q60" i="83"/>
  <c r="Q52" i="83"/>
  <c r="F1" i="83"/>
  <c r="C61" i="83"/>
  <c r="Q66" i="83"/>
  <c r="Q57" i="83"/>
  <c r="Q66" i="82"/>
  <c r="Q57" i="82"/>
  <c r="F1" i="82"/>
  <c r="Q52" i="82"/>
  <c r="Q61" i="82"/>
  <c r="Q74" i="82"/>
  <c r="Q73" i="82"/>
  <c r="Q60" i="82"/>
  <c r="G51" i="43" l="1"/>
  <c r="G52" i="43"/>
  <c r="G53" i="43"/>
  <c r="G54" i="43"/>
  <c r="G55" i="43"/>
  <c r="G56" i="43"/>
  <c r="G57" i="43"/>
  <c r="G58" i="43"/>
  <c r="G50" i="43"/>
  <c r="D42" i="43"/>
  <c r="G44" i="43"/>
  <c r="D37" i="43"/>
  <c r="C37" i="34"/>
  <c r="J7" i="1"/>
  <c r="I7" i="1"/>
  <c r="H7" i="1"/>
  <c r="B54" i="1"/>
  <c r="B21" i="1"/>
  <c r="G21" i="6"/>
  <c r="G19" i="6"/>
  <c r="G20" i="6" s="1"/>
  <c r="F19" i="6"/>
  <c r="F20" i="6" s="1"/>
  <c r="E34" i="80"/>
  <c r="E41" i="80" s="1"/>
  <c r="D29" i="80"/>
  <c r="J28" i="80"/>
  <c r="E28" i="80"/>
  <c r="E35" i="80" s="1"/>
  <c r="J27" i="80"/>
  <c r="J29" i="80" s="1"/>
  <c r="E27" i="80"/>
  <c r="F27" i="80" s="1"/>
  <c r="C23" i="80"/>
  <c r="C22" i="80"/>
  <c r="E18" i="80"/>
  <c r="E17" i="80"/>
  <c r="C16" i="80"/>
  <c r="E16" i="80" s="1"/>
  <c r="E19" i="80" s="1"/>
  <c r="E13" i="80"/>
  <c r="E12" i="80"/>
  <c r="E11" i="80"/>
  <c r="E14" i="80" s="1"/>
  <c r="C11" i="80"/>
  <c r="C14" i="80" s="1"/>
  <c r="C9" i="80"/>
  <c r="E8" i="80"/>
  <c r="K7" i="80"/>
  <c r="E7" i="80"/>
  <c r="E9" i="80" s="1"/>
  <c r="D9" i="80" s="1"/>
  <c r="C4" i="80"/>
  <c r="K3" i="80"/>
  <c r="K19" i="80" s="1"/>
  <c r="E3" i="80"/>
  <c r="E4" i="80" s="1"/>
  <c r="D4" i="80" s="1"/>
  <c r="C3" i="80"/>
  <c r="E2" i="80"/>
  <c r="C24" i="80" l="1"/>
  <c r="D24" i="80" s="1"/>
  <c r="N7" i="1"/>
  <c r="N8" i="1"/>
  <c r="N14" i="1"/>
  <c r="F35" i="80"/>
  <c r="E42" i="80"/>
  <c r="D14" i="80"/>
  <c r="F41" i="80"/>
  <c r="E48" i="80"/>
  <c r="F48" i="80" s="1"/>
  <c r="F34" i="80"/>
  <c r="C19" i="80"/>
  <c r="D19" i="80" s="1"/>
  <c r="F28" i="80"/>
  <c r="F29" i="80" s="1"/>
  <c r="F33" i="80" l="1"/>
  <c r="F31" i="80"/>
  <c r="F32" i="80"/>
  <c r="F30" i="80"/>
  <c r="E29" i="80"/>
  <c r="E49" i="80"/>
  <c r="F49" i="80" s="1"/>
  <c r="F50" i="80" s="1"/>
  <c r="F42" i="80"/>
  <c r="F43" i="80"/>
  <c r="F36" i="80"/>
  <c r="F53" i="80" l="1"/>
  <c r="F51" i="80"/>
  <c r="F54" i="80"/>
  <c r="F52" i="80"/>
  <c r="E50" i="80"/>
  <c r="F39" i="80"/>
  <c r="F37" i="80"/>
  <c r="F40" i="80"/>
  <c r="F38" i="80"/>
  <c r="F58" i="80" s="1"/>
  <c r="E36" i="80"/>
  <c r="F47" i="80"/>
  <c r="F45" i="80"/>
  <c r="E43" i="80"/>
  <c r="F46" i="80"/>
  <c r="F44" i="80"/>
  <c r="E33" i="80"/>
  <c r="E31" i="80"/>
  <c r="E32" i="80"/>
  <c r="E30" i="80"/>
  <c r="E47" i="80" l="1"/>
  <c r="E45" i="80"/>
  <c r="E46" i="80"/>
  <c r="E44" i="80"/>
  <c r="E39" i="80"/>
  <c r="E37" i="80"/>
  <c r="E40" i="80"/>
  <c r="E38" i="80"/>
  <c r="E53" i="80"/>
  <c r="E51" i="80"/>
  <c r="E54" i="80"/>
  <c r="E52" i="80"/>
  <c r="M13" i="3" l="1"/>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9" i="1" l="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E7" i="1" s="1"/>
  <c r="A8" i="1"/>
  <c r="B8" i="1" s="1"/>
  <c r="E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c r="D112" i="34"/>
  <c r="E112" i="34" s="1"/>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J40"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S35" i="34" s="1"/>
  <c r="M103" i="34"/>
  <c r="L103" i="34"/>
  <c r="K103" i="34"/>
  <c r="J103" i="34"/>
  <c r="I103" i="34"/>
  <c r="H103" i="34"/>
  <c r="G103" i="34"/>
  <c r="F103" i="34"/>
  <c r="E103" i="34"/>
  <c r="D103" i="34"/>
  <c r="C103" i="34"/>
  <c r="D102" i="34"/>
  <c r="E102" i="34" s="1"/>
  <c r="D92" i="34"/>
  <c r="E92" i="34" s="1"/>
  <c r="F92" i="34" s="1"/>
  <c r="G92" i="34" s="1"/>
  <c r="H92" i="34" s="1"/>
  <c r="I92" i="34" s="1"/>
  <c r="J92" i="34" s="1"/>
  <c r="K92" i="34" s="1"/>
  <c r="L92" i="34" s="1"/>
  <c r="M92" i="34" s="1"/>
  <c r="B91" i="34"/>
  <c r="B89" i="34"/>
  <c r="J27" i="34"/>
  <c r="D88" i="34"/>
  <c r="E88" i="34" s="1"/>
  <c r="F88" i="34" s="1"/>
  <c r="D86" i="34"/>
  <c r="E86" i="34" s="1"/>
  <c r="F86" i="34" s="1"/>
  <c r="G86" i="34" s="1"/>
  <c r="D82" i="34"/>
  <c r="E82" i="34" s="1"/>
  <c r="F82" i="34" s="1"/>
  <c r="G82" i="34" s="1"/>
  <c r="D80" i="34"/>
  <c r="E80" i="34" s="1"/>
  <c r="F80" i="34" s="1"/>
  <c r="G80" i="34" s="1"/>
  <c r="D78" i="34"/>
  <c r="E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c r="Q44" i="34"/>
  <c r="Z44" i="34"/>
  <c r="Q43" i="34"/>
  <c r="Z43" i="34"/>
  <c r="Q42" i="34"/>
  <c r="Z42" i="34"/>
  <c r="Q41" i="34"/>
  <c r="Z41" i="34" s="1"/>
  <c r="Q40" i="34"/>
  <c r="Z40" i="34"/>
  <c r="Q39" i="34"/>
  <c r="Z39" i="34"/>
  <c r="H39" i="34"/>
  <c r="AB39" i="34" s="1"/>
  <c r="Q38" i="34"/>
  <c r="Z38" i="34" s="1"/>
  <c r="Q37" i="34"/>
  <c r="Z37" i="34"/>
  <c r="Q36" i="34"/>
  <c r="Z36" i="34"/>
  <c r="Q35" i="34"/>
  <c r="Z35" i="34"/>
  <c r="Q34" i="34"/>
  <c r="Z34" i="34"/>
  <c r="J34" i="34"/>
  <c r="AC34" i="34" s="1"/>
  <c r="H34" i="34"/>
  <c r="AB34" i="34" s="1"/>
  <c r="F34" i="34"/>
  <c r="AA34" i="34" s="1"/>
  <c r="Q33" i="34"/>
  <c r="Z33" i="34"/>
  <c r="Q32" i="34"/>
  <c r="Z32" i="34"/>
  <c r="Q31" i="34"/>
  <c r="Z31" i="34" s="1"/>
  <c r="Q30" i="34"/>
  <c r="Z30" i="34"/>
  <c r="Q29" i="34"/>
  <c r="Z29" i="34" s="1"/>
  <c r="Q28" i="34"/>
  <c r="Z28" i="34"/>
  <c r="Q27" i="34"/>
  <c r="Z27" i="34" s="1"/>
  <c r="Q25" i="34"/>
  <c r="Z25" i="34"/>
  <c r="Q23" i="34"/>
  <c r="Z23" i="34"/>
  <c r="C23" i="34"/>
  <c r="Q19" i="34"/>
  <c r="Z19" i="34"/>
  <c r="C19" i="34"/>
  <c r="Q17" i="34"/>
  <c r="Z17" i="34"/>
  <c r="C17" i="34"/>
  <c r="Q15" i="34"/>
  <c r="Z15" i="34"/>
  <c r="Q14" i="34"/>
  <c r="Z14" i="34" s="1"/>
  <c r="Q13" i="34"/>
  <c r="Z13" i="34" s="1"/>
  <c r="Q12" i="34"/>
  <c r="Z12" i="34" s="1"/>
  <c r="Q11" i="34"/>
  <c r="Z11" i="34" s="1"/>
  <c r="Q10" i="34"/>
  <c r="Z10" i="34" s="1"/>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S36" i="34" s="1"/>
  <c r="J35" i="34"/>
  <c r="AC35" i="34" s="1"/>
  <c r="W9"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E114" i="34"/>
  <c r="H36" i="34"/>
  <c r="U36" i="34" s="1"/>
  <c r="F28" i="34"/>
  <c r="AA28" i="34" s="1"/>
  <c r="F27" i="34"/>
  <c r="AA27" i="34" s="1"/>
  <c r="H23" i="34"/>
  <c r="U23" i="34" s="1"/>
  <c r="J23" i="34"/>
  <c r="F19" i="34"/>
  <c r="S19" i="34" s="1"/>
  <c r="H17" i="34"/>
  <c r="U17" i="34" s="1"/>
  <c r="J28" i="34"/>
  <c r="W28" i="34" s="1"/>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F114" i="34"/>
  <c r="G114" i="34" s="1"/>
  <c r="H114" i="34" s="1"/>
  <c r="I114" i="34" s="1"/>
  <c r="J114" i="34" s="1"/>
  <c r="K114" i="34" s="1"/>
  <c r="L114" i="34" s="1"/>
  <c r="M114" i="34" s="1"/>
  <c r="H38" i="34"/>
  <c r="AB38" i="34" s="1"/>
  <c r="J36" i="34"/>
  <c r="W36" i="34" s="1"/>
  <c r="F23" i="34"/>
  <c r="AA23" i="34" s="1"/>
  <c r="J19" i="34"/>
  <c r="AC19" i="34" s="1"/>
  <c r="F17" i="34"/>
  <c r="AA17" i="34" s="1"/>
  <c r="J17" i="34"/>
  <c r="W17" i="34" s="1"/>
  <c r="AB17" i="34"/>
  <c r="S41" i="33"/>
  <c r="F113" i="33"/>
  <c r="G113" i="33"/>
  <c r="H113" i="33"/>
  <c r="I113" i="33"/>
  <c r="J113" i="33"/>
  <c r="K113" i="33"/>
  <c r="L113" i="33"/>
  <c r="M113" i="33"/>
  <c r="H37" i="33"/>
  <c r="AB37" i="33"/>
  <c r="H15" i="33"/>
  <c r="AB15" i="33"/>
  <c r="H11" i="33"/>
  <c r="AB11" i="33" s="1"/>
  <c r="F28" i="40"/>
  <c r="AA28" i="40"/>
  <c r="AA29" i="35"/>
  <c r="AA42" i="34"/>
  <c r="S42" i="34"/>
  <c r="AC38" i="34"/>
  <c r="AA38" i="34"/>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W30" i="34" s="1"/>
  <c r="H32" i="34"/>
  <c r="F32" i="34"/>
  <c r="J32" i="34"/>
  <c r="W32" i="34" s="1"/>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W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C46" i="36" s="1"/>
  <c r="D46" i="36" s="1"/>
  <c r="E46" i="36" s="1"/>
  <c r="F46" i="36" s="1"/>
  <c r="G46" i="36" s="1"/>
  <c r="H46" i="36" s="1"/>
  <c r="I46" i="36"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S15" i="37"/>
  <c r="U13" i="37"/>
  <c r="U12" i="40"/>
  <c r="AA12" i="40"/>
  <c r="J37" i="33"/>
  <c r="W37" i="33"/>
  <c r="F106" i="33"/>
  <c r="G106" i="33"/>
  <c r="H106" i="33"/>
  <c r="I106" i="33"/>
  <c r="J106" i="33"/>
  <c r="K106" i="33"/>
  <c r="L106" i="33"/>
  <c r="M106" i="33"/>
  <c r="J34" i="33"/>
  <c r="W34" i="33"/>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F32" i="37"/>
  <c r="AA32" i="37"/>
  <c r="G96" i="37"/>
  <c r="H96" i="37"/>
  <c r="I96" i="37"/>
  <c r="J96" i="37"/>
  <c r="K96" i="37"/>
  <c r="L96" i="37"/>
  <c r="M96" i="37"/>
  <c r="F20" i="36"/>
  <c r="AA20" i="36"/>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AB8" i="34"/>
  <c r="U43" i="34"/>
  <c r="AC42" i="34"/>
  <c r="AB41" i="34"/>
  <c r="AA45" i="34"/>
  <c r="U28" i="34"/>
  <c r="AA29" i="34"/>
  <c r="S13" i="34"/>
  <c r="H10" i="34"/>
  <c r="AB10" i="34" s="1"/>
  <c r="F11" i="34"/>
  <c r="S11" i="34" s="1"/>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G5" i="3" s="1"/>
  <c r="B3" i="3" s="1"/>
  <c r="E510" i="3" s="1"/>
  <c r="BA13" i="3"/>
  <c r="BA5" i="3" s="1"/>
  <c r="BL17" i="3"/>
  <c r="AZ17" i="3"/>
  <c r="BL13" i="3"/>
  <c r="BL5" i="3" s="1"/>
  <c r="J56" i="9"/>
  <c r="J57" i="9" s="1"/>
  <c r="J59" i="9" s="1"/>
  <c r="J61" i="9" s="1"/>
  <c r="A24" i="51"/>
  <c r="B18" i="72" s="1"/>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W19" i="34"/>
  <c r="AC45" i="34"/>
  <c r="AA31" i="34"/>
  <c r="AA30" i="34"/>
  <c r="AB45" i="34"/>
  <c r="AB47" i="34"/>
  <c r="AB36" i="34"/>
  <c r="AC14" i="34"/>
  <c r="AC32" i="34"/>
  <c r="AC29" i="34"/>
  <c r="W29" i="34"/>
  <c r="W46" i="34"/>
  <c r="AC46" i="34"/>
  <c r="S32" i="34"/>
  <c r="AA32" i="34"/>
  <c r="U30" i="34"/>
  <c r="AB30" i="34"/>
  <c r="U38" i="34"/>
  <c r="AA19" i="34"/>
  <c r="AA36" i="34"/>
  <c r="AA8" i="34"/>
  <c r="S8" i="34"/>
  <c r="AB9" i="34"/>
  <c r="U9" i="34"/>
  <c r="S46" i="34"/>
  <c r="AA46" i="34"/>
  <c r="U32" i="34"/>
  <c r="AB32" i="34"/>
  <c r="U14" i="34"/>
  <c r="AB14" i="34"/>
  <c r="W43" i="34"/>
  <c r="W23" i="34"/>
  <c r="AC23" i="34"/>
  <c r="W35"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11"/>
  <c r="C48" i="11" s="1"/>
  <c r="F28" i="67"/>
  <c r="F31" i="12"/>
  <c r="M18" i="67"/>
  <c r="F32" i="67"/>
  <c r="F60" i="67" s="1"/>
  <c r="F30" i="69"/>
  <c r="F48" i="69" s="1"/>
  <c r="M18" i="15"/>
  <c r="F28" i="15"/>
  <c r="AA39" i="40"/>
  <c r="S39" i="40"/>
  <c r="S12" i="33"/>
  <c r="AA12" i="33"/>
  <c r="D68"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539" i="3"/>
  <c r="E205" i="3"/>
  <c r="E536" i="3"/>
  <c r="E148" i="3"/>
  <c r="E140" i="3"/>
  <c r="E212" i="3"/>
  <c r="E199" i="3"/>
  <c r="E173" i="3"/>
  <c r="E286" i="3"/>
  <c r="E575" i="3"/>
  <c r="E525" i="3"/>
  <c r="E499" i="3"/>
  <c r="R6" i="3"/>
  <c r="T6" i="3"/>
  <c r="E502" i="3"/>
  <c r="E442" i="3"/>
  <c r="E456" i="3"/>
  <c r="E466" i="3"/>
  <c r="E487" i="3"/>
  <c r="E541" i="3"/>
  <c r="E512" i="3"/>
  <c r="E430" i="3"/>
  <c r="E408" i="3"/>
  <c r="E416" i="3"/>
  <c r="E451" i="3"/>
  <c r="E459" i="3"/>
  <c r="E255" i="3"/>
  <c r="E374" i="3"/>
  <c r="I3" i="6"/>
  <c r="E556" i="3"/>
  <c r="AP6" i="3"/>
  <c r="E497" i="3"/>
  <c r="E500" i="3"/>
  <c r="E13" i="3"/>
  <c r="E582" i="3"/>
  <c r="E517" i="3"/>
  <c r="E413" i="3"/>
  <c r="E435" i="3"/>
  <c r="E452" i="3"/>
  <c r="E491" i="3"/>
  <c r="E470" i="3"/>
  <c r="E520" i="3"/>
  <c r="E420" i="3"/>
  <c r="E436" i="3"/>
  <c r="E479" i="3"/>
  <c r="E39" i="3"/>
  <c r="E56" i="3"/>
  <c r="E104" i="3"/>
  <c r="E37" i="3"/>
  <c r="E41" i="3"/>
  <c r="E57" i="3"/>
  <c r="E115" i="3"/>
  <c r="E131" i="3"/>
  <c r="E152" i="3"/>
  <c r="E187" i="3"/>
  <c r="E132" i="3"/>
  <c r="E139" i="3"/>
  <c r="E192" i="3"/>
  <c r="E225" i="3"/>
  <c r="E240" i="3"/>
  <c r="E281" i="3"/>
  <c r="E297" i="3"/>
  <c r="E226"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29" i="83"/>
  <c r="F43" i="83"/>
  <c r="F43" i="82"/>
  <c r="M29" i="82"/>
  <c r="F7" i="82"/>
  <c r="M24" i="67"/>
  <c r="M22" i="67"/>
  <c r="E9" i="76"/>
  <c r="D4" i="73"/>
  <c r="E12" i="76"/>
  <c r="C76" i="67"/>
  <c r="F8" i="67"/>
  <c r="F42" i="15"/>
  <c r="F36" i="67"/>
  <c r="M26" i="67"/>
  <c r="M9" i="67"/>
  <c r="F36" i="15"/>
  <c r="F7" i="15"/>
  <c r="B7" i="76"/>
  <c r="M23" i="15"/>
  <c r="B9" i="76"/>
  <c r="F13" i="67"/>
  <c r="F40" i="67"/>
  <c r="D6" i="73"/>
  <c r="F6" i="67"/>
  <c r="M29" i="67"/>
  <c r="F6" i="15"/>
  <c r="L48" i="67"/>
  <c r="F8" i="15"/>
  <c r="B12" i="76"/>
  <c r="F5" i="73"/>
  <c r="F7" i="67"/>
  <c r="M22" i="15"/>
  <c r="F38" i="15"/>
  <c r="M26" i="15"/>
  <c r="B10" i="76"/>
  <c r="F9" i="15"/>
  <c r="C76" i="15"/>
  <c r="E7" i="76"/>
  <c r="F4" i="73"/>
  <c r="F20" i="31"/>
  <c r="L48" i="15"/>
  <c r="L47" i="67"/>
  <c r="F16" i="67"/>
  <c r="F7" i="73"/>
  <c r="F26" i="67"/>
  <c r="F16" i="15"/>
  <c r="F26" i="15"/>
  <c r="F6" i="73"/>
  <c r="B8" i="76"/>
  <c r="E2" i="69"/>
  <c r="D5" i="73"/>
  <c r="M24" i="15"/>
  <c r="M29" i="15"/>
  <c r="M28" i="15"/>
  <c r="M8" i="67"/>
  <c r="E8" i="76"/>
  <c r="F43" i="15"/>
  <c r="M9" i="15"/>
  <c r="F13" i="15"/>
  <c r="M23" i="67"/>
  <c r="F40" i="15"/>
  <c r="M6" i="67"/>
  <c r="J15" i="15"/>
  <c r="M28" i="67"/>
  <c r="F37" i="15"/>
  <c r="B11" i="76"/>
  <c r="F37" i="67"/>
  <c r="J15" i="67"/>
  <c r="D7" i="73"/>
  <c r="F42" i="67"/>
  <c r="M8" i="15"/>
  <c r="E11" i="76"/>
  <c r="F3" i="73"/>
  <c r="E10" i="76"/>
  <c r="F9" i="67"/>
  <c r="B13" i="76"/>
  <c r="D3" i="73"/>
  <c r="E13" i="76"/>
  <c r="F38" i="67"/>
  <c r="AO13" i="1"/>
  <c r="L47" i="15"/>
  <c r="E2" i="68"/>
  <c r="M6" i="15"/>
  <c r="F43" i="67"/>
  <c r="M7" i="82" l="1"/>
  <c r="J6" i="82" s="1"/>
  <c r="C6" i="82"/>
  <c r="F50" i="82"/>
  <c r="C49" i="82" s="1"/>
  <c r="C61" i="82" s="1"/>
  <c r="F71" i="82"/>
  <c r="F71" i="83"/>
  <c r="M7" i="1"/>
  <c r="M8" i="1"/>
  <c r="AB13" i="34"/>
  <c r="W40" i="34"/>
  <c r="AC40" i="34"/>
  <c r="H40" i="34"/>
  <c r="U40" i="34" s="1"/>
  <c r="J33" i="34"/>
  <c r="AC33" i="34" s="1"/>
  <c r="F33" i="34"/>
  <c r="S33" i="34" s="1"/>
  <c r="O7" i="1"/>
  <c r="P7" i="1" s="1"/>
  <c r="AA41" i="34"/>
  <c r="AC41" i="34"/>
  <c r="C18" i="9"/>
  <c r="D18" i="9" s="1"/>
  <c r="S44" i="34"/>
  <c r="U44" i="34"/>
  <c r="AC44" i="34"/>
  <c r="S43" i="34"/>
  <c r="F118" i="34"/>
  <c r="G118" i="34" s="1"/>
  <c r="F40" i="34"/>
  <c r="AA40" i="34" s="1"/>
  <c r="U39" i="34"/>
  <c r="AC39" i="34"/>
  <c r="AA39" i="34"/>
  <c r="F112" i="34"/>
  <c r="F37" i="34" s="1"/>
  <c r="AC36" i="34"/>
  <c r="AA35" i="34"/>
  <c r="AB35" i="34"/>
  <c r="U34" i="34"/>
  <c r="H33" i="34"/>
  <c r="U33" i="34" s="1"/>
  <c r="F102" i="34"/>
  <c r="G102" i="34" s="1"/>
  <c r="H102" i="34" s="1"/>
  <c r="I102" i="34" s="1"/>
  <c r="J102" i="34" s="1"/>
  <c r="K102" i="34" s="1"/>
  <c r="L102" i="34" s="1"/>
  <c r="M102" i="34" s="1"/>
  <c r="U27" i="34"/>
  <c r="AC28" i="34"/>
  <c r="F25" i="34"/>
  <c r="G88" i="34"/>
  <c r="H88" i="34" s="1"/>
  <c r="I88" i="34" s="1"/>
  <c r="J88" i="34" s="1"/>
  <c r="K88" i="34" s="1"/>
  <c r="L88" i="34" s="1"/>
  <c r="M88" i="34" s="1"/>
  <c r="H25" i="34"/>
  <c r="AB25" i="34" s="1"/>
  <c r="J25" i="34"/>
  <c r="AC25" i="34" s="1"/>
  <c r="S23" i="34"/>
  <c r="AB23" i="34"/>
  <c r="U21" i="34"/>
  <c r="S21" i="34"/>
  <c r="U19" i="34"/>
  <c r="AC17" i="34"/>
  <c r="S17" i="34"/>
  <c r="U29" i="34"/>
  <c r="F15" i="34"/>
  <c r="S15" i="34" s="1"/>
  <c r="J15" i="34"/>
  <c r="F78" i="34"/>
  <c r="G78" i="34" s="1"/>
  <c r="H15" i="34"/>
  <c r="AB15" i="34" s="1"/>
  <c r="AA15" i="34"/>
  <c r="W8" i="34"/>
  <c r="F54" i="9"/>
  <c r="F32" i="15"/>
  <c r="F60" i="15" s="1"/>
  <c r="F52" i="9"/>
  <c r="F30" i="68"/>
  <c r="F48" i="68" s="1"/>
  <c r="C40" i="69"/>
  <c r="C21" i="68"/>
  <c r="E241" i="3"/>
  <c r="E258" i="3"/>
  <c r="E155" i="3"/>
  <c r="E198" i="3"/>
  <c r="E95" i="3"/>
  <c r="E90" i="3"/>
  <c r="E26" i="3"/>
  <c r="E417" i="3"/>
  <c r="E460" i="3"/>
  <c r="E494" i="3"/>
  <c r="E554" i="3"/>
  <c r="E566" i="3"/>
  <c r="E360" i="3"/>
  <c r="E449" i="3"/>
  <c r="E398" i="3"/>
  <c r="E469" i="3"/>
  <c r="E405" i="3"/>
  <c r="E534" i="3"/>
  <c r="E369" i="3"/>
  <c r="E197" i="3"/>
  <c r="E296" i="3"/>
  <c r="E242" i="3"/>
  <c r="E202" i="3"/>
  <c r="E119" i="3"/>
  <c r="E178" i="3"/>
  <c r="E108" i="3"/>
  <c r="E25" i="3"/>
  <c r="E40" i="3"/>
  <c r="E463" i="3"/>
  <c r="E401" i="3"/>
  <c r="E483" i="3"/>
  <c r="E419" i="3"/>
  <c r="E498" i="3"/>
  <c r="J6" i="3"/>
  <c r="AH6" i="3"/>
  <c r="E376" i="3"/>
  <c r="E490" i="3"/>
  <c r="E440" i="3"/>
  <c r="E422" i="3"/>
  <c r="E507" i="3"/>
  <c r="E486" i="3"/>
  <c r="E427" i="3"/>
  <c r="E543" i="3"/>
  <c r="E564" i="3"/>
  <c r="E493" i="3"/>
  <c r="E393" i="3"/>
  <c r="E105" i="3"/>
  <c r="E116" i="3"/>
  <c r="E223" i="3"/>
  <c r="E188" i="3"/>
  <c r="E16" i="3"/>
  <c r="E329" i="3"/>
  <c r="E464" i="3"/>
  <c r="E421" i="3"/>
  <c r="E552" i="3"/>
  <c r="E542" i="3"/>
  <c r="AD6" i="3"/>
  <c r="E312" i="3"/>
  <c r="E141" i="3"/>
  <c r="E167" i="3"/>
  <c r="E149" i="3"/>
  <c r="E244" i="3"/>
  <c r="E165" i="3"/>
  <c r="G28" i="6"/>
  <c r="H50" i="43"/>
  <c r="D21" i="53"/>
  <c r="B39" i="72" s="1"/>
  <c r="D19" i="53"/>
  <c r="B38" i="72" s="1"/>
  <c r="D16" i="53"/>
  <c r="B34" i="72" s="1"/>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E29" i="6"/>
  <c r="K15" i="1" s="1"/>
  <c r="F30" i="6"/>
  <c r="G30" i="6"/>
  <c r="G31" i="6" s="1"/>
  <c r="C12" i="34" s="1"/>
  <c r="E28" i="6"/>
  <c r="K14" i="1" s="1"/>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82"/>
  <c r="C16" i="83"/>
  <c r="G1" i="73"/>
  <c r="C16" i="15"/>
  <c r="C16" i="67"/>
  <c r="C33" i="82" l="1"/>
  <c r="C32" i="82"/>
  <c r="C71" i="34"/>
  <c r="H12" i="34" s="1"/>
  <c r="J12" i="34"/>
  <c r="J18" i="82"/>
  <c r="J19" i="82"/>
  <c r="AB40" i="34"/>
  <c r="AA33" i="34"/>
  <c r="W33" i="34"/>
  <c r="M11" i="83"/>
  <c r="J10" i="83" s="1"/>
  <c r="J5" i="83" s="1"/>
  <c r="F11" i="83"/>
  <c r="M11" i="82"/>
  <c r="J10" i="82" s="1"/>
  <c r="J5" i="82" s="1"/>
  <c r="F11" i="82"/>
  <c r="S40" i="34"/>
  <c r="G112" i="34"/>
  <c r="H37" i="34"/>
  <c r="AA37" i="34"/>
  <c r="S37" i="34"/>
  <c r="AB33" i="34"/>
  <c r="W25" i="34"/>
  <c r="U25" i="34"/>
  <c r="S25" i="34"/>
  <c r="AA25" i="34"/>
  <c r="U15" i="34"/>
  <c r="AC15" i="34"/>
  <c r="W15" i="34"/>
  <c r="P6" i="1"/>
  <c r="C13" i="12" s="1"/>
  <c r="K16" i="1"/>
  <c r="E59" i="40"/>
  <c r="E26" i="43"/>
  <c r="H26" i="43"/>
  <c r="G26" i="43"/>
  <c r="N94" i="46"/>
  <c r="J26" i="43"/>
  <c r="N370" i="46"/>
  <c r="D18" i="53"/>
  <c r="B35" i="72" s="1"/>
  <c r="C7" i="74"/>
  <c r="J7" i="37"/>
  <c r="AC7" i="37" s="1"/>
  <c r="V42" i="37" s="1"/>
  <c r="I42" i="37" s="1"/>
  <c r="E61" i="43"/>
  <c r="B59" i="43" s="1"/>
  <c r="C28" i="43" s="1"/>
  <c r="B116" i="43"/>
  <c r="Z7" i="43"/>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D33" i="43" s="1"/>
  <c r="D1" i="43" s="1"/>
  <c r="E51" i="40"/>
  <c r="E16" i="6"/>
  <c r="AC6" i="3"/>
  <c r="H6" i="3"/>
  <c r="E58" i="40"/>
  <c r="E62" i="39"/>
  <c r="AY6" i="3"/>
  <c r="E3" i="6"/>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F24" i="83" s="1"/>
  <c r="S10" i="39"/>
  <c r="AA10" i="39"/>
  <c r="H7" i="33"/>
  <c r="J7" i="33"/>
  <c r="D65" i="40"/>
  <c r="E63" i="40"/>
  <c r="F48" i="35"/>
  <c r="S7" i="36"/>
  <c r="AA7" i="36"/>
  <c r="R36" i="36"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12" i="1"/>
  <c r="AE10" i="1"/>
  <c r="AE8" i="1"/>
  <c r="AE7" i="1"/>
  <c r="AE6" i="1"/>
  <c r="F41" i="67"/>
  <c r="U12" i="34" l="1"/>
  <c r="AB12" i="34"/>
  <c r="F12" i="34"/>
  <c r="W12" i="34"/>
  <c r="AC12" i="34"/>
  <c r="C53" i="83"/>
  <c r="C48" i="83" s="1"/>
  <c r="C10" i="83"/>
  <c r="C5" i="83" s="1"/>
  <c r="C24" i="83"/>
  <c r="J24" i="83"/>
  <c r="L36" i="43"/>
  <c r="N36" i="43" s="1"/>
  <c r="F24" i="82"/>
  <c r="C53" i="82"/>
  <c r="C48" i="82" s="1"/>
  <c r="C10" i="82"/>
  <c r="C5" i="82" s="1"/>
  <c r="J24" i="82"/>
  <c r="U37" i="34"/>
  <c r="AB37" i="34"/>
  <c r="T49" i="34" s="1"/>
  <c r="G49" i="34" s="1"/>
  <c r="G53" i="34" s="1"/>
  <c r="H53" i="34" s="1"/>
  <c r="H112" i="34"/>
  <c r="I112" i="34" s="1"/>
  <c r="J112" i="34" s="1"/>
  <c r="K112" i="34" s="1"/>
  <c r="L112" i="34" s="1"/>
  <c r="M112" i="34" s="1"/>
  <c r="J37" i="34"/>
  <c r="D26" i="43"/>
  <c r="C25" i="43" s="1"/>
  <c r="C33" i="43" s="1"/>
  <c r="E65" i="39"/>
  <c r="AC7" i="34"/>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C17" i="83"/>
  <c r="M27" i="15"/>
  <c r="F41" i="15"/>
  <c r="M27" i="82"/>
  <c r="M27" i="67"/>
  <c r="F41" i="82"/>
  <c r="M27" i="83"/>
  <c r="S12" i="34" l="1"/>
  <c r="AA12" i="34"/>
  <c r="B1" i="74"/>
  <c r="B14" i="74"/>
  <c r="R49" i="34"/>
  <c r="E49" i="34" s="1"/>
  <c r="E53" i="34" s="1"/>
  <c r="F53" i="34" s="1"/>
  <c r="E8" i="70"/>
  <c r="F69" i="82"/>
  <c r="C38" i="83"/>
  <c r="C66" i="83"/>
  <c r="C60" i="83"/>
  <c r="Q36" i="43"/>
  <c r="P36" i="43"/>
  <c r="O36" i="43"/>
  <c r="M36" i="43"/>
  <c r="L37" i="43"/>
  <c r="P37" i="43" s="1"/>
  <c r="C38" i="82"/>
  <c r="C60" i="82"/>
  <c r="C66" i="82"/>
  <c r="C24" i="82"/>
  <c r="AC37" i="34"/>
  <c r="V49" i="34" s="1"/>
  <c r="W37" i="34"/>
  <c r="D116"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82"/>
  <c r="C17" i="15"/>
  <c r="C14" i="83"/>
  <c r="C17" i="67"/>
  <c r="C14" i="67"/>
  <c r="C14" i="74" l="1"/>
  <c r="B2" i="74" s="1"/>
  <c r="E7" i="70"/>
  <c r="C18" i="83"/>
  <c r="C15" i="83"/>
  <c r="Q37" i="43"/>
  <c r="O37" i="43"/>
  <c r="M37" i="43"/>
  <c r="N37" i="43"/>
  <c r="I49" i="34"/>
  <c r="I54" i="34" s="1"/>
  <c r="J54" i="34" s="1"/>
  <c r="R50" i="34"/>
  <c r="E54" i="34"/>
  <c r="F54" i="34" s="1"/>
  <c r="C18" i="67"/>
  <c r="C15" i="67"/>
  <c r="H23" i="6"/>
  <c r="R23" i="6" s="1"/>
  <c r="R10" i="1" s="1"/>
  <c r="C30" i="43"/>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B2" i="43"/>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82"/>
  <c r="B6" i="76"/>
  <c r="C14" i="15"/>
  <c r="E6" i="76"/>
  <c r="D8" i="74" l="1"/>
  <c r="D7" i="74"/>
  <c r="E2" i="70"/>
  <c r="C19" i="83"/>
  <c r="C20" i="83" s="1"/>
  <c r="C26" i="83" s="1"/>
  <c r="C18" i="82"/>
  <c r="C15" i="82"/>
  <c r="B3" i="43"/>
  <c r="C6" i="68"/>
  <c r="C7" i="68" s="1"/>
  <c r="C50" i="34"/>
  <c r="C49" i="34"/>
  <c r="I53" i="34"/>
  <c r="J53" i="34" s="1"/>
  <c r="G54" i="34"/>
  <c r="H54" i="34" s="1"/>
  <c r="C18" i="12"/>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C19" i="82" l="1"/>
  <c r="C20" i="82" s="1"/>
  <c r="C26" i="82" s="1"/>
  <c r="C23" i="83"/>
  <c r="C29" i="83" s="1"/>
  <c r="C5" i="68"/>
  <c r="C23" i="68" s="1"/>
  <c r="C21" i="12"/>
  <c r="C22" i="12" s="1"/>
  <c r="C30" i="12" s="1"/>
  <c r="C28" i="12" s="1"/>
  <c r="F7" i="21"/>
  <c r="S7" i="21" s="1"/>
  <c r="J7" i="21"/>
  <c r="AC7" i="21" s="1"/>
  <c r="V48" i="21" s="1"/>
  <c r="I48"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AA7" i="21"/>
  <c r="R48" i="21" s="1"/>
  <c r="J63" i="40"/>
  <c r="I65" i="40"/>
  <c r="K48" i="35"/>
  <c r="L48" i="35" s="1"/>
  <c r="M48" i="35" s="1"/>
  <c r="N48" i="35" s="1"/>
  <c r="O48" i="35" s="1"/>
  <c r="H7" i="35" s="1"/>
  <c r="C36" i="83" l="1"/>
  <c r="J59" i="83"/>
  <c r="J60" i="83" s="1"/>
  <c r="J14" i="83"/>
  <c r="Q49" i="83"/>
  <c r="C57" i="83"/>
  <c r="C64" i="83" s="1"/>
  <c r="C13" i="83"/>
  <c r="C23" i="82"/>
  <c r="C29" i="82" s="1"/>
  <c r="C20" i="68"/>
  <c r="C28" i="68" s="1"/>
  <c r="C27" i="68" s="1"/>
  <c r="C27" i="12"/>
  <c r="C25" i="12" s="1"/>
  <c r="C32" i="12" s="1"/>
  <c r="B2" i="12" s="1"/>
  <c r="B3" i="12" s="1"/>
  <c r="W7" i="2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R49" i="21"/>
  <c r="E48" i="21"/>
  <c r="G52" i="21"/>
  <c r="H52" i="21" s="1"/>
  <c r="G53" i="21"/>
  <c r="H53" i="21" s="1"/>
  <c r="F7" i="35"/>
  <c r="F35" i="83"/>
  <c r="M21" i="15"/>
  <c r="F35" i="82"/>
  <c r="F35" i="15"/>
  <c r="M21" i="83"/>
  <c r="M21" i="82"/>
  <c r="F35" i="67"/>
  <c r="M21" i="67"/>
  <c r="C25" i="68" l="1"/>
  <c r="C22" i="68" s="1"/>
  <c r="C31" i="68" s="1"/>
  <c r="C37" i="83"/>
  <c r="C75" i="83"/>
  <c r="Q70" i="83"/>
  <c r="C56" i="83"/>
  <c r="C65" i="83" s="1"/>
  <c r="C13" i="82"/>
  <c r="C57" i="82"/>
  <c r="C64" i="82" s="1"/>
  <c r="Q49" i="82"/>
  <c r="C36" i="82"/>
  <c r="J14" i="82"/>
  <c r="J59" i="82"/>
  <c r="J60" i="82" s="1"/>
  <c r="J22" i="83"/>
  <c r="J13" i="83"/>
  <c r="J23" i="83" s="1"/>
  <c r="L46" i="83"/>
  <c r="Q48" i="83"/>
  <c r="J20" i="83"/>
  <c r="J17" i="83" s="1"/>
  <c r="C34" i="83"/>
  <c r="C31" i="83" s="1"/>
  <c r="F63" i="83"/>
  <c r="C62" i="83" s="1"/>
  <c r="C59" i="83" s="1"/>
  <c r="J20" i="82"/>
  <c r="J17" i="82" s="1"/>
  <c r="C34" i="82"/>
  <c r="C31" i="82" s="1"/>
  <c r="F63" i="82"/>
  <c r="C62" i="82" s="1"/>
  <c r="C59" i="82" s="1"/>
  <c r="AC7" i="35"/>
  <c r="V38" i="35" s="1"/>
  <c r="I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2" i="68" l="1"/>
  <c r="B2" i="68" s="1"/>
  <c r="B3" i="68" s="1"/>
  <c r="J16" i="83"/>
  <c r="J25" i="83" s="1"/>
  <c r="J26" i="83" s="1"/>
  <c r="J29" i="83" s="1"/>
  <c r="C58" i="83"/>
  <c r="C67" i="83" s="1"/>
  <c r="C68" i="83" s="1"/>
  <c r="C71" i="83" s="1"/>
  <c r="J13" i="82"/>
  <c r="J23" i="82" s="1"/>
  <c r="J22" i="82"/>
  <c r="Q70" i="82"/>
  <c r="C37" i="82"/>
  <c r="C30" i="82" s="1"/>
  <c r="C39" i="82" s="1"/>
  <c r="C56" i="82"/>
  <c r="C65" i="82" s="1"/>
  <c r="C58" i="82" s="1"/>
  <c r="C67" i="82" s="1"/>
  <c r="C68" i="82" s="1"/>
  <c r="C71" i="82" s="1"/>
  <c r="C75" i="82"/>
  <c r="C30" i="83"/>
  <c r="C39" i="83" s="1"/>
  <c r="C80" i="83" s="1"/>
  <c r="C79" i="83" s="1"/>
  <c r="Q48" i="82"/>
  <c r="L46" i="82"/>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2"/>
  <c r="D2" i="21"/>
  <c r="C57" i="68" l="1"/>
  <c r="Q69" i="83"/>
  <c r="Q68" i="83" s="1"/>
  <c r="J16" i="82"/>
  <c r="J25" i="82" s="1"/>
  <c r="J26" i="82" s="1"/>
  <c r="J29" i="82" s="1"/>
  <c r="C40" i="83"/>
  <c r="C44" i="83" s="1"/>
  <c r="C80" i="82"/>
  <c r="C79" i="82" s="1"/>
  <c r="Q69" i="82"/>
  <c r="Q68" i="82" s="1"/>
  <c r="C40" i="82"/>
  <c r="C46" i="82" s="1"/>
  <c r="Q67" i="82"/>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83"/>
  <c r="D2" i="33"/>
  <c r="L51" i="67"/>
  <c r="Q67" i="83" l="1"/>
  <c r="C56" i="68"/>
  <c r="Q56" i="82"/>
  <c r="Q62" i="82" s="1"/>
  <c r="Q47" i="83"/>
  <c r="Q53" i="83" s="1"/>
  <c r="B2" i="83"/>
  <c r="B3" i="83" s="1"/>
  <c r="C43" i="83"/>
  <c r="C46" i="83"/>
  <c r="Q56" i="83"/>
  <c r="Q62" i="83" s="1"/>
  <c r="C83" i="83"/>
  <c r="C82" i="83" s="1"/>
  <c r="Q65" i="83"/>
  <c r="Q75" i="83" s="1"/>
  <c r="C83" i="82"/>
  <c r="C82" i="82" s="1"/>
  <c r="Q65" i="82"/>
  <c r="Q75" i="82" s="1"/>
  <c r="Q47" i="82"/>
  <c r="Q53" i="82" s="1"/>
  <c r="B2" i="82"/>
  <c r="B3" i="82" s="1"/>
  <c r="C43" i="82"/>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7"/>
  <c r="D2" i="36"/>
  <c r="D2" i="34"/>
  <c r="D2" i="35"/>
  <c r="L51" i="15"/>
  <c r="Q57" i="67" l="1"/>
  <c r="Q62" i="67" s="1"/>
  <c r="Q66" i="67"/>
  <c r="Q75" i="67" s="1"/>
  <c r="B3" i="67"/>
  <c r="L57" i="15"/>
  <c r="L60" i="15" s="1"/>
  <c r="Q57" i="15" s="1"/>
  <c r="Q67" i="15"/>
  <c r="B2" i="36"/>
  <c r="B3" i="36" s="1"/>
  <c r="B2" i="35"/>
  <c r="B3" i="35" s="1"/>
  <c r="M3" i="35"/>
  <c r="B2" i="37"/>
  <c r="B3" i="37" s="1"/>
  <c r="B2" i="34"/>
  <c r="M4" i="34" s="1"/>
  <c r="Q47" i="15"/>
  <c r="Q53" i="15" s="1"/>
  <c r="C43" i="15"/>
  <c r="Q65" i="15"/>
  <c r="C83" i="15"/>
  <c r="C82" i="15" s="1"/>
  <c r="Q56" i="15"/>
  <c r="W7" i="39"/>
  <c r="AC7" i="39"/>
  <c r="V47" i="39" s="1"/>
  <c r="I47" i="39" s="1"/>
  <c r="E47" i="39"/>
  <c r="R48" i="39"/>
  <c r="U7" i="39"/>
  <c r="AB7" i="39"/>
  <c r="T47" i="39" s="1"/>
  <c r="G47" i="39" s="1"/>
  <c r="J7" i="40"/>
  <c r="F7" i="40"/>
  <c r="H7" i="40"/>
  <c r="AO11" i="1"/>
  <c r="AO8" i="1"/>
  <c r="AO7" i="1"/>
  <c r="AO9" i="1"/>
  <c r="AO12" i="1"/>
  <c r="C19" i="9"/>
  <c r="AO10" i="1"/>
  <c r="L46" i="15" l="1"/>
  <c r="B2" i="15" s="1"/>
  <c r="C102" i="9"/>
  <c r="C21" i="9"/>
  <c r="B3" i="34"/>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C20" i="9"/>
  <c r="B6" i="70" l="1"/>
  <c r="B2" i="70" s="1"/>
  <c r="B3" i="15"/>
  <c r="C103" i="9"/>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35" i="9"/>
  <c r="D34" i="9"/>
  <c r="D19" i="9"/>
  <c r="D21" i="9" l="1"/>
  <c r="D102" i="9"/>
  <c r="G19" i="9"/>
  <c r="D22" i="9"/>
  <c r="B3" i="70"/>
  <c r="C42" i="40"/>
  <c r="C43" i="40"/>
  <c r="E47" i="40"/>
  <c r="F47" i="40" s="1"/>
  <c r="E46" i="40"/>
  <c r="F46" i="40" s="1"/>
  <c r="I47" i="40"/>
  <c r="J47" i="40" s="1"/>
  <c r="D20" i="9"/>
  <c r="G21" i="9" l="1"/>
  <c r="D28" i="9"/>
  <c r="D103" i="9"/>
  <c r="G20" i="9"/>
  <c r="C32" i="9" s="1"/>
  <c r="C35" i="9" s="1"/>
  <c r="C34" i="9" s="1"/>
  <c r="B58" i="40"/>
  <c r="F58" i="40" s="1"/>
  <c r="B54" i="40"/>
  <c r="F54" i="40" s="1"/>
  <c r="B53" i="40"/>
  <c r="F53" i="40" s="1"/>
  <c r="B59" i="40"/>
  <c r="F59" i="40" s="1"/>
  <c r="B52" i="40"/>
  <c r="F52" i="40" s="1"/>
  <c r="B56" i="40"/>
  <c r="F56" i="40" s="1"/>
  <c r="B60" i="40"/>
  <c r="F60" i="40" s="1"/>
  <c r="B57" i="40"/>
  <c r="F57" i="40" s="1"/>
  <c r="B51" i="40"/>
  <c r="F51" i="40" s="1"/>
  <c r="F61" i="40"/>
  <c r="B2" i="40" s="1"/>
  <c r="B3" i="40" s="1"/>
  <c r="D118" i="9" l="1"/>
  <c r="D4" i="52" s="1"/>
  <c r="B47" i="72" s="1"/>
  <c r="F118" i="9"/>
  <c r="F4" i="52" s="1"/>
  <c r="B51" i="72" s="1"/>
  <c r="H118" i="9"/>
  <c r="H4" i="52" l="1"/>
  <c r="D14" i="74"/>
  <c r="H101" i="9"/>
  <c r="M48" i="9" s="1"/>
  <c r="H119" i="9"/>
  <c r="H5" i="52" s="1"/>
  <c r="G118" i="9"/>
  <c r="G4" i="52" s="1"/>
  <c r="B52" i="72" s="1"/>
  <c r="C104" i="9"/>
  <c r="I118" i="9"/>
  <c r="C105" i="9" s="1"/>
  <c r="F119" i="9"/>
  <c r="F5" i="52" s="1"/>
  <c r="B53" i="72" s="1"/>
  <c r="D119" i="9"/>
  <c r="D5" i="52" s="1"/>
  <c r="B49" i="72" s="1"/>
  <c r="H107" i="9" l="1"/>
  <c r="D122" i="9" s="1"/>
  <c r="G14" i="74" s="1"/>
  <c r="B6" i="74" s="1"/>
  <c r="D6" i="74" s="1"/>
  <c r="D45" i="9"/>
  <c r="C64" i="9" s="1"/>
  <c r="C63" i="9" s="1"/>
  <c r="C67" i="9" s="1"/>
  <c r="E14" i="74"/>
  <c r="F14" i="74"/>
  <c r="B5" i="74"/>
  <c r="D5" i="74" s="1"/>
  <c r="D5" i="53"/>
  <c r="D6" i="53" s="1"/>
  <c r="B22" i="72" s="1"/>
  <c r="H102" i="9"/>
  <c r="D7" i="53" s="1"/>
  <c r="B21" i="72" s="1"/>
  <c r="I4" i="52"/>
  <c r="E118" i="9"/>
  <c r="E4" i="52" s="1"/>
  <c r="B48" i="72" s="1"/>
  <c r="D13" i="53" l="1"/>
  <c r="B30" i="72" s="1"/>
  <c r="M49" i="9"/>
  <c r="L68" i="9" s="1"/>
  <c r="M68" i="9" s="1"/>
  <c r="B20" i="72"/>
  <c r="C72" i="9"/>
  <c r="D53" i="9"/>
  <c r="H108" i="9"/>
  <c r="D15" i="53" s="1"/>
  <c r="B31" i="72" s="1"/>
  <c r="C85" i="9"/>
  <c r="D55" i="9"/>
  <c r="M53" i="9" s="1"/>
  <c r="C93" i="9"/>
  <c r="C86" i="9" s="1"/>
  <c r="D52" i="9"/>
  <c r="C78" i="9"/>
  <c r="C73" i="9" s="1"/>
  <c r="C5" i="74"/>
  <c r="D14" i="53"/>
  <c r="B32" i="72" s="1"/>
  <c r="C68" i="9"/>
  <c r="D54" i="9" s="1"/>
  <c r="D59" i="9"/>
  <c r="M55" i="9" s="1"/>
  <c r="D8" i="52"/>
  <c r="D123" i="9"/>
  <c r="D9" i="52" s="1"/>
  <c r="C6" i="74" l="1"/>
  <c r="L67" i="9"/>
  <c r="M67" i="9" s="1"/>
  <c r="L65" i="9"/>
  <c r="M65" i="9" s="1"/>
  <c r="L63" i="9"/>
  <c r="M63" i="9" s="1"/>
  <c r="L66" i="9"/>
  <c r="M66" i="9" s="1"/>
  <c r="L64" i="9"/>
  <c r="M64" i="9" s="1"/>
  <c r="C79" i="9"/>
  <c r="C80" i="9" s="1"/>
  <c r="E80" i="9" s="1"/>
  <c r="E81" i="9" s="1"/>
  <c r="C95" i="9"/>
  <c r="C96" i="9" s="1"/>
  <c r="E96" i="9" s="1"/>
  <c r="E97" i="9" s="1"/>
  <c r="M69" i="9" l="1"/>
  <c r="N69" i="9" s="1"/>
  <c r="C81" i="9"/>
  <c r="C97" i="9"/>
  <c r="D58" i="9" s="1"/>
  <c r="D56" i="9" s="1"/>
  <c r="M54" i="9" s="1"/>
  <c r="N57" i="9" s="1"/>
  <c r="P57" i="9" s="1"/>
  <c r="N59" i="9" l="1"/>
  <c r="N61" i="9" s="1"/>
  <c r="N58"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<sst xmlns="http://schemas.openxmlformats.org/spreadsheetml/2006/main" count="8889" uniqueCount="3600">
  <si>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</si>
  <si>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</si>
  <si>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</si>
  <si>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</si>
  <si>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</si>
  <si>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</si>
  <si>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</si>
  <si>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</si>
  <si>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</si>
  <si>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</si>
  <si>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</si>
  <si>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</si>
  <si>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</si>
  <si>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</si>
  <si>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</si>
  <si>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</si>
  <si>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</si>
  <si>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</si>
  <si>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</si>
  <si>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</si>
  <si>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</si>
  <si>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</si>
  <si>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</si>
  <si>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</si>
  <si>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</si>
  <si>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</si>
  <si>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</si>
  <si>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</si>
  <si>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</si>
  <si>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</si>
  <si>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</si>
  <si>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</si>
  <si>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</si>
  <si>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</si>
  <si>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</si>
  <si>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</si>
  <si>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</si>
  <si>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</si>
  <si>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</si>
  <si>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</si>
  <si>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</si>
  <si>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</si>
  <si>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</si>
  <si>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</si>
  <si>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</si>
  <si>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</si>
  <si>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</si>
  <si>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</si>
  <si>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</si>
  <si>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</si>
  <si>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</si>
  <si>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</si>
  <si>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</si>
  <si>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</si>
  <si>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</si>
  <si>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</si>
  <si>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</si>
  <si>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</si>
  <si>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</si>
  <si>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</si>
  <si>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</si>
  <si>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</si>
  <si>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</si>
  <si>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</si>
  <si>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</si>
  <si>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</si>
  <si>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</si>
  <si>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</si>
  <si>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</si>
  <si>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</si>
  <si>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</si>
  <si>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</si>
  <si>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</si>
  <si>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</si>
  <si>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</si>
  <si>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</si>
  <si>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</si>
  <si>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</si>
  <si>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</si>
  <si>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</si>
  <si>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</si>
  <si>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</si>
  <si>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</si>
  <si>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</si>
  <si>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</si>
  <si>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</si>
  <si>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</si>
  <si>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</si>
  <si>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</si>
  <si>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</si>
  <si>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</si>
  <si>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</si>
  <si>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</si>
  <si>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</si>
  <si>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</si>
  <si>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</si>
  <si>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</si>
  <si>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</si>
  <si>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</si>
  <si>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</si>
  <si>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</si>
  <si>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</si>
  <si>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</si>
  <si>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</si>
  <si>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</si>
  <si>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</si>
  <si>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</si>
  <si>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</si>
  <si>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</si>
  <si>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</si>
  <si>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</si>
  <si>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</si>
  <si>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</si>
  <si>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</si>
  <si>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</si>
  <si>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</si>
  <si>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</si>
  <si>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</si>
  <si>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</si>
  <si>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</si>
  <si>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</si>
  <si>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</si>
  <si>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</si>
  <si>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</si>
  <si>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</si>
  <si>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</si>
  <si>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</si>
  <si>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</si>
  <si>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</si>
  <si>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</si>
  <si>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</si>
  <si>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</si>
  <si>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</si>
  <si>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</si>
  <si>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</si>
  <si>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</si>
  <si>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</si>
  <si>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</si>
  <si>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</si>
  <si>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</si>
  <si>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</si>
  <si>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</si>
  <si>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</si>
  <si>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</si>
  <si>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</si>
  <si>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</si>
  <si>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</si>
  <si>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</si>
  <si>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</si>
  <si>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</si>
  <si>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</si>
  <si>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</si>
  <si>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</si>
  <si>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</si>
  <si>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</si>
  <si>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</si>
  <si>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</si>
  <si>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</si>
  <si>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</si>
  <si>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</si>
  <si>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</si>
  <si>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</si>
  <si>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</si>
  <si>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</si>
  <si>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</si>
  <si>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</si>
  <si>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</si>
  <si>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</si>
  <si>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</si>
  <si>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</si>
  <si>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</si>
  <si>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</si>
  <si>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</si>
  <si>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</si>
  <si>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</si>
  <si>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</si>
  <si>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</si>
  <si>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</si>
  <si>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</si>
  <si>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</si>
  <si>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</si>
  <si>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</si>
  <si>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</si>
  <si>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</si>
  <si>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</si>
  <si>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</si>
  <si>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</si>
  <si>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</si>
  <si>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</si>
  <si>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</si>
  <si>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</si>
  <si>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</si>
  <si>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</si>
  <si>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</si>
  <si>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</si>
  <si>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</si>
  <si>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</si>
  <si>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</si>
  <si>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</si>
  <si>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</si>
  <si>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</si>
  <si>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</si>
  <si>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</si>
  <si>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</si>
  <si>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</si>
  <si>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</si>
  <si>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</si>
  <si>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</si>
  <si>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</si>
  <si>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</si>
  <si>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</si>
  <si>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</si>
  <si>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</si>
  <si>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</si>
  <si>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</si>
  <si>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</si>
  <si>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</si>
  <si>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</si>
  <si>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</si>
  <si>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</si>
  <si>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</si>
  <si>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</si>
  <si>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</si>
  <si>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</si>
  <si>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</si>
  <si>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</si>
  <si>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</si>
  <si>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</si>
  <si>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</si>
  <si>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</si>
  <si>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</si>
  <si>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</si>
  <si>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</si>
  <si>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</si>
  <si>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</si>
  <si>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</si>
  <si>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</si>
  <si>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</si>
  <si>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</si>
  <si>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</si>
  <si>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</si>
  <si>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</si>
  <si>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</si>
  <si>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</si>
  <si>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</si>
  <si>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</si>
  <si>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</si>
  <si>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</si>
  <si>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</si>
  <si>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</si>
  <si>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</si>
  <si>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</si>
  <si>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</si>
  <si>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</si>
  <si>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</si>
  <si>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</si>
  <si>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</si>
  <si>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</si>
  <si>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</si>
  <si>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</si>
  <si>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</si>
  <si>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</si>
  <si>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</si>
  <si>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</si>
  <si>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</si>
  <si>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</si>
  <si>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</si>
  <si>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</si>
  <si>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</si>
  <si>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</si>
  <si>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</si>
  <si>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</si>
  <si>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</si>
  <si>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</si>
  <si>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</si>
  <si>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</si>
  <si>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</si>
  <si>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</si>
  <si>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</si>
  <si>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</si>
  <si>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</si>
  <si>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</si>
  <si>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</si>
  <si>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</si>
  <si>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</si>
  <si>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</si>
  <si>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</si>
  <si>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</si>
  <si>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</si>
  <si>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</si>
  <si>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</si>
  <si>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</si>
  <si>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</si>
  <si>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</si>
  <si>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</si>
  <si>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</si>
  <si>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</si>
  <si>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</si>
  <si>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</si>
  <si>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</si>
  <si>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</si>
  <si>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</si>
  <si>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</si>
  <si>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</si>
  <si>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</si>
  <si>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</si>
  <si>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</si>
  <si>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</si>
  <si>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</si>
  <si>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</si>
  <si>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</si>
  <si>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</si>
  <si>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</si>
  <si>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</si>
  <si>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</si>
  <si>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</si>
  <si>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</si>
  <si>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</si>
  <si>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</si>
  <si>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</si>
  <si>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</si>
  <si>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</si>
  <si>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</si>
  <si>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</si>
  <si>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</si>
  <si>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</si>
  <si>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</si>
  <si>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</si>
  <si>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</si>
  <si>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</si>
  <si>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</si>
  <si>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</si>
  <si>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</si>
  <si>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</si>
  <si>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</si>
  <si>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</si>
  <si>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</si>
  <si>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</si>
  <si>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</si>
  <si>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</si>
  <si>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</si>
  <si>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</si>
  <si>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</si>
  <si>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</si>
  <si>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</si>
  <si>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</si>
  <si>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</si>
  <si>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</si>
  <si>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</si>
  <si>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</si>
  <si>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</si>
  <si>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</si>
  <si>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</si>
  <si>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</si>
  <si>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</si>
  <si>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</si>
  <si>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</si>
  <si>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</si>
  <si>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</si>
  <si>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</si>
  <si>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</si>
  <si>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</si>
  <si>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</si>
  <si>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</si>
  <si>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</si>
  <si>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</si>
  <si>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</si>
  <si>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</si>
  <si>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</si>
  <si>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</si>
  <si>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</si>
  <si>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</si>
  <si>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</si>
  <si>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</si>
  <si>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</si>
  <si>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</si>
  <si>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</si>
  <si>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</si>
  <si>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</si>
  <si>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</si>
  <si>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</si>
  <si>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</si>
  <si>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</si>
  <si>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</si>
  <si>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</si>
  <si>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</si>
  <si>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</si>
  <si>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</si>
  <si>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</si>
  <si>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</si>
  <si>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</si>
  <si>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</si>
  <si>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</si>
  <si>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</si>
  <si>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</si>
  <si>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</si>
  <si>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</si>
  <si>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</si>
  <si>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</si>
  <si>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</si>
  <si>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</si>
  <si>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</si>
  <si>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</si>
  <si>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</si>
  <si>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</si>
  <si>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</si>
  <si>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</si>
  <si>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</si>
  <si>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</si>
  <si>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</si>
  <si>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</si>
  <si>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</si>
  <si>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</si>
  <si>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</si>
  <si>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</si>
  <si>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</si>
  <si>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</si>
  <si>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</si>
  <si>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</si>
  <si>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</si>
  <si>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</si>
  <si>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</si>
  <si>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</si>
  <si>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</si>
  <si>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</si>
  <si>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</si>
  <si>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</si>
  <si>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</si>
  <si>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</si>
  <si>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</si>
  <si>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</si>
  <si>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</si>
  <si>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</si>
  <si>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</si>
  <si>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</si>
  <si>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</si>
  <si>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</si>
  <si>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</si>
  <si>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</si>
  <si>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</si>
  <si>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</si>
  <si>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</si>
  <si>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</si>
  <si>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</si>
  <si>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</si>
  <si>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</si>
  <si>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</si>
  <si>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</si>
  <si>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</si>
  <si>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</si>
  <si>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</si>
  <si>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</si>
  <si>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</si>
  <si>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</si>
  <si>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</si>
  <si>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</si>
  <si>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</si>
  <si>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</si>
  <si>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</si>
  <si>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</si>
  <si>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</si>
  <si>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</si>
  <si>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</si>
  <si>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</si>
  <si>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</si>
  <si>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</si>
  <si>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</si>
  <si>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</si>
  <si>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</si>
  <si>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</si>
  <si>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</si>
  <si>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</si>
  <si>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</si>
  <si>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</si>
  <si>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</si>
  <si>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</si>
  <si>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</si>
  <si>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</si>
  <si>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</si>
  <si>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</si>
  <si>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</si>
  <si>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</si>
  <si>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</si>
  <si>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</si>
  <si>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</si>
  <si>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</si>
  <si>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</si>
  <si>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</si>
  <si>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</si>
  <si>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</si>
  <si>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</si>
  <si>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</si>
  <si>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</si>
  <si>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</si>
  <si>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</si>
  <si>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</si>
  <si>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</si>
  <si>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</si>
  <si>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</si>
  <si>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</si>
  <si>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</si>
  <si>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</si>
  <si>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</si>
  <si>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</si>
  <si>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</si>
  <si>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</si>
  <si>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</si>
  <si>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</si>
  <si>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</si>
  <si>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</si>
  <si>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</si>
  <si>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</si>
  <si>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</si>
  <si>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</si>
  <si>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</si>
  <si>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</si>
  <si>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</si>
  <si>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</si>
  <si>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</si>
  <si>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</si>
  <si>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</si>
  <si>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</si>
  <si>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</si>
  <si>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</si>
  <si>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</si>
  <si>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</si>
  <si>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</si>
  <si>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</si>
  <si>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</si>
  <si>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</si>
  <si>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</si>
  <si>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</si>
  <si>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</si>
  <si>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</si>
  <si>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</si>
  <si>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</si>
  <si>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</si>
  <si>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</si>
  <si>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</si>
  <si>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</si>
  <si>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</si>
  <si>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</si>
  <si>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</si>
  <si>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</si>
  <si>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</si>
  <si>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</si>
  <si>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</si>
  <si>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</si>
  <si>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</si>
  <si>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</si>
  <si>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</si>
  <si>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</si>
  <si>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</si>
  <si>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</si>
  <si>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</si>
  <si>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</si>
  <si>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</si>
  <si>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</si>
  <si>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</si>
  <si>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</si>
  <si>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</si>
  <si>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</si>
  <si>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</si>
  <si>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</si>
  <si>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</si>
  <si>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</si>
  <si>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</si>
  <si>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</si>
  <si>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</si>
  <si>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</si>
  <si>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</si>
  <si>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</si>
  <si>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</si>
  <si>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</si>
  <si>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</si>
  <si>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</si>
  <si>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</si>
  <si>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</si>
  <si>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</si>
  <si>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</si>
  <si>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</si>
  <si>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</si>
  <si>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</si>
  <si>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</si>
  <si>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</si>
  <si>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</si>
  <si>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</si>
  <si>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</si>
  <si>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</si>
  <si>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</si>
  <si>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</si>
  <si>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</si>
  <si>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</si>
  <si>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</si>
  <si>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</si>
  <si>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</si>
  <si>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</si>
  <si>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</si>
  <si>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</si>
  <si>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</si>
  <si>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</si>
  <si>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</si>
  <si>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</si>
  <si>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</si>
  <si>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</si>
  <si>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</si>
  <si>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</si>
  <si>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</si>
  <si>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</si>
  <si>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</si>
  <si>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</si>
  <si>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</si>
  <si>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</si>
  <si>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</si>
  <si>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</si>
  <si>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</si>
  <si>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</si>
  <si>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</si>
  <si>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</si>
  <si>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</si>
  <si>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</si>
  <si>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</si>
  <si>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</si>
  <si>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</si>
  <si>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</si>
  <si>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</si>
  <si>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</si>
  <si>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</si>
  <si>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</si>
  <si>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</si>
  <si>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</si>
  <si>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</si>
  <si>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</si>
  <si>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</si>
  <si>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</si>
  <si>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</si>
  <si>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</si>
  <si>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</si>
  <si>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</si>
  <si>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</si>
  <si>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</si>
  <si>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</si>
  <si>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</si>
  <si>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</si>
  <si>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</si>
  <si>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</si>
  <si>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</si>
  <si>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</si>
  <si>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</si>
  <si>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</si>
  <si>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</si>
  <si>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</si>
  <si>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</si>
  <si>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</si>
  <si>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</si>
  <si>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</si>
  <si>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</si>
  <si>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</si>
  <si>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</si>
  <si>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</si>
  <si>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</si>
  <si>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</si>
  <si>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</si>
  <si>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</si>
  <si>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</si>
  <si>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</si>
  <si>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</si>
  <si>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</si>
  <si>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</si>
  <si>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</si>
  <si>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</si>
  <si>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</si>
  <si>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</si>
  <si>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</si>
  <si>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</si>
  <si>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</si>
  <si>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</si>
  <si>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</si>
  <si>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</si>
  <si>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</si>
  <si>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</si>
  <si>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</si>
  <si>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</si>
  <si>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</si>
  <si>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</si>
  <si>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</si>
  <si>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</si>
  <si>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</si>
  <si>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</si>
  <si>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</si>
  <si>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</si>
  <si>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</si>
  <si>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</si>
  <si>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</si>
  <si>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</si>
  <si>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</si>
  <si>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</si>
  <si>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</si>
  <si>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</si>
  <si>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</si>
  <si>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</si>
  <si>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</si>
  <si>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</si>
  <si>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</si>
  <si>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</si>
  <si>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</si>
  <si>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</si>
  <si>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</si>
  <si>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</si>
  <si>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</si>
  <si>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</si>
  <si>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</si>
  <si>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</si>
  <si>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</si>
  <si>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</si>
  <si>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</si>
  <si>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</si>
  <si>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</si>
  <si>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</si>
  <si>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</si>
  <si>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</si>
  <si>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</si>
  <si>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</si>
  <si>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</si>
  <si>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</si>
  <si>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</si>
  <si>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</si>
  <si>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</si>
  <si>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</si>
  <si>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</si>
  <si>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</si>
  <si>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</si>
  <si>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</si>
  <si>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</si>
  <si>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</si>
  <si>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</si>
  <si>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</si>
  <si>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</si>
  <si>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</si>
  <si>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</si>
  <si>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</si>
  <si>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</si>
  <si>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</si>
  <si>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</si>
  <si>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</si>
  <si>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</si>
  <si>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</si>
  <si>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</si>
  <si>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</si>
  <si>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</si>
  <si>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</si>
  <si>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</si>
  <si>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</si>
  <si>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</si>
  <si>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</si>
  <si>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</si>
  <si>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</si>
  <si>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</si>
  <si>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</si>
  <si>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</si>
  <si>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</si>
  <si>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</si>
  <si>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</si>
  <si>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</si>
  <si>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</si>
  <si>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</si>
  <si>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</si>
  <si>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</si>
  <si>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</si>
  <si>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</si>
  <si>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</si>
  <si>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</si>
  <si>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</si>
  <si>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</si>
  <si>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</si>
  <si>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</si>
  <si>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</si>
  <si>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</si>
  <si>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</si>
  <si>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</si>
  <si>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</si>
  <si>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</si>
  <si>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</si>
  <si>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</si>
  <si>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</si>
  <si>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</si>
  <si>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</si>
  <si>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</si>
  <si>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</si>
  <si>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</si>
  <si>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</si>
  <si>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</si>
  <si>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</si>
  <si>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</si>
  <si>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</si>
  <si>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</si>
  <si>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</si>
  <si>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</si>
  <si>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</si>
  <si>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</si>
  <si>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</si>
  <si>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</si>
  <si>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</si>
  <si>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</si>
  <si>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</si>
  <si>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</si>
  <si>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</si>
  <si>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</si>
  <si>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</si>
  <si>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</si>
  <si>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</si>
  <si>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</si>
  <si>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</si>
  <si>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</si>
  <si>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</si>
  <si>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</si>
  <si>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</si>
  <si>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</si>
  <si>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</si>
  <si>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</si>
  <si>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</si>
  <si>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</si>
  <si>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</si>
  <si>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</si>
  <si>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</si>
  <si>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</si>
  <si>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</si>
  <si>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</si>
  <si>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</si>
  <si>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</si>
  <si>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</si>
  <si>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</si>
  <si>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</si>
  <si>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</si>
  <si>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</si>
  <si>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</si>
  <si>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</si>
  <si>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</si>
  <si>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</si>
  <si>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</si>
  <si>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</si>
  <si>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</si>
  <si>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</si>
  <si>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</si>
  <si>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</si>
  <si>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</si>
  <si>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</si>
  <si>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</si>
  <si>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</si>
  <si>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</si>
  <si>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</si>
  <si>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</si>
  <si>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</si>
  <si>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</si>
  <si>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</si>
  <si>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</si>
  <si>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</si>
  <si>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</si>
  <si>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</si>
  <si>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</si>
  <si>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</si>
  <si>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</si>
  <si>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</si>
  <si>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</si>
  <si>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</si>
  <si>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</si>
  <si>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</si>
  <si>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</si>
  <si>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</si>
  <si>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</si>
  <si>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</si>
  <si>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</si>
  <si>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</si>
  <si>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</si>
  <si>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</si>
  <si>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</si>
  <si>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</si>
  <si>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</si>
  <si>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</si>
  <si>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</si>
  <si>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</si>
  <si>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</si>
  <si>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</si>
  <si>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</si>
  <si>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</si>
  <si>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</si>
  <si>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</si>
  <si>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</si>
  <si>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</si>
  <si>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</si>
  <si>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</si>
  <si>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</si>
  <si>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</si>
  <si>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</si>
  <si>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</si>
  <si>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</si>
  <si>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</si>
  <si>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</si>
  <si>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</si>
  <si>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</si>
  <si>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</si>
  <si>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</si>
  <si>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</si>
  <si>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</si>
  <si>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</si>
  <si>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</si>
  <si>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</si>
  <si>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</si>
  <si>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</si>
  <si>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</si>
  <si>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</si>
  <si>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</si>
  <si>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</si>
  <si>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</si>
  <si>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</si>
  <si>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</si>
  <si>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</si>
  <si>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</si>
  <si>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</si>
  <si>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</si>
  <si>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</si>
  <si>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</si>
  <si>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</si>
  <si>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</si>
  <si>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</si>
  <si>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</si>
  <si>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</si>
  <si>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</si>
  <si>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</si>
  <si>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</si>
  <si>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</si>
  <si>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</si>
  <si>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</si>
  <si>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</si>
  <si>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</si>
  <si>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</si>
  <si>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</si>
  <si>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</si>
  <si>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</si>
  <si>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</si>
  <si>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</si>
  <si>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</si>
  <si>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</si>
  <si>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</si>
  <si>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</si>
  <si>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</si>
  <si>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</si>
  <si>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</si>
  <si>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</si>
  <si>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</si>
  <si>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</si>
  <si>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</si>
  <si>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</si>
  <si>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</si>
  <si>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</si>
  <si>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</si>
  <si>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</si>
  <si>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</si>
  <si>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</si>
  <si>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</si>
  <si>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</si>
  <si>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</si>
  <si>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</si>
  <si>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</si>
  <si>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</si>
  <si>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</si>
  <si>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</si>
  <si>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</si>
  <si>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</si>
  <si>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</si>
  <si>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</si>
  <si>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</si>
  <si>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</si>
  <si>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</si>
  <si>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</si>
  <si>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</si>
  <si>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</si>
  <si>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</si>
  <si>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</si>
  <si>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</si>
  <si>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</si>
  <si>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</si>
  <si>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</si>
  <si>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</si>
  <si>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</si>
  <si>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</si>
  <si>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</si>
  <si>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</si>
  <si>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</si>
  <si>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</si>
  <si>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</si>
  <si>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</si>
  <si>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</si>
  <si>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</si>
  <si>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</si>
  <si>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</si>
  <si>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</si>
  <si>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</si>
  <si>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</si>
  <si>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</si>
  <si>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</si>
  <si>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</si>
  <si>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</si>
  <si>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</si>
  <si>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</si>
  <si>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</si>
  <si>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</si>
  <si>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</si>
  <si>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</si>
  <si>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</si>
  <si>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</si>
  <si>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</si>
  <si>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</si>
  <si>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</si>
  <si>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</si>
  <si>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</si>
  <si>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</si>
  <si>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</si>
  <si>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</si>
  <si>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</si>
  <si>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</si>
  <si>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</si>
  <si>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</si>
  <si>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</si>
  <si>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</si>
  <si>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</si>
  <si>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</si>
  <si>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</si>
  <si>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</si>
  <si>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</si>
  <si>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</si>
  <si>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</si>
  <si>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</si>
  <si>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</si>
  <si>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</si>
  <si>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</si>
  <si>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</si>
  <si>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</si>
  <si>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</si>
  <si>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</si>
  <si>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</si>
  <si>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</si>
  <si>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</si>
  <si>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</si>
  <si>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</si>
  <si>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</si>
  <si>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</si>
  <si>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</si>
  <si>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</si>
  <si>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</si>
  <si>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</si>
  <si>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</si>
  <si>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</si>
  <si>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</si>
  <si>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</si>
  <si>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</si>
  <si>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</si>
  <si>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</si>
  <si>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</si>
  <si>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</si>
  <si>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</si>
  <si>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</si>
  <si>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</si>
  <si>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</si>
  <si>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</si>
  <si>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</si>
  <si>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</si>
  <si>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</si>
  <si>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</si>
  <si>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</si>
  <si>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</si>
  <si>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</si>
  <si>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</si>
  <si>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</si>
  <si>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</si>
  <si>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</si>
  <si>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</si>
  <si>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</si>
  <si>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</si>
  <si>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</si>
  <si>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</si>
  <si>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</si>
  <si>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</si>
  <si>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</si>
  <si>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</si>
  <si>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</si>
  <si>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</si>
  <si>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</si>
  <si>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</si>
  <si>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</si>
  <si>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</si>
  <si>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</si>
  <si>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</si>
  <si>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</si>
  <si>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</si>
  <si>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</si>
  <si>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</si>
  <si>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</si>
  <si>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</si>
  <si>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</si>
  <si>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</si>
  <si>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</si>
  <si>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</si>
  <si>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</si>
  <si>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</si>
  <si>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</si>
  <si>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</si>
  <si>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</si>
  <si>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</si>
  <si>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</si>
  <si>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</si>
  <si>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</si>
  <si>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</si>
  <si>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</si>
  <si>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</si>
  <si>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</si>
  <si>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</si>
  <si>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</si>
  <si>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</si>
  <si>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</si>
  <si>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</si>
  <si>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</si>
  <si>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</si>
  <si>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</si>
  <si>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</si>
  <si>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</si>
  <si>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</si>
  <si>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</si>
  <si>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</si>
  <si>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</si>
  <si>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</si>
  <si>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</si>
  <si>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</si>
  <si>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</si>
  <si>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</si>
  <si>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</si>
  <si>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</si>
  <si>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</si>
  <si>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</si>
  <si>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</si>
  <si>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</si>
  <si>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</si>
  <si>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</si>
  <si>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</si>
  <si>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</si>
  <si>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</si>
  <si>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</si>
  <si>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</si>
  <si>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</si>
  <si>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</si>
  <si>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</si>
  <si>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</si>
  <si>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</si>
  <si>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</si>
  <si>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</si>
  <si>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</si>
  <si>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</si>
  <si>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</si>
  <si>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</si>
  <si>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</si>
  <si>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</si>
  <si>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</si>
  <si>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</si>
  <si>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</si>
  <si>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</si>
  <si>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</si>
  <si>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</si>
  <si>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</si>
  <si>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</si>
  <si>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</si>
  <si>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</si>
  <si>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</si>
  <si>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</si>
  <si>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</si>
  <si>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</si>
  <si>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</si>
  <si>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</si>
  <si>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</si>
  <si>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</si>
  <si>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</si>
  <si>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</si>
  <si>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</si>
  <si>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</si>
  <si>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</si>
  <si>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</si>
  <si>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</si>
  <si>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</si>
  <si>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</si>
  <si>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</si>
  <si>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</si>
  <si>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</si>
  <si>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</si>
  <si>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</si>
  <si>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</si>
  <si>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</si>
  <si>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</si>
  <si>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</si>
  <si>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</si>
  <si>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</si>
  <si>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</si>
  <si>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</si>
  <si>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</si>
  <si>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</si>
  <si>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</si>
  <si>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</si>
  <si>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</si>
  <si>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</si>
  <si>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</si>
  <si>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</si>
  <si>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</si>
  <si>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</si>
  <si>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</si>
  <si>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</si>
  <si>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</si>
  <si>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</si>
  <si>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</si>
  <si>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</si>
  <si>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</si>
  <si>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</si>
  <si>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</si>
  <si>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</si>
  <si>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</si>
  <si>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</si>
  <si>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</si>
  <si>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</si>
  <si>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</si>
  <si>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</si>
  <si>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</si>
  <si>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</si>
  <si>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</si>
  <si>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</si>
  <si>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</si>
  <si>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</si>
  <si>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</si>
  <si>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</si>
  <si>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</si>
  <si>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</si>
  <si>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</si>
  <si>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</si>
  <si>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</si>
  <si>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</si>
  <si>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</si>
  <si>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</si>
  <si>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</si>
  <si>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</si>
  <si>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</si>
  <si>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</si>
  <si>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</si>
  <si>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</si>
  <si>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</si>
  <si>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</si>
  <si>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</si>
  <si>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</si>
  <si>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</si>
  <si>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</si>
  <si>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</si>
  <si>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</si>
  <si>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</si>
  <si>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</si>
  <si>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</si>
  <si>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</si>
  <si>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</si>
  <si>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</si>
  <si>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</si>
  <si>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</si>
  <si>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</si>
  <si>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</si>
  <si>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</si>
  <si>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</si>
  <si>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</si>
  <si>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</si>
  <si>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</si>
  <si>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</si>
  <si>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</si>
  <si>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</si>
  <si>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</si>
  <si>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</si>
  <si>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</si>
  <si>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</si>
  <si>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</si>
  <si>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</si>
  <si>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</si>
  <si>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</si>
  <si>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</si>
  <si>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</si>
  <si>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</si>
  <si>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</si>
  <si>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</si>
  <si>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</si>
  <si>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</si>
  <si>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</si>
  <si>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</si>
  <si>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</si>
  <si>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</si>
  <si>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</si>
  <si>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</si>
  <si>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</si>
  <si>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</si>
  <si>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</si>
  <si>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</si>
  <si>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</si>
  <si>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</si>
  <si>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</si>
  <si>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</si>
  <si>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</si>
  <si>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</si>
  <si>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</si>
  <si>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</si>
  <si>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</si>
  <si>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</si>
  <si>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</si>
  <si>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</si>
  <si>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</si>
  <si>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</si>
  <si>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</si>
  <si>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</si>
  <si>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</si>
  <si>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</si>
  <si>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</si>
  <si>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</si>
  <si>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</si>
  <si>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</si>
  <si>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</si>
  <si>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</si>
  <si>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</si>
  <si>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</si>
  <si>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</si>
  <si>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</si>
  <si>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</si>
  <si>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</si>
  <si>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</si>
  <si>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</si>
  <si>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</si>
  <si>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</si>
  <si>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</si>
  <si>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</si>
  <si>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</si>
  <si>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</si>
  <si>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</si>
  <si>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</si>
  <si>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</si>
  <si>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</si>
  <si>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</si>
  <si>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</si>
  <si>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</si>
  <si>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</si>
  <si>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</si>
  <si>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</si>
  <si>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</si>
  <si>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</si>
  <si>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</si>
  <si>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</si>
  <si>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</si>
  <si>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</si>
  <si>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</si>
  <si>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</si>
  <si>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</si>
  <si>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</si>
  <si>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</si>
  <si>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</si>
  <si>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</si>
  <si>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</si>
  <si>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</si>
  <si>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</si>
  <si>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</si>
  <si>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</si>
  <si>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</si>
  <si>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</si>
  <si>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</si>
  <si>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</si>
  <si>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</si>
  <si>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</si>
  <si>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</si>
  <si>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</si>
  <si>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</si>
  <si>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</si>
  <si>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</si>
  <si>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</si>
  <si>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</si>
  <si>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</si>
  <si>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</si>
  <si>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</si>
  <si>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</si>
  <si>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</si>
  <si>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</si>
  <si>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</si>
  <si>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</si>
  <si>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</si>
  <si>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</si>
  <si>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</si>
  <si>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</si>
  <si>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</si>
  <si>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</si>
  <si>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</si>
  <si>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</si>
  <si>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</si>
  <si>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</si>
  <si>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</si>
  <si>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</si>
  <si>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</si>
  <si>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</si>
  <si>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</si>
  <si>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</si>
  <si>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</si>
  <si>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</si>
  <si>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</si>
  <si>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</si>
  <si>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</si>
  <si>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</si>
  <si>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</si>
  <si>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</si>
  <si>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</si>
  <si>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</si>
  <si>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</si>
  <si>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</si>
  <si>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</si>
  <si>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</si>
  <si>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</si>
  <si>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</si>
  <si>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</si>
  <si>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</si>
  <si>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</si>
  <si>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</si>
  <si>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</si>
  <si>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</si>
  <si>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</si>
  <si>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</si>
  <si>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</si>
  <si>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</si>
  <si>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</si>
  <si>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</si>
  <si>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</si>
  <si>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</si>
  <si>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</si>
  <si>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</si>
  <si>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</si>
  <si>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</si>
  <si>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</si>
  <si>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</si>
  <si>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</si>
  <si>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</si>
  <si>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</si>
  <si>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</si>
  <si>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</si>
  <si>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</si>
  <si>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</si>
  <si>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</si>
  <si>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</si>
  <si>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</si>
  <si>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</si>
  <si>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</si>
  <si>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</si>
  <si>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</si>
  <si>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</si>
  <si>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</si>
  <si>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</si>
  <si>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</si>
  <si>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</si>
  <si>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</si>
  <si>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</si>
  <si>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</si>
  <si>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</si>
  <si>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</si>
  <si>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</si>
  <si>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</si>
  <si>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</si>
  <si>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</si>
  <si>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</si>
  <si>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</si>
  <si>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</si>
  <si>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</si>
  <si>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</si>
  <si>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</si>
  <si>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</si>
  <si>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</si>
  <si>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</si>
  <si>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</si>
  <si>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</si>
  <si>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</si>
  <si>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</si>
  <si>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</si>
  <si>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</si>
  <si>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</si>
  <si>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</si>
  <si>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</si>
  <si>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</si>
  <si>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</si>
  <si>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</si>
  <si>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</si>
  <si>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</si>
  <si>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</si>
  <si>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</si>
  <si>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</si>
  <si>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</si>
  <si>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</si>
  <si>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</si>
  <si>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</si>
  <si>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</si>
  <si>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</si>
  <si>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</si>
  <si>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</si>
  <si>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</si>
  <si>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</si>
  <si>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</si>
  <si>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</si>
  <si>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</si>
  <si>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</si>
  <si>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</si>
  <si>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</si>
  <si>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</si>
  <si>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</si>
  <si>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</si>
  <si>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</si>
  <si>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</si>
  <si>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</si>
  <si>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</si>
  <si>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</si>
  <si>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</si>
  <si>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</si>
  <si>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</si>
  <si>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</si>
  <si>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</si>
  <si>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</si>
  <si>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</si>
  <si>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</si>
  <si>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</si>
  <si>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</si>
  <si>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</si>
  <si>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</si>
  <si>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</si>
  <si>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</si>
  <si>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</si>
  <si>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</si>
  <si>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</si>
  <si>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</si>
  <si>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</si>
  <si>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</si>
  <si>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</si>
  <si>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</si>
  <si>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</si>
  <si>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</si>
  <si>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</si>
  <si>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</si>
  <si>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</si>
  <si>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</si>
  <si>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</si>
  <si>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</si>
  <si>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</si>
  <si>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</si>
  <si>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</si>
  <si>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</si>
  <si>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</si>
  <si>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</si>
  <si>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</si>
  <si>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</si>
  <si>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</si>
  <si>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</si>
  <si>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</si>
  <si>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</si>
  <si>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</si>
  <si>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</si>
  <si>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</si>
  <si>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</si>
  <si>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</si>
  <si>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</si>
  <si>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</si>
  <si>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</si>
  <si>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</si>
  <si>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</si>
  <si>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</si>
  <si>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</si>
  <si>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</si>
  <si>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</si>
  <si>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</si>
  <si>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</si>
  <si>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</si>
  <si>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</si>
  <si>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</si>
  <si>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</si>
  <si>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</si>
  <si>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</si>
  <si>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</si>
  <si>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</si>
  <si>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</si>
  <si>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</si>
  <si>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</si>
  <si>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</si>
  <si>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</si>
  <si>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</si>
  <si>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</si>
  <si>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</si>
  <si>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</si>
  <si>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</si>
  <si>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</si>
  <si>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</si>
  <si>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</si>
  <si>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</si>
  <si>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</si>
  <si>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</si>
  <si>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</si>
  <si>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</si>
  <si>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</si>
  <si>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</si>
  <si>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</si>
  <si>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</si>
  <si>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</si>
  <si>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</si>
  <si>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</si>
  <si>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</si>
  <si>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</si>
  <si>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</si>
  <si>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</si>
  <si>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</si>
  <si>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</si>
  <si>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</si>
  <si>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</si>
  <si>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</si>
  <si>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</si>
  <si>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</si>
  <si>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</si>
  <si>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</si>
  <si>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</si>
  <si>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</si>
  <si>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</si>
  <si>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</si>
  <si>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</si>
  <si>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</si>
  <si>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</si>
  <si>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</si>
  <si>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</si>
  <si>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</si>
  <si>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</si>
  <si>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</si>
  <si>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</si>
  <si>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</si>
  <si>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</si>
  <si>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</si>
  <si>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</si>
  <si>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</si>
  <si>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</si>
  <si>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</si>
  <si>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</si>
  <si>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</si>
  <si>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</si>
  <si>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</si>
  <si>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</si>
  <si>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</si>
  <si>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</si>
  <si>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</si>
  <si>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</si>
  <si>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</si>
  <si>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</si>
  <si>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</si>
  <si>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</si>
  <si>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</si>
  <si>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</si>
  <si>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</si>
  <si>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</si>
  <si>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</si>
  <si>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</si>
  <si>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</si>
  <si>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</si>
  <si>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</si>
  <si>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</si>
  <si>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</si>
  <si>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</si>
  <si>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</si>
  <si>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</si>
  <si>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</si>
  <si>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</si>
  <si>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</si>
  <si>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</si>
  <si>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</si>
  <si>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</si>
  <si>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</si>
  <si>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</si>
  <si>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</si>
  <si>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</si>
  <si>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</si>
  <si>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</si>
  <si>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</si>
  <si>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</si>
  <si>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</si>
  <si>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</si>
  <si>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</si>
  <si>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</si>
  <si>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</si>
  <si>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</si>
  <si>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</si>
  <si>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</si>
  <si>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</si>
  <si>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</si>
  <si>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</si>
  <si>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</si>
  <si>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</si>
  <si>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</si>
  <si>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</si>
  <si>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</si>
  <si>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</si>
  <si>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</si>
  <si>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</si>
  <si>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</si>
  <si>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</si>
  <si>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</si>
  <si>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</si>
  <si>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</si>
  <si>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</si>
  <si>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</si>
  <si>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</si>
  <si>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</si>
  <si>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</si>
  <si>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</si>
  <si>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</si>
  <si>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</si>
  <si>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</si>
  <si>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</si>
  <si>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</si>
  <si>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</si>
  <si>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</si>
  <si>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</si>
  <si>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</si>
  <si>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</si>
  <si>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</si>
  <si>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</si>
  <si>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</si>
  <si>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</si>
  <si>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</si>
  <si>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</si>
  <si>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</si>
  <si>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</si>
  <si>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</si>
  <si>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</si>
  <si>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</si>
  <si>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</si>
  <si>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</si>
  <si>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</si>
  <si>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</si>
  <si>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</si>
  <si>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</si>
  <si>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</si>
  <si>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</si>
  <si>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</si>
  <si>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</si>
  <si>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</si>
  <si>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</si>
  <si>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</si>
  <si>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</si>
  <si>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</si>
  <si>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</si>
  <si>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</si>
  <si>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</si>
  <si>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</si>
  <si>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</si>
  <si>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</si>
  <si>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</si>
  <si>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</si>
  <si>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</si>
  <si>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</si>
  <si>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</si>
  <si>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</si>
  <si>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</si>
  <si>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</si>
  <si>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</si>
  <si>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</si>
  <si>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</si>
  <si>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</si>
  <si>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</si>
  <si>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</si>
  <si>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</si>
  <si>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</si>
  <si>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</si>
  <si>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</si>
  <si>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</si>
  <si>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</si>
  <si>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</si>
  <si>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</si>
  <si>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</si>
  <si>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</si>
  <si>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</si>
  <si>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</si>
  <si>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</si>
  <si>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</si>
  <si>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</si>
  <si>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</si>
  <si>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</si>
  <si>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</si>
  <si>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</si>
  <si>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</si>
  <si>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</si>
  <si>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</si>
  <si>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</si>
  <si>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</si>
  <si>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</si>
  <si>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</si>
  <si>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</si>
  <si>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</si>
  <si>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</si>
  <si>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</si>
  <si>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</si>
  <si>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</si>
  <si>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</si>
  <si>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</si>
  <si>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</si>
  <si>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</si>
  <si>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</si>
  <si>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</si>
  <si>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</si>
  <si>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</si>
  <si>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</si>
  <si>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</si>
  <si>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</si>
  <si>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</si>
  <si>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</si>
  <si>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</si>
  <si>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</si>
  <si>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</si>
  <si>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</si>
  <si>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</si>
  <si>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</si>
  <si>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</si>
  <si>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</si>
  <si>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</si>
  <si>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</si>
  <si>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</si>
  <si>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</si>
  <si>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</si>
  <si>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</si>
  <si>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</si>
  <si>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</si>
  <si>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</si>
  <si>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</si>
  <si>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</si>
  <si>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</si>
  <si>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</si>
  <si>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</si>
  <si>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</si>
  <si>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</si>
  <si>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</si>
  <si>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</si>
  <si>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</si>
  <si>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</si>
  <si>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</si>
  <si>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</si>
  <si>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</si>
  <si>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</si>
  <si>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</si>
  <si>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</si>
  <si>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</si>
  <si>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</si>
  <si>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</si>
  <si>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</si>
  <si>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</si>
  <si>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</si>
  <si>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</si>
  <si>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</si>
  <si>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</si>
  <si>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</si>
  <si>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</si>
  <si>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</si>
  <si>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</si>
  <si>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</si>
  <si>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</si>
  <si>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</si>
  <si>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</si>
  <si>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</si>
  <si>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</si>
  <si>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</si>
  <si>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</si>
  <si>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</si>
  <si>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</si>
  <si>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</si>
  <si>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</si>
  <si>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</si>
  <si>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</si>
  <si>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</si>
  <si>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</si>
  <si>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</si>
  <si>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</si>
  <si>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</si>
  <si>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</si>
  <si>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</si>
  <si>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</si>
  <si>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</si>
  <si>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</si>
  <si>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</si>
  <si>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</si>
  <si>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</si>
  <si>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</si>
  <si>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</si>
  <si>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</si>
  <si>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</si>
  <si>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</si>
  <si>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</si>
  <si>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</si>
  <si>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</si>
  <si>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</si>
  <si>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</si>
  <si>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</si>
  <si>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</si>
  <si>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</si>
  <si>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</si>
  <si>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</si>
  <si>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</si>
  <si>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</si>
  <si>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</si>
  <si>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</si>
  <si>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</si>
  <si>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</si>
  <si>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</si>
  <si>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</si>
  <si>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</si>
  <si>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</si>
  <si>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</si>
  <si>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</si>
  <si>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</si>
  <si>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</si>
  <si>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</si>
  <si>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</si>
  <si>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</si>
  <si>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</si>
  <si>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</si>
  <si>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</si>
  <si>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</si>
  <si>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</si>
  <si>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</si>
  <si>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</si>
  <si>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</si>
  <si>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</si>
  <si>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</si>
  <si>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</si>
  <si>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</si>
  <si>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</si>
  <si>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</si>
  <si>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</si>
  <si>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</si>
  <si>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</si>
  <si>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</si>
  <si>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</si>
  <si>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</si>
  <si>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</si>
  <si>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</si>
  <si>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</si>
  <si>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</si>
  <si>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</si>
  <si>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</si>
  <si>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</si>
  <si>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</si>
  <si>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</si>
  <si>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</si>
  <si>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</si>
  <si>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</si>
  <si>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</si>
  <si>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</si>
  <si>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</si>
  <si>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</si>
  <si>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</si>
  <si>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</si>
  <si>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</si>
  <si>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</si>
  <si>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</si>
  <si>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</si>
  <si>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</si>
  <si>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</si>
  <si>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</si>
  <si>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</si>
  <si>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</si>
  <si>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</si>
  <si>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</si>
  <si>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</si>
  <si>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</si>
  <si>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</si>
  <si>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</si>
  <si>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</si>
  <si>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</si>
  <si>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</si>
  <si>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</si>
  <si>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</si>
  <si>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</si>
  <si>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</si>
  <si>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</si>
  <si>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</si>
  <si>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</si>
  <si>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</si>
  <si>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</si>
  <si>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</si>
  <si>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</si>
  <si>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</si>
  <si>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</si>
  <si>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</si>
  <si>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</si>
  <si>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</si>
  <si>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</si>
  <si>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</si>
  <si>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</si>
  <si>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</si>
  <si>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</si>
  <si>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</si>
  <si>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</si>
  <si>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</si>
  <si>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</si>
  <si>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</si>
  <si>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</si>
  <si>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</si>
  <si>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</si>
  <si>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</si>
  <si>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</si>
  <si>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</si>
  <si>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</si>
  <si>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</si>
  <si>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</si>
  <si>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</si>
  <si>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</si>
  <si>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</si>
  <si>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</si>
  <si>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</si>
  <si>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</si>
  <si>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</si>
  <si>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</si>
  <si>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</si>
  <si>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</si>
  <si>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</si>
  <si>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</si>
  <si>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</si>
  <si>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</si>
  <si>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</si>
  <si>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</si>
  <si>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</si>
  <si>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</si>
  <si>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</si>
  <si>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</si>
  <si>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</si>
  <si>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</si>
  <si>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</si>
  <si>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</si>
  <si>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</si>
  <si>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</si>
  <si>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</si>
  <si>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</si>
  <si>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</si>
  <si>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</si>
  <si>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</si>
  <si>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</si>
  <si>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</si>
  <si>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</si>
  <si>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</si>
  <si>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</si>
  <si>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</si>
  <si>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</si>
  <si>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</si>
  <si>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</si>
  <si>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</si>
  <si>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</si>
  <si>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</si>
  <si>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</si>
  <si>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</si>
  <si>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</si>
  <si>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</si>
  <si>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</si>
  <si>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</si>
  <si>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</si>
  <si>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</si>
  <si>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</si>
  <si>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</si>
  <si>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</si>
  <si>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</si>
  <si>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</si>
  <si>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</si>
  <si>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</si>
  <si>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</si>
  <si>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</si>
  <si>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</si>
  <si>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</si>
  <si>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</si>
  <si>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</si>
  <si>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</si>
  <si>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</si>
  <si>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</si>
  <si>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</si>
  <si>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</si>
  <si>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</si>
  <si>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</si>
  <si>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</si>
  <si>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</si>
  <si>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</si>
  <si>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</si>
  <si>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</si>
  <si>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</si>
  <si>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</si>
  <si>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</si>
  <si>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</si>
  <si>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</si>
  <si>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</si>
  <si>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</si>
  <si>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</si>
  <si>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</si>
  <si>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</si>
  <si>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</si>
  <si>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</si>
  <si>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</si>
  <si>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</si>
  <si>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</si>
  <si>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</si>
  <si>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</si>
  <si>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</si>
  <si>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</si>
  <si>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</si>
  <si>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</si>
  <si>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</si>
  <si>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</si>
  <si>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</si>
  <si>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</si>
  <si>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</si>
  <si>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</si>
  <si>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</si>
  <si>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</si>
  <si>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</si>
  <si>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</si>
  <si>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</si>
  <si>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</si>
  <si>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</si>
  <si>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</si>
  <si>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</si>
  <si>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</si>
  <si>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</si>
  <si>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</si>
  <si>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</si>
  <si>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</si>
  <si>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</si>
  <si>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</si>
  <si>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</si>
  <si>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</si>
  <si>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</si>
  <si>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</si>
  <si>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</si>
  <si>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</si>
  <si>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</si>
  <si>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</si>
  <si>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</si>
  <si>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</si>
  <si>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</si>
  <si>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</si>
  <si>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</si>
  <si>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</si>
  <si>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</si>
  <si>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</si>
  <si>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</si>
  <si>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</si>
  <si>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</si>
  <si>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</si>
  <si>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</si>
  <si>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</si>
  <si>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</si>
  <si>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</si>
  <si>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</si>
  <si>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</si>
  <si>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</si>
  <si>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</si>
  <si>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</si>
  <si>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</si>
  <si>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</si>
  <si>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</si>
  <si>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</si>
  <si>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</si>
  <si>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</si>
  <si>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</si>
  <si>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</si>
  <si>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</si>
  <si>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</si>
  <si>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</si>
  <si>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</si>
  <si>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</si>
  <si>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</si>
  <si>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</si>
  <si>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</si>
  <si>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</si>
  <si>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</si>
  <si>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</si>
  <si>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</si>
  <si>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</si>
  <si>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</si>
  <si>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</si>
  <si>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</si>
  <si>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</si>
  <si>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</si>
  <si>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</si>
  <si>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</si>
  <si>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</si>
  <si>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</si>
  <si>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</si>
  <si>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</si>
  <si>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</si>
  <si>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</si>
  <si>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</si>
  <si>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</si>
  <si>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</si>
  <si>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</si>
  <si>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</si>
  <si>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</si>
  <si>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</si>
  <si>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</si>
  <si>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</si>
  <si>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</si>
  <si>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</si>
  <si>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</si>
  <si>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</si>
  <si>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</si>
  <si>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</si>
  <si>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</si>
  <si>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</si>
  <si>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</si>
  <si>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</si>
  <si>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</si>
  <si>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</si>
  <si>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</si>
  <si>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</si>
  <si>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</si>
  <si>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</si>
  <si>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</si>
  <si>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</si>
  <si>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</si>
  <si>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</si>
  <si>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</si>
  <si>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</si>
  <si>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</si>
  <si>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</si>
  <si>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</si>
  <si>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</si>
  <si>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</si>
  <si>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</si>
  <si>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</si>
  <si>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</si>
  <si>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</si>
  <si>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</si>
  <si>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</si>
  <si>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</si>
  <si>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</si>
  <si>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</si>
  <si>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</si>
  <si>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</si>
  <si>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</si>
  <si>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</si>
  <si>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</si>
  <si>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</si>
  <si>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</si>
  <si>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</si>
  <si>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</si>
  <si>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</si>
  <si>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</si>
  <si>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</si>
  <si>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</si>
  <si>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</si>
  <si>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</si>
  <si>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</si>
  <si>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</si>
  <si>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</si>
  <si>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</si>
  <si>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</si>
  <si>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</si>
  <si>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</si>
  <si>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</si>
  <si>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</si>
  <si>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</si>
  <si>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</si>
  <si>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</si>
  <si>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</si>
  <si>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</si>
  <si>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</si>
  <si>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</si>
  <si>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</si>
  <si>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</si>
  <si>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</si>
  <si>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</si>
  <si>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</si>
  <si>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</si>
  <si>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</si>
  <si>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</si>
  <si>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</si>
  <si>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</si>
  <si>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</si>
  <si>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</si>
  <si>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</si>
  <si>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</si>
  <si>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</si>
  <si>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</si>
  <si>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</si>
  <si>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</si>
  <si>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</si>
  <si>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</si>
  <si>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</si>
  <si>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</si>
  <si>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</si>
  <si>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</si>
  <si>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</si>
  <si>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</si>
  <si>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</si>
  <si>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</si>
  <si>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</si>
  <si>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</si>
  <si>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</si>
  <si>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</si>
  <si>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</si>
  <si>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</si>
  <si>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</si>
  <si>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</si>
  <si>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</si>
  <si>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</si>
  <si>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</si>
  <si>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</si>
  <si>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</si>
  <si>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</si>
  <si>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</si>
  <si>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</si>
  <si>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</si>
  <si>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</si>
  <si>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</si>
  <si>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</si>
  <si>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</si>
  <si>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</si>
  <si>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</si>
  <si>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</si>
  <si>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</si>
  <si>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</si>
  <si>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</si>
  <si>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</si>
  <si>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</si>
  <si>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</si>
  <si>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</si>
  <si>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</si>
  <si>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</si>
  <si>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</si>
  <si>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</si>
  <si>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</si>
  <si>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</si>
  <si>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</si>
  <si>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</si>
  <si>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</si>
  <si>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</si>
  <si>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</si>
  <si>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</si>
  <si>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</si>
  <si>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</si>
  <si>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</si>
  <si>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</si>
  <si>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</si>
  <si>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</si>
  <si>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</si>
  <si>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</si>
  <si>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</si>
  <si>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</si>
  <si>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</si>
  <si>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</si>
  <si>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</si>
  <si>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</si>
  <si>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</si>
  <si>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</si>
  <si>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</si>
  <si>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</si>
  <si>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</si>
  <si>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</si>
  <si>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</si>
  <si>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</si>
  <si>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</si>
  <si>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</si>
  <si>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</si>
  <si>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</si>
  <si>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</si>
  <si>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</si>
  <si>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</si>
  <si>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</si>
  <si>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</si>
  <si>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</si>
  <si>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</si>
  <si>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</si>
  <si>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</si>
  <si>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</si>
  <si>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</si>
  <si>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</si>
  <si>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</si>
  <si>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</si>
  <si>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</si>
  <si>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</si>
  <si>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</si>
  <si>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</si>
  <si>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</si>
  <si>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</si>
  <si>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</si>
  <si>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</si>
  <si>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</si>
  <si>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</si>
  <si>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</si>
  <si>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</si>
  <si>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</si>
  <si>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</si>
  <si>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</si>
  <si>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</si>
  <si>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</si>
  <si>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</si>
  <si>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</si>
  <si>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</si>
  <si>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</si>
  <si>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</si>
  <si>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</si>
  <si>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</si>
  <si>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</si>
  <si>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</si>
  <si>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</si>
  <si>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</si>
  <si>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</si>
  <si>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</si>
  <si>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</si>
  <si>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</si>
  <si>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</si>
  <si>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</si>
  <si>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</si>
  <si>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</si>
  <si>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</si>
  <si>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</si>
  <si>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</si>
  <si>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</si>
  <si>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</si>
  <si>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</si>
  <si>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</si>
  <si>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</si>
  <si>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</si>
  <si>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</si>
  <si>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</si>
  <si>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</si>
  <si>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</si>
  <si>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</si>
  <si>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</si>
  <si>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</si>
  <si>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</si>
  <si>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</si>
  <si>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</si>
  <si>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</si>
  <si>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</si>
  <si>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</si>
  <si>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</si>
  <si>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</si>
  <si>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</si>
  <si>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</si>
  <si>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</si>
  <si>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</si>
  <si>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</si>
  <si>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</si>
  <si>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</si>
  <si>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</si>
  <si>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</si>
  <si>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</si>
  <si>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</si>
  <si>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</si>
  <si>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</si>
  <si>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</si>
  <si>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</si>
  <si>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</si>
  <si>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</si>
  <si>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</si>
  <si>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</si>
  <si>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</si>
  <si>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</si>
  <si>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</si>
  <si>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</si>
  <si>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</si>
  <si>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</si>
  <si>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</si>
  <si>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</si>
  <si>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</si>
  <si>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</si>
  <si>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</si>
  <si>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</si>
  <si>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</si>
  <si>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</si>
  <si>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</si>
  <si>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</si>
  <si>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</si>
  <si>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</si>
  <si>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</si>
  <si>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</si>
  <si>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</si>
  <si>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</si>
  <si>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</si>
  <si>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</si>
  <si>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</si>
  <si>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</si>
  <si>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</si>
  <si>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</si>
  <si>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</si>
  <si>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</si>
  <si>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</si>
  <si>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</si>
  <si>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</si>
  <si>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</si>
  <si>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</si>
  <si>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</si>
  <si>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</si>
  <si>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</si>
  <si>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</si>
  <si>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</si>
  <si>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</si>
  <si>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</si>
  <si>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</si>
  <si>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</si>
  <si>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</si>
  <si>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</si>
  <si>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</si>
  <si>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</si>
  <si>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</si>
  <si>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</si>
  <si>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</si>
  <si>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</si>
  <si>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</si>
  <si>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</si>
  <si>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</si>
  <si>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</si>
  <si>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</si>
  <si>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</si>
  <si>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</si>
  <si>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</si>
  <si>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</si>
  <si>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</si>
  <si>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</si>
  <si>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</si>
  <si>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</si>
  <si>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</si>
  <si>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</si>
  <si>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</si>
  <si>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</si>
  <si>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</si>
  <si>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</si>
  <si>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</si>
  <si>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</si>
  <si>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</si>
  <si>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</si>
  <si>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</si>
  <si>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</si>
  <si>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</si>
  <si>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</si>
  <si>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</si>
  <si>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</si>
  <si>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</si>
  <si>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</si>
  <si>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</si>
  <si>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</si>
  <si>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</si>
  <si>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</si>
  <si>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</si>
  <si>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</si>
  <si>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</si>
  <si>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</si>
  <si>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</si>
  <si>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</si>
  <si>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</si>
  <si>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</si>
  <si>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</si>
  <si>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</si>
  <si>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</si>
  <si>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</si>
  <si>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</si>
  <si>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</si>
  <si>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</si>
  <si>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</si>
  <si>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</si>
  <si>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</si>
  <si>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</si>
  <si>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</si>
  <si>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</si>
  <si>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</si>
  <si>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</si>
  <si>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</si>
  <si>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</si>
  <si>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</si>
  <si>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</si>
  <si>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</si>
  <si>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</si>
  <si>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</si>
  <si>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</si>
  <si>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</si>
  <si>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</si>
  <si>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</si>
  <si>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</si>
  <si>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</si>
  <si>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</si>
  <si>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</si>
  <si>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</si>
  <si>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</si>
  <si>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</si>
  <si>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</si>
  <si>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</si>
  <si>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</si>
  <si>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</si>
  <si>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</si>
  <si>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</si>
  <si>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</si>
  <si>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</si>
  <si>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</si>
  <si>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</si>
  <si>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</si>
  <si>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</si>
  <si>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</si>
  <si>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</si>
  <si>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</si>
  <si>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</si>
  <si>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</si>
  <si>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</si>
  <si>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</si>
  <si>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</si>
  <si>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</si>
  <si>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</si>
  <si>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</si>
  <si>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</si>
  <si>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</si>
  <si>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</si>
  <si>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</si>
  <si>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</si>
  <si>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</si>
  <si>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</si>
  <si>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</si>
  <si>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</si>
  <si>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</si>
  <si>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</si>
  <si>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</si>
  <si>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</si>
  <si>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</si>
  <si>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</si>
  <si>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</si>
  <si>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</si>
  <si>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</si>
  <si>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</si>
  <si>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</si>
  <si>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</si>
  <si>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</si>
  <si>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</si>
  <si>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</si>
  <si>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</si>
  <si>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</si>
  <si>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</si>
  <si>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</si>
  <si>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</si>
  <si>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</si>
  <si>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</si>
  <si>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</si>
  <si>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</si>
  <si>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</si>
  <si>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</si>
  <si>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</si>
  <si>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</si>
  <si>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</si>
  <si>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</si>
  <si>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</si>
  <si>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</si>
  <si>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</si>
  <si>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</si>
  <si>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</si>
  <si>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</si>
  <si>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</si>
  <si>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</si>
  <si>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</si>
  <si>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</si>
  <si>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</si>
  <si>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</si>
  <si>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</si>
  <si>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</si>
  <si>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</si>
  <si>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</si>
  <si>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</si>
  <si>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</si>
  <si>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</si>
  <si>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</si>
  <si>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</si>
  <si>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</si>
  <si>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</si>
  <si>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</si>
  <si>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</si>
  <si>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</si>
  <si>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</si>
  <si>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</si>
  <si>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</si>
  <si>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</si>
  <si>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</si>
  <si>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</si>
  <si>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</si>
  <si>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</si>
  <si>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</si>
  <si>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</si>
  <si>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</si>
  <si>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</si>
  <si>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</si>
  <si>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</si>
  <si>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</si>
  <si>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</si>
  <si>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</si>
  <si>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</si>
  <si>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</si>
  <si>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</si>
  <si>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</si>
  <si>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</si>
  <si>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</si>
  <si>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</si>
  <si>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</si>
  <si>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</si>
  <si>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</si>
  <si>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</si>
  <si>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</si>
  <si>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</si>
  <si>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</si>
  <si>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</si>
  <si>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</si>
  <si>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</si>
  <si>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</si>
  <si>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</si>
  <si>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</si>
  <si>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</si>
  <si>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</si>
  <si>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</si>
  <si>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</si>
  <si>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</si>
  <si>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</si>
  <si>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</si>
  <si>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</si>
  <si>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</si>
  <si>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</si>
  <si>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</si>
  <si>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</si>
  <si>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</si>
  <si>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</si>
  <si>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</si>
  <si>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</si>
  <si>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</si>
  <si>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</si>
  <si>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</si>
  <si>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</si>
  <si>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</si>
  <si>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</si>
  <si>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</si>
  <si>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</si>
  <si>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</si>
  <si>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</si>
  <si>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</si>
  <si>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</si>
  <si>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</si>
  <si>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</si>
  <si>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</si>
  <si>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</si>
  <si>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</si>
  <si>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</si>
  <si>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</si>
  <si>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</si>
  <si>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</si>
  <si>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</si>
  <si>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</si>
  <si>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</si>
  <si>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</si>
  <si>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</si>
  <si>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</si>
  <si>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</si>
  <si>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</si>
  <si>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</si>
  <si>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</si>
  <si>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</si>
  <si>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</si>
  <si>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</si>
  <si>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</si>
  <si>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</si>
  <si>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</si>
  <si>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</si>
  <si>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</si>
  <si>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</si>
  <si>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</si>
  <si>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</si>
  <si>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</si>
  <si>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</si>
  <si>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</si>
  <si>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</si>
  <si>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</si>
  <si>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</si>
  <si>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</si>
  <si>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</si>
  <si>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</si>
  <si>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</si>
  <si>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</si>
  <si>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</si>
  <si>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</si>
  <si>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</si>
  <si>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</si>
  <si>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</si>
  <si>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</si>
  <si>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</si>
  <si>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</si>
  <si>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</si>
  <si>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</si>
  <si>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</si>
  <si>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</si>
  <si>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</si>
  <si>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</si>
  <si>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</si>
  <si>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</si>
  <si>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</si>
  <si>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</si>
  <si>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</si>
  <si>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</si>
  <si>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</si>
  <si>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</si>
  <si>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</si>
  <si>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</si>
  <si>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</si>
  <si>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</si>
  <si>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</si>
  <si>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</si>
  <si>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</si>
  <si>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</si>
  <si>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</si>
  <si>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</si>
  <si>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</si>
  <si>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</si>
  <si>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</si>
  <si>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</si>
  <si>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</si>
  <si>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</si>
  <si>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</si>
  <si>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</si>
  <si>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</si>
  <si>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</si>
  <si>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</si>
  <si>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</si>
  <si>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</si>
  <si>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</si>
  <si>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</si>
  <si>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</si>
  <si>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</si>
  <si>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</si>
  <si>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</si>
  <si>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</si>
  <si>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</si>
  <si>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</si>
  <si>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</si>
  <si>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</si>
  <si>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</si>
  <si>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</si>
  <si>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</si>
  <si>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</si>
  <si>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</si>
  <si>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</si>
  <si>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</si>
  <si>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</si>
  <si>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</si>
  <si>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</si>
  <si>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</si>
  <si>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</si>
  <si>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</si>
  <si>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</si>
  <si>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</si>
  <si>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</si>
  <si>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</si>
  <si>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</si>
  <si>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</si>
  <si>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</si>
  <si>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</si>
  <si>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</si>
  <si>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</si>
  <si>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</si>
  <si>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</si>
  <si>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</si>
  <si>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</si>
  <si>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</si>
  <si>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</si>
  <si>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</si>
  <si>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</si>
  <si>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</si>
  <si>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</si>
  <si>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</si>
  <si>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</si>
  <si>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</si>
  <si>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</si>
  <si>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</si>
  <si>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</si>
  <si>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</si>
  <si>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</si>
  <si>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</si>
  <si>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</si>
  <si>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</si>
  <si>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</si>
  <si>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</si>
  <si>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</si>
  <si>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</si>
  <si>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</si>
  <si>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</si>
  <si>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</si>
  <si>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</si>
  <si>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</si>
  <si>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</si>
  <si>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</si>
  <si>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</si>
  <si>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</si>
  <si>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</si>
  <si>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</si>
  <si>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</si>
  <si>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</si>
  <si>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</si>
  <si>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</si>
  <si>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</si>
  <si>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</si>
  <si>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</si>
  <si>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</si>
  <si>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</si>
  <si>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</si>
  <si>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</si>
  <si>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</si>
  <si>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</si>
  <si>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</si>
  <si>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</si>
  <si>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</si>
  <si>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</si>
  <si>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</si>
  <si>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</si>
  <si>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</si>
  <si>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</si>
  <si>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</si>
  <si>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</si>
  <si>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</si>
  <si>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</si>
  <si>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</si>
  <si>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</si>
  <si>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</si>
  <si>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</si>
  <si>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</si>
  <si>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</si>
  <si>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</si>
  <si>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</si>
  <si>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</si>
  <si>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</si>
  <si>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</si>
  <si>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</si>
  <si>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</si>
  <si>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</si>
  <si>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</si>
  <si>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</si>
  <si>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</si>
  <si>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</si>
  <si>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</si>
  <si>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</si>
  <si>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</si>
  <si>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</si>
  <si>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</si>
  <si>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</si>
  <si>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</si>
  <si>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</si>
  <si>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</si>
  <si>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</si>
  <si>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</si>
  <si>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</si>
  <si>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</si>
  <si>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</si>
  <si>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</si>
  <si>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</si>
  <si>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</si>
  <si>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</si>
  <si>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</si>
  <si>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</si>
  <si>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</si>
  <si>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</si>
  <si>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</si>
  <si>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</si>
  <si>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</si>
  <si>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</si>
  <si>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</si>
  <si>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</si>
  <si>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</si>
  <si>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</si>
  <si>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</si>
  <si>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</si>
  <si>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</si>
  <si>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</si>
  <si>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</si>
  <si>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</si>
  <si>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</si>
  <si>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</si>
  <si>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</si>
  <si>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</si>
  <si>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</si>
  <si>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</si>
  <si>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</si>
  <si>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</si>
  <si>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</si>
  <si>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</si>
  <si>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</si>
  <si>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</si>
  <si>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</si>
  <si>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</si>
  <si>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</si>
  <si>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</si>
  <si>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</si>
  <si>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</si>
  <si>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</si>
  <si>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</si>
  <si>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</si>
  <si>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</si>
  <si>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</si>
  <si>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</si>
  <si>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</si>
  <si>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</si>
  <si>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</si>
  <si>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</si>
  <si>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</si>
  <si>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</si>
  <si>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</si>
  <si>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</si>
  <si>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</si>
  <si>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</si>
  <si>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</si>
  <si>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</si>
  <si>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</si>
  <si>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</si>
  <si>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</si>
  <si>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</si>
  <si>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</si>
  <si>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</si>
  <si>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</si>
  <si>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</si>
  <si>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</si>
  <si>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</si>
  <si>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</si>
  <si>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</si>
  <si>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</si>
  <si>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</si>
  <si>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</si>
  <si>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</si>
  <si>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</si>
  <si>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</si>
  <si>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</si>
  <si>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</si>
  <si>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</si>
  <si>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</si>
  <si>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</si>
  <si>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</si>
  <si>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</si>
  <si>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</si>
  <si>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</si>
  <si>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</si>
  <si>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</si>
  <si>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</si>
  <si>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</si>
  <si>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</si>
  <si>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</si>
  <si>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</si>
  <si>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</si>
  <si>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</si>
  <si>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</si>
  <si>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</si>
  <si>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</si>
  <si>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</si>
  <si>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</si>
  <si>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</si>
  <si>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</si>
  <si>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</si>
  <si>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</si>
  <si>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</si>
  <si>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</si>
  <si>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</si>
  <si>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</si>
  <si>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</si>
  <si>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</si>
  <si>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</si>
  <si>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</si>
  <si>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</si>
  <si>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</si>
  <si>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</si>
  <si>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</si>
  <si>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</si>
  <si>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</si>
  <si>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</si>
  <si>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</si>
  <si>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</si>
  <si>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</si>
  <si>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</si>
  <si>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</si>
  <si>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</si>
  <si>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</si>
  <si>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</si>
  <si>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</si>
  <si>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</si>
  <si>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</si>
  <si>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</si>
  <si>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</si>
  <si>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</si>
  <si>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</si>
  <si>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</si>
  <si>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</si>
  <si>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</si>
  <si>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</si>
  <si>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</si>
  <si>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</si>
  <si>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</si>
  <si>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</si>
  <si>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</si>
  <si>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</si>
  <si>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</si>
  <si>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</si>
  <si>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</si>
  <si>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</si>
  <si>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</si>
  <si>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</si>
  <si>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</si>
  <si>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</si>
  <si>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</si>
  <si>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</si>
  <si>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</si>
  <si>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</si>
  <si>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</si>
  <si>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</si>
  <si>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</si>
  <si>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</si>
  <si>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</si>
  <si>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</si>
  <si>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</si>
  <si>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</si>
  <si>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</si>
  <si>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</si>
  <si>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</si>
  <si>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</si>
  <si>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</si>
  <si>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</si>
  <si>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</si>
  <si>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</si>
  <si>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</si>
  <si>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</si>
  <si>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</si>
  <si>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</si>
  <si>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</si>
  <si>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</si>
  <si>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</si>
  <si>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</si>
  <si>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</si>
  <si>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</si>
  <si>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</si>
  <si>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</si>
  <si>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</si>
  <si>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</si>
  <si>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</si>
  <si>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</si>
  <si>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</si>
  <si>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</si>
  <si>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</si>
  <si>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</si>
  <si>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</si>
  <si>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</si>
  <si>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</si>
  <si>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</si>
  <si>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</si>
  <si>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</si>
  <si>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</si>
  <si>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</si>
  <si>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</si>
  <si>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</si>
  <si>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</si>
  <si>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</si>
  <si>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</si>
  <si>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</si>
  <si>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</si>
  <si>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</si>
  <si>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</si>
  <si>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</si>
  <si>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</si>
  <si>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</si>
  <si>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</si>
  <si>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</si>
  <si>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</si>
  <si>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</si>
  <si>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</si>
  <si>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</si>
  <si>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</si>
  <si>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</si>
  <si>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</si>
  <si>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</si>
  <si>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</si>
  <si>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</si>
  <si>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</si>
  <si>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</si>
  <si>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</si>
  <si>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</si>
  <si>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</si>
  <si>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</si>
  <si>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</si>
  <si>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</si>
  <si>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</si>
  <si>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</si>
  <si>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</si>
  <si>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</si>
  <si>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</si>
  <si>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</si>
  <si>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</si>
  <si>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</si>
  <si>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</si>
  <si>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</si>
  <si>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</si>
  <si>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</si>
  <si>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</si>
  <si>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</si>
  <si>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</si>
  <si>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</si>
  <si>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</si>
  <si>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</si>
  <si>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</si>
  <si>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</si>
  <si>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</si>
  <si>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</si>
  <si>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</si>
  <si>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</si>
  <si>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</si>
  <si>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</si>
  <si>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</si>
  <si>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</si>
  <si>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</si>
  <si>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</si>
  <si>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</si>
  <si>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</si>
  <si>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</si>
  <si>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</si>
  <si>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</si>
  <si>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</si>
  <si>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</si>
  <si>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</si>
  <si>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</si>
  <si>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</si>
  <si>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</si>
  <si>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</si>
  <si>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</si>
  <si>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</si>
  <si>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</si>
  <si>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</si>
  <si>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</si>
  <si>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</si>
  <si>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</si>
  <si>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</si>
  <si>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</si>
  <si>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</si>
  <si>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</si>
  <si>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</si>
  <si>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</si>
  <si>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</si>
  <si>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</si>
  <si>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</si>
  <si>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</si>
  <si>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</si>
  <si>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</si>
  <si>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</si>
  <si>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</si>
  <si>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</si>
  <si>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</si>
  <si>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</si>
  <si>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</si>
  <si>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</si>
  <si>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</si>
  <si>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</si>
  <si>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</si>
  <si>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</si>
  <si>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</si>
  <si>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</si>
  <si>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</si>
  <si>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</si>
  <si>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</si>
  <si>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</si>
  <si>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</si>
  <si>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</si>
  <si>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</si>
  <si>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</si>
  <si>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</si>
  <si>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</si>
  <si>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</si>
  <si>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</si>
  <si>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</si>
  <si>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</si>
  <si>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</si>
  <si>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</si>
  <si>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</si>
  <si>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</si>
  <si>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</si>
  <si>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</si>
  <si>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</si>
  <si>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</si>
  <si>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</si>
  <si>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</si>
  <si>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</si>
  <si>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</si>
  <si>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</si>
  <si>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</si>
  <si>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</si>
  <si>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</si>
  <si>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</si>
  <si>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</si>
  <si>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</si>
  <si>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</si>
  <si>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</si>
  <si>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</si>
  <si>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</si>
  <si>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</si>
  <si>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</si>
  <si>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</si>
  <si>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</si>
  <si>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</si>
  <si>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</si>
  <si>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</si>
  <si>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</si>
  <si>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</si>
  <si>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</si>
  <si>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</si>
  <si>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</si>
  <si>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</si>
  <si>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</si>
  <si>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</si>
  <si>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</si>
  <si>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</si>
  <si>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</si>
  <si>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</si>
  <si>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</si>
  <si>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</si>
  <si>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</si>
  <si>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</si>
  <si>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</si>
  <si>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</si>
  <si>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</si>
  <si>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</si>
  <si>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</si>
  <si>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</si>
  <si>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</si>
  <si>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</si>
  <si>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</si>
  <si>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</si>
  <si>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</si>
  <si>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</si>
  <si>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</si>
  <si>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</si>
  <si>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</si>
  <si>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</si>
  <si>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</si>
  <si>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</si>
  <si>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</si>
  <si>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</si>
  <si>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</si>
  <si>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</si>
  <si>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</si>
  <si>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</si>
  <si>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</si>
  <si>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</si>
  <si>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</si>
  <si>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</si>
  <si>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</si>
  <si>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</si>
  <si>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</si>
  <si>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</si>
  <si>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</si>
  <si>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</si>
  <si>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</si>
  <si>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</si>
  <si>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</si>
  <si>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</si>
  <si>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</si>
  <si>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</si>
  <si>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</si>
  <si>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</si>
  <si>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</si>
  <si>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</si>
  <si>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</si>
  <si>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</si>
  <si>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</si>
  <si>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</si>
  <si>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</si>
  <si>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</si>
  <si>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</si>
  <si>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</si>
  <si>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</si>
  <si>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</si>
  <si>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</si>
  <si>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</si>
  <si>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</si>
  <si>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</si>
  <si>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</si>
  <si>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</si>
  <si>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</si>
  <si>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</si>
  <si>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</si>
  <si>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</si>
  <si>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</si>
  <si>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</si>
  <si>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</si>
  <si>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房地产抵押价值</t>
  </si>
  <si>
    <t>北京市</t>
  </si>
  <si>
    <t>企业</t>
  </si>
  <si>
    <t>是</t>
  </si>
  <si>
    <t>地上</t>
  </si>
  <si>
    <t>地下</t>
  </si>
  <si>
    <t>地上</t>
    <phoneticPr fontId="134" type="noConversion"/>
  </si>
  <si>
    <t>面积</t>
    <phoneticPr fontId="134" type="noConversion"/>
  </si>
  <si>
    <t>租金</t>
    <phoneticPr fontId="134" type="noConversion"/>
  </si>
  <si>
    <t>和睦家</t>
    <phoneticPr fontId="134" type="noConversion"/>
  </si>
  <si>
    <t>楼层</t>
    <phoneticPr fontId="134" type="noConversion"/>
  </si>
  <si>
    <t>建筑面积</t>
    <phoneticPr fontId="134" type="noConversion"/>
  </si>
  <si>
    <t>昆仑万维</t>
    <phoneticPr fontId="134" type="noConversion"/>
  </si>
  <si>
    <t>地下</t>
    <phoneticPr fontId="134" type="noConversion"/>
  </si>
  <si>
    <t>租约租金</t>
    <phoneticPr fontId="134" type="noConversion"/>
  </si>
  <si>
    <t>地下1层</t>
    <phoneticPr fontId="134" type="noConversion"/>
  </si>
  <si>
    <t>地下2层</t>
    <phoneticPr fontId="134" type="noConversion"/>
  </si>
  <si>
    <t>客观租金</t>
    <phoneticPr fontId="134" type="noConversion"/>
  </si>
  <si>
    <t>地下2层</t>
    <phoneticPr fontId="134" type="noConversion"/>
  </si>
  <si>
    <t>附属机房层</t>
    <phoneticPr fontId="134" type="noConversion"/>
  </si>
  <si>
    <t>折算到产权面积</t>
    <phoneticPr fontId="134" type="noConversion"/>
  </si>
  <si>
    <t>地上</t>
    <phoneticPr fontId="134" type="noConversion"/>
  </si>
  <si>
    <t>单价</t>
    <phoneticPr fontId="134" type="noConversion"/>
  </si>
  <si>
    <t>年租金</t>
    <phoneticPr fontId="134" type="noConversion"/>
  </si>
  <si>
    <t>和睦家合同租金</t>
    <phoneticPr fontId="134" type="noConversion"/>
  </si>
  <si>
    <t>第一年</t>
    <phoneticPr fontId="134" type="noConversion"/>
  </si>
  <si>
    <r>
      <t>2</t>
    </r>
    <r>
      <rPr>
        <sz val="11"/>
        <color theme="1"/>
        <rFont val="宋体"/>
        <family val="3"/>
        <charset val="134"/>
        <scheme val="minor"/>
      </rPr>
      <t>022年</t>
    </r>
    <phoneticPr fontId="134" type="noConversion"/>
  </si>
  <si>
    <t>第二年</t>
    <phoneticPr fontId="134" type="noConversion"/>
  </si>
  <si>
    <r>
      <t>2023年</t>
    </r>
    <r>
      <rPr>
        <sz val="11"/>
        <color theme="1"/>
        <rFont val="宋体"/>
        <family val="3"/>
        <charset val="134"/>
        <scheme val="minor"/>
      </rPr>
      <t/>
    </r>
  </si>
  <si>
    <t>第三年</t>
    <phoneticPr fontId="134" type="noConversion"/>
  </si>
  <si>
    <r>
      <t>2024年</t>
    </r>
    <r>
      <rPr>
        <sz val="11"/>
        <color theme="1"/>
        <rFont val="宋体"/>
        <family val="3"/>
        <charset val="134"/>
        <scheme val="minor"/>
      </rPr>
      <t/>
    </r>
  </si>
  <si>
    <t>第四年</t>
    <phoneticPr fontId="134" type="noConversion"/>
  </si>
  <si>
    <r>
      <t>2025年</t>
    </r>
    <r>
      <rPr>
        <sz val="11"/>
        <color theme="1"/>
        <rFont val="宋体"/>
        <family val="3"/>
        <charset val="134"/>
        <scheme val="minor"/>
      </rPr>
      <t/>
    </r>
  </si>
  <si>
    <t>第五年</t>
    <phoneticPr fontId="134" type="noConversion"/>
  </si>
  <si>
    <r>
      <t>2026年</t>
    </r>
    <r>
      <rPr>
        <sz val="11"/>
        <color theme="1"/>
        <rFont val="宋体"/>
        <family val="3"/>
        <charset val="134"/>
        <scheme val="minor"/>
      </rPr>
      <t/>
    </r>
  </si>
  <si>
    <r>
      <t>递增8</t>
    </r>
    <r>
      <rPr>
        <sz val="11"/>
        <color theme="1"/>
        <rFont val="宋体"/>
        <family val="3"/>
        <charset val="134"/>
        <scheme val="minor"/>
      </rPr>
      <t>%</t>
    </r>
    <phoneticPr fontId="134" type="noConversion"/>
  </si>
  <si>
    <t>第六年</t>
    <phoneticPr fontId="134" type="noConversion"/>
  </si>
  <si>
    <r>
      <t>2027年</t>
    </r>
    <r>
      <rPr>
        <sz val="11"/>
        <color theme="1"/>
        <rFont val="宋体"/>
        <family val="3"/>
        <charset val="134"/>
        <scheme val="minor"/>
      </rPr>
      <t/>
    </r>
  </si>
  <si>
    <t>第七年</t>
    <phoneticPr fontId="134" type="noConversion"/>
  </si>
  <si>
    <r>
      <t>2028年</t>
    </r>
    <r>
      <rPr>
        <sz val="11"/>
        <color theme="1"/>
        <rFont val="宋体"/>
        <family val="3"/>
        <charset val="134"/>
        <scheme val="minor"/>
      </rPr>
      <t/>
    </r>
  </si>
  <si>
    <t>第八年</t>
    <phoneticPr fontId="134" type="noConversion"/>
  </si>
  <si>
    <r>
      <t>2029年</t>
    </r>
    <r>
      <rPr>
        <sz val="11"/>
        <color theme="1"/>
        <rFont val="宋体"/>
        <family val="3"/>
        <charset val="134"/>
        <scheme val="minor"/>
      </rPr>
      <t/>
    </r>
  </si>
  <si>
    <t>第九年</t>
    <phoneticPr fontId="134" type="noConversion"/>
  </si>
  <si>
    <r>
      <t>2030年</t>
    </r>
    <r>
      <rPr>
        <sz val="11"/>
        <color theme="1"/>
        <rFont val="宋体"/>
        <family val="3"/>
        <charset val="134"/>
        <scheme val="minor"/>
      </rPr>
      <t/>
    </r>
  </si>
  <si>
    <t>第十年</t>
    <phoneticPr fontId="134" type="noConversion"/>
  </si>
  <si>
    <r>
      <t>2031年</t>
    </r>
    <r>
      <rPr>
        <sz val="11"/>
        <color theme="1"/>
        <rFont val="宋体"/>
        <family val="3"/>
        <charset val="134"/>
        <scheme val="minor"/>
      </rPr>
      <t/>
    </r>
  </si>
  <si>
    <r>
      <t>递增8</t>
    </r>
    <r>
      <rPr>
        <sz val="11"/>
        <color theme="1"/>
        <rFont val="宋体"/>
        <family val="3"/>
        <charset val="134"/>
        <scheme val="minor"/>
      </rPr>
      <t>%</t>
    </r>
    <phoneticPr fontId="134" type="noConversion"/>
  </si>
  <si>
    <t>第十一年</t>
    <phoneticPr fontId="134" type="noConversion"/>
  </si>
  <si>
    <r>
      <t>2032年</t>
    </r>
    <r>
      <rPr>
        <sz val="11"/>
        <color theme="1"/>
        <rFont val="宋体"/>
        <family val="3"/>
        <charset val="134"/>
        <scheme val="minor"/>
      </rPr>
      <t/>
    </r>
  </si>
  <si>
    <t>第十二年</t>
    <phoneticPr fontId="134" type="noConversion"/>
  </si>
  <si>
    <r>
      <t>2033年</t>
    </r>
    <r>
      <rPr>
        <sz val="11"/>
        <color theme="1"/>
        <rFont val="宋体"/>
        <family val="3"/>
        <charset val="134"/>
        <scheme val="minor"/>
      </rPr>
      <t/>
    </r>
  </si>
  <si>
    <t>第十三年</t>
    <phoneticPr fontId="134" type="noConversion"/>
  </si>
  <si>
    <r>
      <t>2034年</t>
    </r>
    <r>
      <rPr>
        <sz val="11"/>
        <color theme="1"/>
        <rFont val="宋体"/>
        <family val="3"/>
        <charset val="134"/>
        <scheme val="minor"/>
      </rPr>
      <t/>
    </r>
  </si>
  <si>
    <t>第十四年</t>
    <phoneticPr fontId="134" type="noConversion"/>
  </si>
  <si>
    <r>
      <t>2035年</t>
    </r>
    <r>
      <rPr>
        <sz val="11"/>
        <color theme="1"/>
        <rFont val="宋体"/>
        <family val="3"/>
        <charset val="134"/>
        <scheme val="minor"/>
      </rPr>
      <t/>
    </r>
  </si>
  <si>
    <t>第十五年</t>
    <phoneticPr fontId="134" type="noConversion"/>
  </si>
  <si>
    <r>
      <t>2036年</t>
    </r>
    <r>
      <rPr>
        <sz val="11"/>
        <color theme="1"/>
        <rFont val="宋体"/>
        <family val="3"/>
        <charset val="134"/>
        <scheme val="minor"/>
      </rPr>
      <t/>
    </r>
  </si>
  <si>
    <r>
      <t>递增8</t>
    </r>
    <r>
      <rPr>
        <sz val="11"/>
        <color theme="1"/>
        <rFont val="宋体"/>
        <family val="3"/>
        <charset val="134"/>
        <scheme val="minor"/>
      </rPr>
      <t>%</t>
    </r>
    <phoneticPr fontId="134" type="noConversion"/>
  </si>
  <si>
    <t>第十六年</t>
    <phoneticPr fontId="134" type="noConversion"/>
  </si>
  <si>
    <r>
      <t>2037年</t>
    </r>
    <r>
      <rPr>
        <sz val="11"/>
        <color theme="1"/>
        <rFont val="宋体"/>
        <family val="3"/>
        <charset val="134"/>
        <scheme val="minor"/>
      </rPr>
      <t/>
    </r>
  </si>
  <si>
    <t>第十七年</t>
    <phoneticPr fontId="134" type="noConversion"/>
  </si>
  <si>
    <r>
      <t>2038年</t>
    </r>
    <r>
      <rPr>
        <sz val="11"/>
        <color theme="1"/>
        <rFont val="宋体"/>
        <family val="3"/>
        <charset val="134"/>
        <scheme val="minor"/>
      </rPr>
      <t/>
    </r>
  </si>
  <si>
    <t>第十八年</t>
    <phoneticPr fontId="134" type="noConversion"/>
  </si>
  <si>
    <r>
      <t>2039年</t>
    </r>
    <r>
      <rPr>
        <sz val="11"/>
        <color theme="1"/>
        <rFont val="宋体"/>
        <family val="3"/>
        <charset val="134"/>
        <scheme val="minor"/>
      </rPr>
      <t/>
    </r>
  </si>
  <si>
    <t>第十九年</t>
    <phoneticPr fontId="134" type="noConversion"/>
  </si>
  <si>
    <r>
      <t>2040年</t>
    </r>
    <r>
      <rPr>
        <sz val="11"/>
        <color theme="1"/>
        <rFont val="宋体"/>
        <family val="3"/>
        <charset val="134"/>
        <scheme val="minor"/>
      </rPr>
      <t/>
    </r>
  </si>
  <si>
    <t>第二十年</t>
    <phoneticPr fontId="134" type="noConversion"/>
  </si>
  <si>
    <r>
      <t>2041年</t>
    </r>
    <r>
      <rPr>
        <sz val="11"/>
        <color theme="1"/>
        <rFont val="宋体"/>
        <family val="3"/>
        <charset val="134"/>
        <scheme val="minor"/>
      </rPr>
      <t/>
    </r>
  </si>
  <si>
    <t>剩余租期总租金</t>
    <phoneticPr fontId="134" type="noConversion"/>
  </si>
  <si>
    <t>和睦家</t>
  </si>
  <si>
    <t>和睦家</t>
    <phoneticPr fontId="7" type="noConversion"/>
  </si>
  <si>
    <t>昆仑万维</t>
  </si>
  <si>
    <t>昆仑万维</t>
    <phoneticPr fontId="7" type="noConversion"/>
  </si>
  <si>
    <t>地下车库</t>
  </si>
  <si>
    <t>地下车库</t>
    <phoneticPr fontId="7" type="noConversion"/>
  </si>
  <si>
    <t>成新度</t>
  </si>
  <si>
    <t>直线</t>
    <phoneticPr fontId="3" type="noConversion"/>
  </si>
  <si>
    <t>观察</t>
    <phoneticPr fontId="3" type="noConversion"/>
  </si>
  <si>
    <t>商务金融用地</t>
  </si>
  <si>
    <t>宗地容积率</t>
  </si>
  <si>
    <t>不临65条商业街</t>
  </si>
  <si>
    <t>与级别开发程度一致</t>
  </si>
  <si>
    <t>较好</t>
  </si>
  <si>
    <t>较差</t>
  </si>
  <si>
    <t>好</t>
  </si>
  <si>
    <t>未包含在土地购买价格中</t>
  </si>
  <si>
    <t>全部缴纳</t>
  </si>
  <si>
    <t>已包含在土地取得成本中</t>
  </si>
  <si>
    <t>项目模式</t>
  </si>
  <si>
    <t>售价</t>
  </si>
  <si>
    <t>正常</t>
  </si>
  <si>
    <t>序号</t>
  </si>
  <si>
    <t>项目名称</t>
  </si>
  <si>
    <t>位置</t>
  </si>
  <si>
    <t>所属区县</t>
  </si>
  <si>
    <t>商圈</t>
  </si>
  <si>
    <t>卖方</t>
  </si>
  <si>
    <t>土地面积（㎡）</t>
  </si>
  <si>
    <t>总建筑面积（㎡）</t>
  </si>
  <si>
    <t>地上建筑面积（㎡）</t>
  </si>
  <si>
    <t>地下建筑面积（㎡）</t>
  </si>
  <si>
    <t>整购价（万元）</t>
  </si>
  <si>
    <t>总建筑面积单价（元/㎡）</t>
  </si>
  <si>
    <t>地上楼面单价（元/㎡）</t>
  </si>
  <si>
    <t>购买方</t>
  </si>
  <si>
    <t>购买日期</t>
  </si>
  <si>
    <t>建筑规模及楼层</t>
  </si>
  <si>
    <t>竣工交付日期</t>
  </si>
  <si>
    <t>备注</t>
  </si>
  <si>
    <t>德胜国际中心</t>
  </si>
  <si>
    <t>西城区德胜门外大街77号</t>
  </si>
  <si>
    <t>西城区</t>
  </si>
  <si>
    <t>德外</t>
  </si>
  <si>
    <t>金融街</t>
  </si>
  <si>
    <t>商业、办公</t>
  </si>
  <si>
    <t>——</t>
    <phoneticPr fontId="247" type="noConversion"/>
  </si>
  <si>
    <t>2021-Q3</t>
    <phoneticPr fontId="247" type="noConversion"/>
  </si>
  <si>
    <t>另有约6794平方米的车位用房；土地使用权到办公2054-8-29</t>
    <phoneticPr fontId="247" type="noConversion"/>
  </si>
  <si>
    <t>2008年</t>
  </si>
  <si>
    <t>北京市东直门立交桥西南角、东二环的核心商圈地带，北临东直门内大街，东面东二环路</t>
  </si>
  <si>
    <t>东城区</t>
  </si>
  <si>
    <t>东二环</t>
  </si>
  <si>
    <t>凯德</t>
  </si>
  <si>
    <t>平安人寿保险</t>
  </si>
  <si>
    <t>2021-Q2</t>
  </si>
  <si>
    <t>商业到期日2046年，综合2056年；总建筑面积为143865平方米（含人防），由41015平方米写字楼、39959平方米零售商场（地上五层地下一层）、29969平方米高档公寓、38200平方米附属用房和停车场组成。总建筑面积110996平方米（不含车库及人防）</t>
    <phoneticPr fontId="247" type="noConversion"/>
  </si>
  <si>
    <t>2009年</t>
  </si>
  <si>
    <t>哈银国际中心</t>
    <phoneticPr fontId="247" type="noConversion"/>
  </si>
  <si>
    <t>朝阳区霞光里</t>
    <phoneticPr fontId="247" type="noConversion"/>
  </si>
  <si>
    <t>朝阳区</t>
    <phoneticPr fontId="247" type="noConversion"/>
  </si>
  <si>
    <t>东北三环</t>
    <phoneticPr fontId="247" type="noConversion"/>
  </si>
  <si>
    <t>2022-Q2</t>
    <phoneticPr fontId="247" type="noConversion"/>
  </si>
  <si>
    <t>地上约40000平方米，地下约28000平方米；地上为办公、商业，地下1-2为物业办公、餐厅；地下3-6为地下车库</t>
    <phoneticPr fontId="247" type="noConversion"/>
  </si>
  <si>
    <t>2020年</t>
    <phoneticPr fontId="247" type="noConversion"/>
  </si>
  <si>
    <t>哈银国际中心</t>
    <phoneticPr fontId="134" type="noConversion"/>
  </si>
  <si>
    <t>北京来福士中心</t>
    <phoneticPr fontId="134" type="noConversion"/>
  </si>
  <si>
    <t>商业、办公</t>
    <phoneticPr fontId="31" type="noConversion"/>
  </si>
  <si>
    <t>地下占比</t>
    <phoneticPr fontId="31" type="noConversion"/>
  </si>
  <si>
    <t>40-50</t>
    <phoneticPr fontId="3" type="noConversion"/>
  </si>
  <si>
    <t>30-40</t>
    <phoneticPr fontId="3" type="noConversion"/>
  </si>
  <si>
    <t>20-30</t>
    <phoneticPr fontId="3" type="noConversion"/>
  </si>
  <si>
    <t>商业繁华度</t>
    <phoneticPr fontId="31" type="noConversion"/>
  </si>
  <si>
    <t>较好</t>
    <phoneticPr fontId="31" type="noConversion"/>
  </si>
  <si>
    <t>较好</t>
    <phoneticPr fontId="31" type="noConversion"/>
  </si>
  <si>
    <t>一般</t>
    <phoneticPr fontId="31" type="noConversion"/>
  </si>
  <si>
    <t>七通</t>
  </si>
  <si>
    <t>高速路</t>
    <phoneticPr fontId="3" type="noConversion"/>
  </si>
  <si>
    <t>主干道</t>
    <phoneticPr fontId="3" type="noConversion"/>
  </si>
  <si>
    <t>次干道</t>
    <phoneticPr fontId="3" type="noConversion"/>
  </si>
  <si>
    <t>支路</t>
    <phoneticPr fontId="3" type="noConversion"/>
  </si>
  <si>
    <t>支路</t>
  </si>
  <si>
    <t>主干道</t>
  </si>
  <si>
    <t>写字楼</t>
    <phoneticPr fontId="3" type="noConversion"/>
  </si>
  <si>
    <t>商务楼</t>
    <phoneticPr fontId="3" type="noConversion"/>
  </si>
  <si>
    <t>综合体</t>
    <phoneticPr fontId="3" type="noConversion"/>
  </si>
  <si>
    <t>商务楼</t>
  </si>
  <si>
    <t>写字楼</t>
  </si>
  <si>
    <t>综合体</t>
  </si>
  <si>
    <t>钢混</t>
  </si>
  <si>
    <t>钢混</t>
    <phoneticPr fontId="31" type="noConversion"/>
  </si>
  <si>
    <t>精装</t>
  </si>
  <si>
    <t>精装</t>
    <phoneticPr fontId="31" type="noConversion"/>
  </si>
  <si>
    <t>专业</t>
  </si>
  <si>
    <t>专业</t>
    <phoneticPr fontId="31" type="noConversion"/>
  </si>
  <si>
    <t>六通</t>
  </si>
  <si>
    <t>七通</t>
    <phoneticPr fontId="31" type="noConversion"/>
  </si>
  <si>
    <t>六通</t>
    <phoneticPr fontId="31" type="noConversion"/>
  </si>
  <si>
    <t>五通</t>
  </si>
  <si>
    <t>五通</t>
    <phoneticPr fontId="31" type="noConversion"/>
  </si>
  <si>
    <t>普装</t>
  </si>
  <si>
    <t>普装</t>
    <phoneticPr fontId="31" type="noConversion"/>
  </si>
  <si>
    <t>好</t>
    <phoneticPr fontId="31" type="noConversion"/>
  </si>
  <si>
    <t>好</t>
    <phoneticPr fontId="31" type="noConversion"/>
  </si>
  <si>
    <t>比较法-办公</t>
  </si>
  <si>
    <t>2021-5-1</t>
    <phoneticPr fontId="31" type="noConversion"/>
  </si>
  <si>
    <t>2022-5-1</t>
    <phoneticPr fontId="31" type="noConversion"/>
  </si>
  <si>
    <t>押一</t>
  </si>
  <si>
    <t>自定义</t>
  </si>
  <si>
    <t>收益法</t>
  </si>
  <si>
    <t>非生产用房</t>
  </si>
  <si>
    <t>否</t>
  </si>
  <si>
    <t>收益法2</t>
  </si>
  <si>
    <t>收益法2</t>
    <phoneticPr fontId="16" type="noConversion"/>
  </si>
  <si>
    <t>收益法（汇总）</t>
  </si>
  <si>
    <t>收益法(车库)</t>
  </si>
  <si>
    <t>收益法(车库)</t>
    <phoneticPr fontId="16" type="noConversion"/>
  </si>
  <si>
    <t>24年剩余</t>
    <phoneticPr fontId="134" type="noConversion"/>
  </si>
  <si>
    <t>25-41年</t>
    <phoneticPr fontId="134" type="noConversion"/>
  </si>
  <si>
    <t>总价</t>
  </si>
  <si>
    <t>现房</t>
  </si>
  <si>
    <t>项目全部</t>
  </si>
  <si>
    <r>
      <t>2023</t>
    </r>
    <r>
      <rPr>
        <sz val="10"/>
        <color indexed="8"/>
        <rFont val="宋体"/>
        <family val="3"/>
        <charset val="134"/>
      </rPr>
      <t>年预评估值</t>
    </r>
    <phoneticPr fontId="8" type="noConversion"/>
  </si>
  <si>
    <t>崔锴</t>
  </si>
  <si>
    <t>郑燚</t>
  </si>
  <si>
    <t>收益比率</t>
  </si>
  <si>
    <t>用途</t>
    <phoneticPr fontId="134" type="noConversion"/>
  </si>
  <si>
    <t>地下车库</t>
    <phoneticPr fontId="134" type="noConversion"/>
  </si>
  <si>
    <t>商业</t>
    <phoneticPr fontId="134" type="noConversion"/>
  </si>
  <si>
    <t>租户</t>
    <phoneticPr fontId="134" type="noConversion"/>
  </si>
  <si>
    <t>租期</t>
    <phoneticPr fontId="134" type="noConversion"/>
  </si>
  <si>
    <t>和睦家</t>
    <phoneticPr fontId="134" type="noConversion"/>
  </si>
  <si>
    <t>地上25345.27平方米；地下6000平方米。</t>
    <phoneticPr fontId="134" type="noConversion"/>
  </si>
  <si>
    <t>昆仑万维</t>
    <phoneticPr fontId="134" type="noConversion"/>
  </si>
  <si>
    <t>地上12131.21平方米；地下1340平方米。</t>
    <phoneticPr fontId="134" type="noConversion"/>
  </si>
  <si>
    <t>序号</t>
    <phoneticPr fontId="134" type="noConversion"/>
  </si>
  <si>
    <t>租赁面积</t>
    <phoneticPr fontId="134" type="noConversion"/>
  </si>
  <si>
    <t>物业费</t>
    <phoneticPr fontId="134" type="noConversion"/>
  </si>
  <si>
    <t>租金</t>
    <phoneticPr fontId="134" type="noConversion"/>
  </si>
  <si>
    <t>地上0.5元/平方米/天；地下0.3元/平方米/天。</t>
    <phoneticPr fontId="134" type="noConversion"/>
  </si>
  <si>
    <t>地上4.7元/平方米/天；地下2.7元/平方米/天。</t>
    <phoneticPr fontId="134" type="noConversion"/>
  </si>
  <si>
    <t>地上6.2元/平方米/天；地下1层2.4元/平方米/天；地下2层2.7元/平方米/天。</t>
    <phoneticPr fontId="134" type="noConversion"/>
  </si>
  <si>
    <t>B座、C座（部分）</t>
    <phoneticPr fontId="134" type="noConversion"/>
  </si>
  <si>
    <t>部位</t>
    <phoneticPr fontId="134" type="noConversion"/>
  </si>
  <si>
    <t>A、C、D、E、F座</t>
    <phoneticPr fontId="134" type="noConversion"/>
  </si>
  <si>
    <t>2022年1月1日至2041年12月31日</t>
    <phoneticPr fontId="134" type="noConversion"/>
  </si>
  <si>
    <t>2021年7月至2024年7月</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</si>
</sst>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right style="thin">
        <color theme="0"/>
      </right>
      <top style="thin">
        <color theme="0"/>
      </top>
      <bottom style="thin">
        <color theme="0"/>
      </bottom>
      <diagonal/>
    </border>
    <border>
      <left style="thin">
        <color theme="0"/>
      </left>
      <right style="thin">
        <color theme="0"/>
      </right>
      <top style="thin">
        <color theme="0"/>
      </top>
      <bottom style="thin">
        <color theme="0"/>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2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95" fillId="0" borderId="0" xfId="0" applyFont="1">
      <alignment vertical="center"/>
    </xf>
    <xf numFmtId="0" fontId="0" fillId="5" borderId="0" xfId="0" applyFill="1">
      <alignment vertical="center"/>
    </xf>
    <xf numFmtId="0" fontId="95" fillId="5" borderId="0" xfId="0" applyFont="1" applyFill="1">
      <alignment vertical="center"/>
    </xf>
    <xf numFmtId="0" fontId="77" fillId="12" borderId="0" xfId="0" applyFont="1" applyFill="1" applyAlignment="1" applyProtection="1">
      <alignment vertical="center"/>
      <protection locked="0"/>
    </xf>
    <xf numFmtId="0" fontId="128" fillId="0" borderId="51" xfId="0" applyNumberFormat="1" applyFont="1" applyFill="1" applyBorder="1" applyAlignment="1" applyProtection="1">
      <alignment horizontal="center" vertical="center" wrapText="1"/>
      <protection locked="0"/>
    </xf>
    <xf numFmtId="0" fontId="80" fillId="0" borderId="1" xfId="10" applyFont="1" applyFill="1" applyBorder="1" applyAlignment="1">
      <alignment vertical="center" wrapText="1"/>
    </xf>
    <xf numFmtId="0" fontId="269" fillId="0" borderId="0" xfId="0" applyFont="1" applyFill="1">
      <alignment vertical="center"/>
    </xf>
    <xf numFmtId="0" fontId="19" fillId="0" borderId="1" xfId="10" applyFont="1" applyFill="1" applyBorder="1" applyAlignment="1">
      <alignment vertical="center" wrapText="1"/>
    </xf>
    <xf numFmtId="0" fontId="19" fillId="0" borderId="176" xfId="10" applyFont="1" applyFill="1" applyBorder="1" applyAlignment="1">
      <alignment vertical="center" wrapText="1"/>
    </xf>
    <xf numFmtId="0" fontId="19" fillId="0" borderId="177" xfId="10" applyFont="1" applyFill="1" applyBorder="1" applyAlignment="1">
      <alignment vertical="center" wrapText="1"/>
    </xf>
    <xf numFmtId="0" fontId="19" fillId="0" borderId="0" xfId="10" applyFont="1" applyFill="1" applyBorder="1" applyAlignment="1">
      <alignment vertical="center" wrapText="1"/>
    </xf>
    <xf numFmtId="0" fontId="128" fillId="0" borderId="46" xfId="0" applyFont="1" applyFill="1" applyBorder="1" applyAlignment="1" applyProtection="1">
      <alignment horizontal="center" vertical="center" wrapText="1"/>
      <protection locked="0"/>
    </xf>
    <xf numFmtId="10" fontId="44" fillId="0" borderId="41" xfId="0" applyNumberFormat="1" applyFont="1" applyFill="1" applyBorder="1" applyAlignment="1" applyProtection="1">
      <alignment horizontal="center" vertical="center" wrapText="1"/>
      <protection locked="0"/>
    </xf>
    <xf numFmtId="10" fontId="44" fillId="0" borderId="7" xfId="0" applyNumberFormat="1" applyFont="1" applyFill="1" applyBorder="1" applyAlignment="1" applyProtection="1">
      <alignment horizontal="center" vertical="center" wrapText="1"/>
      <protection locked="0"/>
    </xf>
    <xf numFmtId="176" fontId="51" fillId="0" borderId="44" xfId="0" applyNumberFormat="1" applyFont="1" applyFill="1" applyBorder="1" applyAlignment="1" applyProtection="1">
      <alignment horizontal="center" vertical="center" wrapText="1"/>
      <protection locked="0"/>
    </xf>
    <xf numFmtId="10" fontId="44" fillId="0" borderId="44" xfId="0" applyNumberFormat="1" applyFont="1" applyFill="1" applyBorder="1" applyAlignment="1" applyProtection="1">
      <alignment horizontal="center" vertical="center" wrapText="1"/>
      <protection locked="0"/>
    </xf>
    <xf numFmtId="9" fontId="44" fillId="0" borderId="44" xfId="0" applyNumberFormat="1" applyFont="1" applyFill="1" applyBorder="1" applyAlignment="1" applyProtection="1">
      <alignment horizontal="center" vertical="center" wrapText="1"/>
      <protection locked="0"/>
    </xf>
    <xf numFmtId="0" fontId="128" fillId="0" borderId="24" xfId="0" applyFont="1" applyFill="1" applyBorder="1" applyAlignment="1" applyProtection="1">
      <alignment horizontal="center" vertical="center" wrapText="1"/>
      <protection locked="0"/>
    </xf>
    <xf numFmtId="0" fontId="94" fillId="0" borderId="54" xfId="0" applyNumberFormat="1" applyFont="1" applyFill="1" applyBorder="1" applyAlignment="1" applyProtection="1">
      <alignment horizontal="center" vertical="center" wrapText="1"/>
      <protection locked="0"/>
    </xf>
    <xf numFmtId="0" fontId="128" fillId="0" borderId="41" xfId="0" applyNumberFormat="1" applyFont="1" applyFill="1" applyBorder="1" applyAlignment="1" applyProtection="1">
      <alignment horizontal="center" vertical="center" wrapText="1"/>
      <protection locked="0"/>
    </xf>
    <xf numFmtId="0" fontId="128" fillId="0" borderId="7"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5" fillId="0" borderId="1" xfId="0" applyFont="1" applyBorder="1">
      <alignment vertical="center"/>
    </xf>
    <xf numFmtId="0" fontId="0" fillId="0" borderId="1" xfId="0" applyBorder="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95" fillId="0" borderId="1" xfId="0" applyFont="1" applyBorder="1" applyAlignment="1">
      <alignment vertical="center"/>
    </xf>
    <xf numFmtId="0" fontId="0" fillId="0" borderId="1" xfId="0" applyBorder="1" applyAlignment="1">
      <alignment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31" fontId="95" fillId="0" borderId="1" xfId="0" applyNumberFormat="1" applyFont="1" applyBorder="1">
      <alignment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9"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38100</xdr:colOff>
      <xdr:row>7</xdr:row>
      <xdr:rowOff>47625</xdr:rowOff>
    </xdr:from>
    <xdr:to>
      <xdr:col>14</xdr:col>
      <xdr:colOff>371475</xdr:colOff>
      <xdr:row>26</xdr:row>
      <xdr:rowOff>67282</xdr:rowOff>
    </xdr:to>
    <xdr:pic>
      <xdr:nvPicPr>
        <xdr:cNvPr id="5" name="图片 4"/>
        <xdr:cNvPicPr>
          <a:picLocks noChangeAspect="1"/>
        </xdr:cNvPicPr>
      </xdr:nvPicPr>
      <xdr:blipFill>
        <a:blip xmlns:r="http://schemas.openxmlformats.org/officeDocument/2006/relationships" r:embed="rId1"/>
        <a:stretch>
          <a:fillRect/>
        </a:stretch>
      </xdr:blipFill>
      <xdr:spPr>
        <a:xfrm>
          <a:off x="400050" y="3609975"/>
          <a:ext cx="8972550" cy="3277207"/>
        </a:xfrm>
        <a:prstGeom prst="rect">
          <a:avLst/>
        </a:prstGeom>
      </xdr:spPr>
    </xdr:pic>
    <xdr:clientData/>
  </xdr:twoCellAnchor>
  <xdr:twoCellAnchor editAs="oneCell">
    <xdr:from>
      <xdr:col>1</xdr:col>
      <xdr:colOff>43703</xdr:colOff>
      <xdr:row>26</xdr:row>
      <xdr:rowOff>115981</xdr:rowOff>
    </xdr:from>
    <xdr:to>
      <xdr:col>16</xdr:col>
      <xdr:colOff>400610</xdr:colOff>
      <xdr:row>52</xdr:row>
      <xdr:rowOff>148437</xdr:rowOff>
    </xdr:to>
    <xdr:pic>
      <xdr:nvPicPr>
        <xdr:cNvPr id="6" name="图片 5"/>
        <xdr:cNvPicPr>
          <a:picLocks noChangeAspect="1"/>
        </xdr:cNvPicPr>
      </xdr:nvPicPr>
      <xdr:blipFill>
        <a:blip xmlns:r="http://schemas.openxmlformats.org/officeDocument/2006/relationships" r:embed="rId2"/>
        <a:stretch>
          <a:fillRect/>
        </a:stretch>
      </xdr:blipFill>
      <xdr:spPr>
        <a:xfrm>
          <a:off x="405653" y="6935881"/>
          <a:ext cx="10253382" cy="4490156"/>
        </a:xfrm>
        <a:prstGeom prst="rect">
          <a:avLst/>
        </a:prstGeom>
      </xdr:spPr>
    </xdr:pic>
    <xdr:clientData/>
  </xdr:twoCellAnchor>
  <xdr:twoCellAnchor editAs="oneCell">
    <xdr:from>
      <xdr:col>14</xdr:col>
      <xdr:colOff>433665</xdr:colOff>
      <xdr:row>14</xdr:row>
      <xdr:rowOff>2801</xdr:rowOff>
    </xdr:from>
    <xdr:to>
      <xdr:col>16</xdr:col>
      <xdr:colOff>1604936</xdr:colOff>
      <xdr:row>26</xdr:row>
      <xdr:rowOff>21591</xdr:rowOff>
    </xdr:to>
    <xdr:pic>
      <xdr:nvPicPr>
        <xdr:cNvPr id="7" name="图片 6"/>
        <xdr:cNvPicPr>
          <a:picLocks noChangeAspect="1"/>
        </xdr:cNvPicPr>
      </xdr:nvPicPr>
      <xdr:blipFill>
        <a:blip xmlns:r="http://schemas.openxmlformats.org/officeDocument/2006/relationships" r:embed="rId3"/>
        <a:stretch>
          <a:fillRect/>
        </a:stretch>
      </xdr:blipFill>
      <xdr:spPr>
        <a:xfrm>
          <a:off x="9406215" y="4765301"/>
          <a:ext cx="2428571" cy="2076190"/>
        </a:xfrm>
        <a:prstGeom prst="rect">
          <a:avLst/>
        </a:prstGeom>
      </xdr:spPr>
    </xdr:pic>
    <xdr:clientData/>
  </xdr:twoCellAnchor>
  <xdr:twoCellAnchor editAs="oneCell">
    <xdr:from>
      <xdr:col>1</xdr:col>
      <xdr:colOff>9525</xdr:colOff>
      <xdr:row>55</xdr:row>
      <xdr:rowOff>9525</xdr:rowOff>
    </xdr:from>
    <xdr:to>
      <xdr:col>11</xdr:col>
      <xdr:colOff>608723</xdr:colOff>
      <xdr:row>62</xdr:row>
      <xdr:rowOff>161756</xdr:rowOff>
    </xdr:to>
    <xdr:pic>
      <xdr:nvPicPr>
        <xdr:cNvPr id="8" name="图片 7"/>
        <xdr:cNvPicPr>
          <a:picLocks noChangeAspect="1"/>
        </xdr:cNvPicPr>
      </xdr:nvPicPr>
      <xdr:blipFill>
        <a:blip xmlns:r="http://schemas.openxmlformats.org/officeDocument/2006/relationships" r:embed="rId4"/>
        <a:stretch>
          <a:fillRect/>
        </a:stretch>
      </xdr:blipFill>
      <xdr:spPr>
        <a:xfrm>
          <a:off x="371475" y="11801475"/>
          <a:ext cx="7019048" cy="1352381"/>
        </a:xfrm>
        <a:prstGeom prst="rect">
          <a:avLst/>
        </a:prstGeom>
      </xdr:spPr>
    </xdr:pic>
    <xdr:clientData/>
  </xdr:twoCellAnchor>
  <xdr:twoCellAnchor editAs="oneCell">
    <xdr:from>
      <xdr:col>1</xdr:col>
      <xdr:colOff>0</xdr:colOff>
      <xdr:row>63</xdr:row>
      <xdr:rowOff>0</xdr:rowOff>
    </xdr:from>
    <xdr:to>
      <xdr:col>11</xdr:col>
      <xdr:colOff>513483</xdr:colOff>
      <xdr:row>86</xdr:row>
      <xdr:rowOff>75698</xdr:rowOff>
    </xdr:to>
    <xdr:pic>
      <xdr:nvPicPr>
        <xdr:cNvPr id="9" name="图片 8"/>
        <xdr:cNvPicPr>
          <a:picLocks noChangeAspect="1"/>
        </xdr:cNvPicPr>
      </xdr:nvPicPr>
      <xdr:blipFill>
        <a:blip xmlns:r="http://schemas.openxmlformats.org/officeDocument/2006/relationships" r:embed="rId5"/>
        <a:stretch>
          <a:fillRect/>
        </a:stretch>
      </xdr:blipFill>
      <xdr:spPr>
        <a:xfrm>
          <a:off x="361950" y="13163550"/>
          <a:ext cx="6933333" cy="4019048"/>
        </a:xfrm>
        <a:prstGeom prst="rect">
          <a:avLst/>
        </a:prstGeom>
      </xdr:spPr>
    </xdr:pic>
    <xdr:clientData/>
  </xdr:twoCellAnchor>
  <xdr:twoCellAnchor editAs="oneCell">
    <xdr:from>
      <xdr:col>1</xdr:col>
      <xdr:colOff>0</xdr:colOff>
      <xdr:row>87</xdr:row>
      <xdr:rowOff>0</xdr:rowOff>
    </xdr:from>
    <xdr:to>
      <xdr:col>11</xdr:col>
      <xdr:colOff>503959</xdr:colOff>
      <xdr:row>101</xdr:row>
      <xdr:rowOff>142557</xdr:rowOff>
    </xdr:to>
    <xdr:pic>
      <xdr:nvPicPr>
        <xdr:cNvPr id="10" name="图片 9"/>
        <xdr:cNvPicPr>
          <a:picLocks noChangeAspect="1"/>
        </xdr:cNvPicPr>
      </xdr:nvPicPr>
      <xdr:blipFill>
        <a:blip xmlns:r="http://schemas.openxmlformats.org/officeDocument/2006/relationships" r:embed="rId6"/>
        <a:stretch>
          <a:fillRect/>
        </a:stretch>
      </xdr:blipFill>
      <xdr:spPr>
        <a:xfrm>
          <a:off x="361950" y="17278350"/>
          <a:ext cx="6923809" cy="2542857"/>
        </a:xfrm>
        <a:prstGeom prst="rect">
          <a:avLst/>
        </a:prstGeom>
      </xdr:spPr>
    </xdr:pic>
    <xdr:clientData/>
  </xdr:twoCellAnchor>
  <xdr:twoCellAnchor editAs="oneCell">
    <xdr:from>
      <xdr:col>1</xdr:col>
      <xdr:colOff>0</xdr:colOff>
      <xdr:row>102</xdr:row>
      <xdr:rowOff>0</xdr:rowOff>
    </xdr:from>
    <xdr:to>
      <xdr:col>11</xdr:col>
      <xdr:colOff>523007</xdr:colOff>
      <xdr:row>108</xdr:row>
      <xdr:rowOff>133205</xdr:rowOff>
    </xdr:to>
    <xdr:pic>
      <xdr:nvPicPr>
        <xdr:cNvPr id="11" name="图片 10"/>
        <xdr:cNvPicPr>
          <a:picLocks noChangeAspect="1"/>
        </xdr:cNvPicPr>
      </xdr:nvPicPr>
      <xdr:blipFill>
        <a:blip xmlns:r="http://schemas.openxmlformats.org/officeDocument/2006/relationships" r:embed="rId7"/>
        <a:stretch>
          <a:fillRect/>
        </a:stretch>
      </xdr:blipFill>
      <xdr:spPr>
        <a:xfrm>
          <a:off x="361950" y="19850100"/>
          <a:ext cx="6942857" cy="1161905"/>
        </a:xfrm>
        <a:prstGeom prst="rect">
          <a:avLst/>
        </a:prstGeom>
      </xdr:spPr>
    </xdr:pic>
    <xdr:clientData/>
  </xdr:twoCellAnchor>
  <xdr:twoCellAnchor editAs="oneCell">
    <xdr:from>
      <xdr:col>1</xdr:col>
      <xdr:colOff>0</xdr:colOff>
      <xdr:row>109</xdr:row>
      <xdr:rowOff>0</xdr:rowOff>
    </xdr:from>
    <xdr:to>
      <xdr:col>11</xdr:col>
      <xdr:colOff>684912</xdr:colOff>
      <xdr:row>124</xdr:row>
      <xdr:rowOff>28250</xdr:rowOff>
    </xdr:to>
    <xdr:pic>
      <xdr:nvPicPr>
        <xdr:cNvPr id="12" name="图片 11"/>
        <xdr:cNvPicPr>
          <a:picLocks noChangeAspect="1"/>
        </xdr:cNvPicPr>
      </xdr:nvPicPr>
      <xdr:blipFill>
        <a:blip xmlns:r="http://schemas.openxmlformats.org/officeDocument/2006/relationships" r:embed="rId8"/>
        <a:stretch>
          <a:fillRect/>
        </a:stretch>
      </xdr:blipFill>
      <xdr:spPr>
        <a:xfrm>
          <a:off x="361950" y="21050250"/>
          <a:ext cx="7104762" cy="2600000"/>
        </a:xfrm>
        <a:prstGeom prst="rect">
          <a:avLst/>
        </a:prstGeom>
      </xdr:spPr>
    </xdr:pic>
    <xdr:clientData/>
  </xdr:twoCellAnchor>
  <xdr:twoCellAnchor editAs="oneCell">
    <xdr:from>
      <xdr:col>12</xdr:col>
      <xdr:colOff>0</xdr:colOff>
      <xdr:row>55</xdr:row>
      <xdr:rowOff>0</xdr:rowOff>
    </xdr:from>
    <xdr:to>
      <xdr:col>20</xdr:col>
      <xdr:colOff>265811</xdr:colOff>
      <xdr:row>78</xdr:row>
      <xdr:rowOff>85221</xdr:rowOff>
    </xdr:to>
    <xdr:pic>
      <xdr:nvPicPr>
        <xdr:cNvPr id="13" name="图片 12"/>
        <xdr:cNvPicPr>
          <a:picLocks noChangeAspect="1"/>
        </xdr:cNvPicPr>
      </xdr:nvPicPr>
      <xdr:blipFill>
        <a:blip xmlns:r="http://schemas.openxmlformats.org/officeDocument/2006/relationships" r:embed="rId9"/>
        <a:stretch>
          <a:fillRect/>
        </a:stretch>
      </xdr:blipFill>
      <xdr:spPr>
        <a:xfrm>
          <a:off x="7610475" y="11791950"/>
          <a:ext cx="7114286" cy="402857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5199;&#24635;&#24067;&#32993;&#21516;46&#2149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大宗案例"/>
      <sheetName val="Sheet1"/>
      <sheetName val="数据-取费表"/>
      <sheetName val="估价对象房地状况"/>
      <sheetName val="系统读取表"/>
      <sheetName val="结果表"/>
      <sheetName val="比较法-办公"/>
      <sheetName val="收益法"/>
      <sheetName val="收益法(2)"/>
      <sheetName val="收益法(车位)"/>
      <sheetName val="收益法（汇总）"/>
      <sheetName val="成本法"/>
      <sheetName val="基准地价修正"/>
      <sheetName val="成本法 (元)"/>
      <sheetName val="假设开发法"/>
      <sheetName val="收益法 (元)"/>
      <sheetName val="收益法-酒店模型"/>
      <sheetName val="比较法-住宅"/>
      <sheetName val="比较法-商业"/>
      <sheetName val="比较法-工业"/>
      <sheetName val="比较法-车位"/>
      <sheetName val="比较法-仓储"/>
      <sheetName val="土地比较法-住宅、综合"/>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20">
          <cell r="F20">
            <v>12063.289999999997</v>
          </cell>
          <cell r="G20">
            <v>3383.2000000000007</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9.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 ca="1">'预评函-封皮'!B46</f>
        <v>崔锴（注册号：1120100036)、郑燚（注册号：1120070131)</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估价对象为北京市房地产，为所有。根据《国有土地使用证》[]，估价对象（分摊）出让国有建设用地使用权面积为11305.41平方米，建筑面积为68805.62平方米。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估价对象为北京市房地产,为开发建设的，该项目尚在开发建设中。根据《国有土地使用证》[]，估价对象（分摊）出让国有建设用地使用权面积为11305.41平方米，规划建筑面积为68805.62平方米。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2024年1月30日（评估专业人员实地查勘之日）</v>
      </c>
    </row>
    <row r="13" spans="1:2" s="1203" customFormat="1">
      <c r="A13" s="1201" t="s">
        <v>529</v>
      </c>
      <c r="B13" s="1202" t="str">
        <f>'预评函-1'!A18</f>
        <v>本次估价的“房地产价值”是指在正常市场情况下，在价值时点2024年1月30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240880</v>
      </c>
    </row>
    <row r="21" spans="1:2" s="1203" customFormat="1">
      <c r="A21" s="1201" t="s">
        <v>537</v>
      </c>
      <c r="B21" s="1202">
        <f ca="1">'预评函-2'!D7</f>
        <v>35009</v>
      </c>
    </row>
    <row r="22" spans="1:2" s="1203" customFormat="1">
      <c r="A22" s="1201" t="s">
        <v>538</v>
      </c>
      <c r="B22" s="1202" t="str">
        <f ca="1">'预评函-2'!D6</f>
        <v>贰拾肆亿零捌佰捌拾万元整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240880</v>
      </c>
    </row>
    <row r="31" spans="1:2" s="1203" customFormat="1">
      <c r="A31" s="1201" t="s">
        <v>576</v>
      </c>
      <c r="B31" s="1202">
        <f ca="1">'预评函-2'!D15</f>
        <v>35009</v>
      </c>
    </row>
    <row r="32" spans="1:2" s="1203" customFormat="1">
      <c r="A32" s="1201" t="s">
        <v>543</v>
      </c>
      <c r="B32" s="1202" t="str">
        <f ca="1">'预评函-2'!D14</f>
        <v>贰拾肆亿零捌佰捌拾万元整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68805.62</v>
      </c>
    </row>
    <row r="44" spans="1:2" s="1203" customFormat="1">
      <c r="A44" s="1201" t="s">
        <v>575</v>
      </c>
      <c r="B44" s="1202" t="str">
        <f>'预评函-3'!C2</f>
        <v>(分摊)土地面积</v>
      </c>
    </row>
    <row r="45" spans="1:2" s="1203" customFormat="1">
      <c r="A45" s="1201" t="s">
        <v>547</v>
      </c>
      <c r="B45" s="1202">
        <f>'预评函-3'!C4</f>
        <v>11305.41</v>
      </c>
    </row>
    <row r="46" spans="1:2" s="1203" customFormat="1">
      <c r="A46" s="1201" t="s">
        <v>573</v>
      </c>
      <c r="B46" s="1202" t="str">
        <f>'预评函-3'!D2</f>
        <v>出让国有建设用地使用权价值</v>
      </c>
    </row>
    <row r="47" spans="1:2" s="1203" customFormat="1">
      <c r="A47" s="1201" t="s">
        <v>548</v>
      </c>
      <c r="B47" s="1202">
        <f ca="1">'预评函-3'!D4</f>
        <v>183791</v>
      </c>
    </row>
    <row r="48" spans="1:2" s="1203" customFormat="1">
      <c r="A48" s="1201" t="s">
        <v>549</v>
      </c>
      <c r="B48" s="1202">
        <f ca="1">'预评函-3'!E4</f>
        <v>26712</v>
      </c>
    </row>
    <row r="49" spans="1:2" s="1203" customFormat="1">
      <c r="A49" s="1201" t="s">
        <v>550</v>
      </c>
      <c r="B49" s="1202" t="str">
        <f ca="1">'预评函-3'!D5</f>
        <v>壹拾捌亿叁仟柒佰玖拾壹万元整</v>
      </c>
    </row>
    <row r="50" spans="1:2" s="1203" customFormat="1">
      <c r="A50" s="1201" t="s">
        <v>574</v>
      </c>
      <c r="B50" s="1202" t="str">
        <f>'预评函-3'!F2</f>
        <v>在建建筑物价值</v>
      </c>
    </row>
    <row r="51" spans="1:2" s="1203" customFormat="1">
      <c r="A51" s="1201" t="s">
        <v>551</v>
      </c>
      <c r="B51" s="1202">
        <f ca="1">'预评函-3'!F4</f>
        <v>57089</v>
      </c>
    </row>
    <row r="52" spans="1:2" s="1203" customFormat="1">
      <c r="A52" s="1201" t="s">
        <v>552</v>
      </c>
      <c r="B52" s="1202">
        <f ca="1">'预评函-3'!G4</f>
        <v>8297</v>
      </c>
    </row>
    <row r="53" spans="1:2" s="1203" customFormat="1">
      <c r="A53" s="1201" t="s">
        <v>580</v>
      </c>
      <c r="B53" s="1202" t="str">
        <f ca="1">'预评函-3'!F5</f>
        <v>伍亿柒仟零捌拾玖万元整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崔锴</v>
      </c>
    </row>
    <row r="71" spans="1:2">
      <c r="A71" s="1201" t="s">
        <v>563</v>
      </c>
      <c r="B71" s="1202">
        <f ca="1">'预评函-4'!B4</f>
        <v>1120100036</v>
      </c>
    </row>
    <row r="72" spans="1:2">
      <c r="A72" s="1201" t="s">
        <v>564</v>
      </c>
      <c r="B72" s="1210" t="str">
        <f>'预评函-4'!A5</f>
        <v>郑燚</v>
      </c>
    </row>
    <row r="73" spans="1:2" s="1197" customFormat="1" ht="15" thickBot="1">
      <c r="A73" s="1204" t="s">
        <v>565</v>
      </c>
      <c r="B73" s="1205">
        <f ca="1">'预评函-4'!B5</f>
        <v>1120070131</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85" t="str">
        <f>项目基本情况!B1</f>
        <v>北京市房地产抵押价值预评估</v>
      </c>
      <c r="C37" s="3485"/>
      <c r="D37" s="3485"/>
      <c r="E37" s="3485"/>
      <c r="F37" s="3485"/>
      <c r="G37" s="3485"/>
      <c r="H37" s="3485"/>
      <c r="I37" s="3485"/>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崔锴（注册号：1120100036)、郑燚（注册号：1120070131)</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估价对象为北京市房地产，为所有。根据《国有土地使用证》[]，估价对象（分摊）出让国有建设用地使用权面积为11305.41平方米，建筑面积为68805.62平方米。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估价对象为北京市房地产,为开发建设的，该项目尚在开发建设中。根据《国有土地使用证》[]，估价对象（分摊）出让国有建设用地使用权面积为11305.41平方米，规划建筑面积为68805.62平方米。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2024年1月30日（评估专业人员实地查勘之日）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月30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9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0"/>
      <c r="C2" s="3490"/>
      <c r="D2" s="3490"/>
      <c r="E2" s="3490"/>
    </row>
    <row r="3" spans="1:5" ht="18">
      <c r="A3" s="3491" t="str">
        <f>IF(项目基本情况!B9="房地产市场价值","估价结果一览表（市场价值不需“结果表-1”）","估价结果一览表")</f>
        <v>估价结果一览表</v>
      </c>
      <c r="B3" s="3491"/>
      <c r="C3" s="3491"/>
      <c r="D3" s="3491"/>
      <c r="E3" s="3491"/>
    </row>
    <row r="4" spans="1:5" ht="19.5" thickBot="1">
      <c r="A4" s="1493"/>
      <c r="B4" s="3489" t="s">
        <v>917</v>
      </c>
      <c r="C4" s="3489"/>
      <c r="D4" s="3489"/>
      <c r="E4" s="1493"/>
    </row>
    <row r="5" spans="1:5" ht="16.5" thickTop="1">
      <c r="A5" s="1491"/>
      <c r="B5" s="3487" t="s">
        <v>909</v>
      </c>
      <c r="C5" s="1494" t="s">
        <v>910</v>
      </c>
      <c r="D5" s="850">
        <f ca="1">结果表!H101</f>
        <v>240880</v>
      </c>
      <c r="E5" s="1491"/>
    </row>
    <row r="6" spans="1:5" ht="15.75">
      <c r="A6" s="1491"/>
      <c r="B6" s="3487"/>
      <c r="C6" s="1494" t="s">
        <v>911</v>
      </c>
      <c r="D6" s="850" t="str">
        <f ca="1">NUMBERSTRING(INT(D5*10000),2)&amp;"元整"</f>
        <v>贰拾肆亿零捌佰捌拾万元整</v>
      </c>
      <c r="E6" s="1491"/>
    </row>
    <row r="7" spans="1:5" ht="15.75">
      <c r="A7" s="1491"/>
      <c r="B7" s="3492"/>
      <c r="C7" s="1495" t="s">
        <v>912</v>
      </c>
      <c r="D7" s="851">
        <f ca="1">结果表!H102</f>
        <v>35009</v>
      </c>
      <c r="E7" s="1491"/>
    </row>
    <row r="8" spans="1:5" ht="15.75">
      <c r="A8" s="1491"/>
      <c r="B8" s="3493" t="str">
        <f>结果表!E103</f>
        <v>2.估价师知悉的法定优先受偿款</v>
      </c>
      <c r="C8" s="1496" t="s">
        <v>913</v>
      </c>
      <c r="D8" s="851">
        <f>结果表!H103</f>
        <v>0</v>
      </c>
      <c r="E8" s="1491"/>
    </row>
    <row r="9" spans="1:5" ht="15.75">
      <c r="A9" s="1491"/>
      <c r="B9" s="3495"/>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86" t="str">
        <f>结果表!E107</f>
        <v>3.房地产抵押价值</v>
      </c>
      <c r="C13" s="1499" t="s">
        <v>910</v>
      </c>
      <c r="D13" s="853">
        <f ca="1">结果表!H107</f>
        <v>240880</v>
      </c>
      <c r="E13" s="1491"/>
    </row>
    <row r="14" spans="1:5" ht="15.75">
      <c r="A14" s="1491"/>
      <c r="B14" s="3487"/>
      <c r="C14" s="1494" t="s">
        <v>911</v>
      </c>
      <c r="D14" s="850" t="str">
        <f ca="1">NUMBERSTRING(INT(D13*10000),2)&amp;"元整"</f>
        <v>贰拾肆亿零捌佰捌拾万元整</v>
      </c>
      <c r="E14" s="1491"/>
    </row>
    <row r="15" spans="1:5" ht="15">
      <c r="A15" s="1491"/>
      <c r="B15" s="3492"/>
      <c r="C15" s="1495" t="s">
        <v>921</v>
      </c>
      <c r="D15" s="859">
        <f ca="1">结果表!H108</f>
        <v>35009</v>
      </c>
      <c r="E15" s="1491"/>
    </row>
    <row r="16" spans="1:5" ht="15">
      <c r="A16" s="1491"/>
      <c r="B16" s="3493" t="str">
        <f>结果表!E109</f>
        <v>——</v>
      </c>
      <c r="C16" s="1499" t="s">
        <v>922</v>
      </c>
      <c r="D16" s="1500" t="str">
        <f>结果表!H109</f>
        <v>——</v>
      </c>
      <c r="E16" s="1491"/>
    </row>
    <row r="17" spans="1:5" ht="15.75">
      <c r="A17" s="1491"/>
      <c r="B17" s="3494"/>
      <c r="C17" s="1494" t="s">
        <v>923</v>
      </c>
      <c r="D17" s="850" t="e">
        <f>NUMBERSTRING(INT(D16*10000),2)&amp;"元整"</f>
        <v>#VALUE!</v>
      </c>
      <c r="E17" s="1491"/>
    </row>
    <row r="18" spans="1:5" ht="15">
      <c r="A18" s="1491"/>
      <c r="B18" s="3495"/>
      <c r="C18" s="1495" t="s">
        <v>912</v>
      </c>
      <c r="D18" s="859" t="str">
        <f>结果表!H110</f>
        <v>——</v>
      </c>
      <c r="E18" s="1491"/>
    </row>
    <row r="19" spans="1:5" ht="15.75">
      <c r="A19" s="1491"/>
      <c r="B19" s="3486" t="str">
        <f>结果表!E111</f>
        <v>——</v>
      </c>
      <c r="C19" s="1499" t="s">
        <v>910</v>
      </c>
      <c r="D19" s="851" t="str">
        <f>结果表!H111</f>
        <v>——</v>
      </c>
      <c r="E19" s="1491"/>
    </row>
    <row r="20" spans="1:5" ht="15.75">
      <c r="A20" s="1491"/>
      <c r="B20" s="3487"/>
      <c r="C20" s="1494" t="s">
        <v>923</v>
      </c>
      <c r="D20" s="850" t="e">
        <f>NUMBERSTRING(INT(D19*10000),2)&amp;"元整"</f>
        <v>#VALUE!</v>
      </c>
      <c r="E20" s="1491"/>
    </row>
    <row r="21" spans="1:5" ht="15.75" thickBot="1">
      <c r="A21" s="1491"/>
      <c r="B21" s="3488"/>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96" t="str">
        <f>IF(项目基本情况!B9="房地产市场价值","估价结果一览表","结果表-2")</f>
        <v>结果表-2</v>
      </c>
      <c r="B1" s="3496"/>
      <c r="C1" s="3496"/>
      <c r="D1" s="3496"/>
      <c r="E1" s="3496"/>
      <c r="F1" s="3496"/>
      <c r="G1" s="3496"/>
      <c r="H1" s="3496"/>
      <c r="I1" s="3496"/>
    </row>
    <row r="2" spans="1:9" ht="30" customHeight="1" thickTop="1">
      <c r="A2" s="3497" t="s">
        <v>928</v>
      </c>
      <c r="B2" s="3497" t="s">
        <v>929</v>
      </c>
      <c r="C2" s="3497" t="s">
        <v>930</v>
      </c>
      <c r="D2" s="3497" t="str">
        <f>结果表!D116</f>
        <v>出让国有建设用地使用权价值</v>
      </c>
      <c r="E2" s="3497"/>
      <c r="F2" s="3497" t="str">
        <f>结果表!F116</f>
        <v>在建建筑物价值</v>
      </c>
      <c r="G2" s="3497"/>
      <c r="H2" s="3497" t="str">
        <f>IF(项目基本情况!B9="房地产市场价值","房地产市场价值","房地产价值")</f>
        <v>房地产价值</v>
      </c>
      <c r="I2" s="3497"/>
    </row>
    <row r="3" spans="1:9" ht="15">
      <c r="A3" s="3498"/>
      <c r="B3" s="3498"/>
      <c r="C3" s="3498"/>
      <c r="D3" s="854" t="s">
        <v>925</v>
      </c>
      <c r="E3" s="854" t="s">
        <v>931</v>
      </c>
      <c r="F3" s="854" t="s">
        <v>925</v>
      </c>
      <c r="G3" s="854" t="s">
        <v>926</v>
      </c>
      <c r="H3" s="854" t="s">
        <v>925</v>
      </c>
      <c r="I3" s="854" t="s">
        <v>926</v>
      </c>
    </row>
    <row r="4" spans="1:9" ht="15">
      <c r="A4" s="1505" t="str">
        <f>项目基本情况!S2</f>
        <v>北京市房地产</v>
      </c>
      <c r="B4" s="854">
        <f>项目基本情况!C17</f>
        <v>68805.62</v>
      </c>
      <c r="C4" s="854">
        <f>项目基本情况!C18</f>
        <v>11305.41</v>
      </c>
      <c r="D4" s="854">
        <f ca="1">结果表!D118</f>
        <v>183791</v>
      </c>
      <c r="E4" s="854">
        <f ca="1">结果表!E118</f>
        <v>26712</v>
      </c>
      <c r="F4" s="854">
        <f ca="1">结果表!F118</f>
        <v>57089</v>
      </c>
      <c r="G4" s="854">
        <f ca="1">结果表!G118</f>
        <v>8297</v>
      </c>
      <c r="H4" s="854">
        <f ca="1">结果表!H118</f>
        <v>240880</v>
      </c>
      <c r="I4" s="854">
        <f ca="1">结果表!I118</f>
        <v>35009</v>
      </c>
    </row>
    <row r="5" spans="1:9" ht="30" customHeight="1">
      <c r="A5" s="3498" t="s">
        <v>927</v>
      </c>
      <c r="B5" s="3498"/>
      <c r="C5" s="3498"/>
      <c r="D5" s="3498" t="str">
        <f ca="1">结果表!D119</f>
        <v>壹拾捌亿叁仟柒佰玖拾壹万元整</v>
      </c>
      <c r="E5" s="3498"/>
      <c r="F5" s="3498" t="str">
        <f ca="1">结果表!F119</f>
        <v>伍亿柒仟零捌拾玖万元整</v>
      </c>
      <c r="G5" s="3498"/>
      <c r="H5" s="3498" t="str">
        <f ca="1">结果表!H119</f>
        <v>贰拾肆亿零捌佰捌拾万元整</v>
      </c>
      <c r="I5" s="3498"/>
    </row>
    <row r="6" spans="1:9" ht="15.75">
      <c r="A6" s="3499" t="str">
        <f>结果表!A120</f>
        <v>估价师知悉的法定优先受偿款</v>
      </c>
      <c r="B6" s="3499"/>
      <c r="C6" s="3499"/>
      <c r="D6" s="3499">
        <f>结果表!D120</f>
        <v>0</v>
      </c>
      <c r="E6" s="3499"/>
      <c r="F6" s="3499"/>
      <c r="G6" s="3499"/>
      <c r="H6" s="3499"/>
      <c r="I6" s="3499"/>
    </row>
    <row r="7" spans="1:9" ht="15">
      <c r="A7" s="3498" t="s">
        <v>927</v>
      </c>
      <c r="B7" s="3498"/>
      <c r="C7" s="3498"/>
      <c r="D7" s="3500" t="str">
        <f>结果表!D121</f>
        <v>零元整</v>
      </c>
      <c r="E7" s="3501"/>
      <c r="F7" s="3501"/>
      <c r="G7" s="3501"/>
      <c r="H7" s="3501"/>
      <c r="I7" s="3502"/>
    </row>
    <row r="8" spans="1:9" ht="15.75">
      <c r="A8" s="3499" t="str">
        <f>结果表!A122</f>
        <v>房地产抵押价值</v>
      </c>
      <c r="B8" s="3499"/>
      <c r="C8" s="3499"/>
      <c r="D8" s="3499">
        <f ca="1">结果表!D122</f>
        <v>240880</v>
      </c>
      <c r="E8" s="3499"/>
      <c r="F8" s="3499"/>
      <c r="G8" s="3499"/>
      <c r="H8" s="3499"/>
      <c r="I8" s="3499"/>
    </row>
    <row r="9" spans="1:9" ht="15">
      <c r="A9" s="3498" t="s">
        <v>927</v>
      </c>
      <c r="B9" s="3498"/>
      <c r="C9" s="3498"/>
      <c r="D9" s="3498" t="str">
        <f ca="1">结果表!D123</f>
        <v>贰拾肆亿零捌佰捌拾万元整</v>
      </c>
      <c r="E9" s="3498"/>
      <c r="F9" s="3498"/>
      <c r="G9" s="3498"/>
      <c r="H9" s="3498"/>
      <c r="I9" s="3498"/>
    </row>
    <row r="10" spans="1:9" ht="15.75">
      <c r="A10" s="3499" t="str">
        <f>结果表!A124</f>
        <v/>
      </c>
      <c r="B10" s="3499"/>
      <c r="C10" s="3499"/>
      <c r="D10" s="3499" t="str">
        <f>结果表!D124</f>
        <v>——</v>
      </c>
      <c r="E10" s="3499"/>
      <c r="F10" s="3499"/>
      <c r="G10" s="3499"/>
      <c r="H10" s="3499"/>
      <c r="I10" s="3499"/>
    </row>
    <row r="11" spans="1:9" ht="15">
      <c r="A11" s="3498" t="s">
        <v>927</v>
      </c>
      <c r="B11" s="3498"/>
      <c r="C11" s="3498"/>
      <c r="D11" s="3498" t="e">
        <f>结果表!D125</f>
        <v>#VALUE!</v>
      </c>
      <c r="E11" s="3498"/>
      <c r="F11" s="3498"/>
      <c r="G11" s="3498"/>
      <c r="H11" s="3498"/>
      <c r="I11" s="3498"/>
    </row>
    <row r="12" spans="1:9" ht="15.75">
      <c r="A12" s="3499" t="str">
        <f>结果表!A126</f>
        <v/>
      </c>
      <c r="B12" s="3499"/>
      <c r="C12" s="3499"/>
      <c r="D12" s="3499" t="str">
        <f>结果表!D126</f>
        <v>——</v>
      </c>
      <c r="E12" s="3499"/>
      <c r="F12" s="3499"/>
      <c r="G12" s="3499"/>
      <c r="H12" s="3499"/>
      <c r="I12" s="3499"/>
    </row>
    <row r="13" spans="1:9" ht="15.75" thickBot="1">
      <c r="A13" s="3503" t="s">
        <v>927</v>
      </c>
      <c r="B13" s="3503"/>
      <c r="C13" s="3503"/>
      <c r="D13" s="3503" t="e">
        <f>结果表!D127</f>
        <v>#VALUE!</v>
      </c>
      <c r="E13" s="3503"/>
      <c r="F13" s="3503"/>
      <c r="G13" s="3503"/>
      <c r="H13" s="3503"/>
      <c r="I13" s="3503"/>
    </row>
    <row r="14" spans="1:9" ht="15" thickTop="1">
      <c r="A14" s="3504" t="s">
        <v>932</v>
      </c>
      <c r="B14" s="3504"/>
      <c r="C14" s="3504"/>
      <c r="D14" s="3504"/>
      <c r="E14" s="3504"/>
      <c r="F14" s="3504"/>
      <c r="G14" s="3504"/>
      <c r="H14" s="3504"/>
      <c r="I14" s="3504"/>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05" t="s">
        <v>949</v>
      </c>
      <c r="B1" s="3505"/>
      <c r="C1" s="3505"/>
      <c r="D1" s="3505"/>
    </row>
    <row r="2" spans="1:4" ht="18">
      <c r="A2" s="3506" t="s">
        <v>933</v>
      </c>
      <c r="B2" s="3506"/>
      <c r="C2" s="3506"/>
      <c r="D2" s="3506"/>
    </row>
    <row r="3" spans="1:4" ht="18.75">
      <c r="A3" s="1509" t="s">
        <v>934</v>
      </c>
      <c r="B3" s="1509" t="s">
        <v>935</v>
      </c>
      <c r="C3" s="1509" t="s">
        <v>936</v>
      </c>
      <c r="D3" s="1509" t="s">
        <v>937</v>
      </c>
    </row>
    <row r="4" spans="1:4" ht="56.25" customHeight="1">
      <c r="A4" s="1510" t="str">
        <f>项目基本情况!B4</f>
        <v>崔锴</v>
      </c>
      <c r="B4" s="1511">
        <f ca="1">项目基本情况!C4</f>
        <v>1120100036</v>
      </c>
      <c r="C4" s="1512"/>
      <c r="D4" s="1513" t="s">
        <v>938</v>
      </c>
    </row>
    <row r="5" spans="1:4" ht="56.25" customHeight="1">
      <c r="A5" s="1510" t="str">
        <f>项目基本情况!D4</f>
        <v>郑燚</v>
      </c>
      <c r="B5" s="1511">
        <f ca="1">项目基本情况!E4</f>
        <v>1120070131</v>
      </c>
      <c r="C5" s="1514"/>
      <c r="D5" s="1513" t="s">
        <v>938</v>
      </c>
    </row>
    <row r="6" spans="1:4" ht="18">
      <c r="A6" s="3506" t="s">
        <v>939</v>
      </c>
      <c r="B6" s="3506"/>
      <c r="C6" s="3506"/>
      <c r="D6" s="3506"/>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07" t="s">
        <v>942</v>
      </c>
      <c r="B11" s="3508"/>
      <c r="C11" s="3508"/>
      <c r="D11" s="3508"/>
    </row>
    <row r="12" spans="1:4" ht="15.75">
      <c r="A12" s="350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9"/>
      <c r="C12" s="3509"/>
      <c r="D12" s="3509"/>
    </row>
    <row r="13" spans="1:4" ht="30" customHeight="1">
      <c r="A13" s="350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9"/>
      <c r="C13" s="3509"/>
      <c r="D13" s="3509"/>
    </row>
    <row r="14" spans="1:4" ht="15.75" customHeight="1">
      <c r="A14" s="3508" t="str">
        <f>IF(项目基本情况!B8="抵押","4.本次评估估价师所知悉的法定优先受偿款情况说明如下：","——")</f>
        <v>4.本次评估估价师所知悉的法定优先受偿款情况说明如下：</v>
      </c>
      <c r="B14" s="3509"/>
      <c r="C14" s="3509"/>
      <c r="D14" s="3509"/>
    </row>
    <row r="15" spans="1:4" ht="42" customHeight="1">
      <c r="A15" s="350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08"/>
      <c r="C15" s="3508"/>
      <c r="D15" s="3508"/>
    </row>
    <row r="16" spans="1:4" ht="30" customHeight="1">
      <c r="A16" s="3511" t="s">
        <v>943</v>
      </c>
      <c r="B16" s="3511"/>
      <c r="C16" s="3511"/>
      <c r="D16" s="3511"/>
    </row>
    <row r="17" spans="1:4" ht="144" customHeight="1">
      <c r="A17" s="3511" t="s">
        <v>944</v>
      </c>
      <c r="B17" s="3511"/>
      <c r="C17" s="3511"/>
      <c r="D17" s="3511"/>
    </row>
    <row r="18" spans="1:4" ht="15.75" customHeight="1">
      <c r="A18" s="3508" t="str">
        <f>IF(项目基本情况!B8="抵押",结果表!K120,"——")</f>
        <v>故，本次评估不存在估价师知悉的法定优先受偿款</v>
      </c>
      <c r="B18" s="3508"/>
      <c r="C18" s="3508"/>
      <c r="D18" s="3508"/>
    </row>
    <row r="19" spans="1:4" ht="46.5" customHeight="1">
      <c r="A19" s="350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8"/>
      <c r="C19" s="3508"/>
      <c r="D19" s="3508"/>
    </row>
    <row r="20" spans="1:4" ht="57.75" customHeight="1">
      <c r="A20" s="350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508"/>
      <c r="C20" s="3508"/>
      <c r="D20" s="3508"/>
    </row>
    <row r="21" spans="1:4" ht="57.75" customHeight="1">
      <c r="A21" s="351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12"/>
      <c r="C21" s="3512"/>
      <c r="D21" s="3512"/>
    </row>
    <row r="22" spans="1:4" ht="18.75" customHeight="1">
      <c r="A22" s="3513" t="s">
        <v>945</v>
      </c>
      <c r="B22" s="3513"/>
      <c r="C22" s="3513"/>
      <c r="D22" s="3513"/>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10">
        <v>42551</v>
      </c>
      <c r="D31" s="351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A17" sqref="A17:H17"/>
      <selection pane="bottomLeft" activeCell="A17" sqref="A17:H17"/>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19" t="s">
        <v>956</v>
      </c>
      <c r="B15" s="3514" t="s">
        <v>109</v>
      </c>
      <c r="C15" s="3515"/>
    </row>
    <row r="16" spans="1:7" ht="13.5">
      <c r="A16" s="3520"/>
      <c r="B16" s="3514" t="s">
        <v>42</v>
      </c>
      <c r="C16" s="3515"/>
    </row>
    <row r="17" spans="1:3" ht="13.5">
      <c r="A17" s="3520"/>
      <c r="B17" s="3517" t="s">
        <v>957</v>
      </c>
      <c r="C17" s="1532" t="s">
        <v>956</v>
      </c>
    </row>
    <row r="18" spans="1:3" ht="13.5">
      <c r="A18" s="3520"/>
      <c r="B18" s="3517"/>
      <c r="C18" s="1532" t="s">
        <v>958</v>
      </c>
    </row>
    <row r="19" spans="1:3" ht="13.5">
      <c r="A19" s="3520"/>
      <c r="B19" s="3517"/>
      <c r="C19" s="1532" t="s">
        <v>959</v>
      </c>
    </row>
    <row r="20" spans="1:3" ht="13.5">
      <c r="A20" s="3521"/>
      <c r="B20" s="3516" t="s">
        <v>960</v>
      </c>
      <c r="C20" s="3515"/>
    </row>
    <row r="21" spans="1:3" ht="13.5">
      <c r="A21" s="1533" t="s">
        <v>961</v>
      </c>
      <c r="B21" s="1534"/>
      <c r="C21" s="1535"/>
    </row>
    <row r="22" spans="1:3" ht="13.5">
      <c r="A22" s="3518" t="s">
        <v>962</v>
      </c>
      <c r="B22" s="3516" t="s">
        <v>963</v>
      </c>
      <c r="C22" s="3515"/>
    </row>
    <row r="23" spans="1:3" ht="13.5">
      <c r="A23" s="3518"/>
      <c r="B23" s="3516" t="s">
        <v>964</v>
      </c>
      <c r="C23" s="3515"/>
    </row>
    <row r="24" spans="1:3" ht="13.5">
      <c r="A24" s="3518"/>
      <c r="B24" s="3516" t="s">
        <v>965</v>
      </c>
      <c r="C24" s="3515"/>
    </row>
    <row r="25" spans="1:3" ht="13.5">
      <c r="A25" s="3518"/>
      <c r="B25" s="3517" t="s">
        <v>966</v>
      </c>
      <c r="C25" s="1532" t="s">
        <v>967</v>
      </c>
    </row>
    <row r="26" spans="1:3" ht="13.5">
      <c r="A26" s="3518"/>
      <c r="B26" s="3517"/>
      <c r="C26" s="1532" t="s">
        <v>968</v>
      </c>
    </row>
    <row r="27" spans="1:3" ht="13.5">
      <c r="A27" s="3518"/>
      <c r="B27" s="3517"/>
      <c r="C27" s="1532" t="s">
        <v>969</v>
      </c>
    </row>
    <row r="28" spans="1:3" ht="13.5">
      <c r="A28" s="3518"/>
      <c r="B28" s="3517"/>
      <c r="C28" s="1532" t="s">
        <v>970</v>
      </c>
    </row>
    <row r="29" spans="1:3" ht="13.5">
      <c r="A29" s="3518"/>
      <c r="B29" s="3517"/>
      <c r="C29" s="1532" t="s">
        <v>971</v>
      </c>
    </row>
    <row r="30" spans="1:3" ht="13.5">
      <c r="A30" s="3518"/>
      <c r="B30" s="3517"/>
      <c r="C30" s="1532" t="s">
        <v>972</v>
      </c>
    </row>
    <row r="31" spans="1:3" ht="13.5">
      <c r="A31" s="3518"/>
      <c r="B31" s="3517"/>
      <c r="C31" s="1532" t="s">
        <v>973</v>
      </c>
    </row>
    <row r="32" spans="1:3" ht="13.5">
      <c r="A32" s="3518"/>
      <c r="B32" s="3517"/>
      <c r="C32" s="1532" t="s">
        <v>974</v>
      </c>
    </row>
    <row r="33" spans="1:3" ht="13.5">
      <c r="A33" s="3518"/>
      <c r="B33" s="3517"/>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A17" sqref="A17:H17"/>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45359</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2441</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22" t="s">
        <v>2160</v>
      </c>
      <c r="B17" s="3522"/>
      <c r="C17" s="3522"/>
      <c r="D17" s="3522"/>
      <c r="E17" s="3522"/>
      <c r="F17" s="3522"/>
      <c r="G17" s="3522"/>
      <c r="H17" s="3522"/>
    </row>
    <row r="18" spans="1:8" ht="24" customHeight="1">
      <c r="A18" s="3523" t="s">
        <v>2161</v>
      </c>
      <c r="B18" s="3523"/>
      <c r="C18" s="3523"/>
      <c r="D18" s="2343"/>
      <c r="E18" s="3524" t="s">
        <v>2162</v>
      </c>
      <c r="F18" s="3523"/>
      <c r="G18" s="3523"/>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2442</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41" priority="53">
      <formula>AND($C4-TODAY()&lt;30,TODAY()&lt;$C4)</formula>
    </cfRule>
  </conditionalFormatting>
  <conditionalFormatting sqref="C20:D20">
    <cfRule type="expression" dxfId="240" priority="52">
      <formula>AND($C20-TODAY()&lt;30,TODAY()&lt;$C20)</formula>
    </cfRule>
  </conditionalFormatting>
  <conditionalFormatting sqref="C20:D20 G4 C4:D5 C13:D13">
    <cfRule type="cellIs" dxfId="239" priority="54" stopIfTrue="1" operator="lessThan">
      <formula>$B$2</formula>
    </cfRule>
  </conditionalFormatting>
  <conditionalFormatting sqref="G5 G7 G9">
    <cfRule type="cellIs" dxfId="238" priority="51" stopIfTrue="1" operator="lessThan">
      <formula>$B$2</formula>
    </cfRule>
  </conditionalFormatting>
  <conditionalFormatting sqref="C6:D6 D14 D16">
    <cfRule type="expression" dxfId="237" priority="49">
      <formula>AND($C6-TODAY()&lt;30,TODAY()&lt;$C6)</formula>
    </cfRule>
  </conditionalFormatting>
  <conditionalFormatting sqref="G6 G8 G10 C6:D6 D7:D12 D14 D16">
    <cfRule type="cellIs" dxfId="236" priority="50" stopIfTrue="1" operator="lessThan">
      <formula>$B$2</formula>
    </cfRule>
  </conditionalFormatting>
  <conditionalFormatting sqref="D12">
    <cfRule type="expression" dxfId="235" priority="47">
      <formula>AND($C12-TODAY()&lt;30,TODAY()&lt;$C12)</formula>
    </cfRule>
  </conditionalFormatting>
  <conditionalFormatting sqref="D12">
    <cfRule type="cellIs" dxfId="234" priority="48" stopIfTrue="1" operator="lessThan">
      <formula>$B$2</formula>
    </cfRule>
  </conditionalFormatting>
  <conditionalFormatting sqref="C13:D13">
    <cfRule type="expression" dxfId="233" priority="45">
      <formula>AND($C13-TODAY()&lt;30,TODAY()&lt;$C13)</formula>
    </cfRule>
  </conditionalFormatting>
  <conditionalFormatting sqref="C13:D13">
    <cfRule type="cellIs" dxfId="232" priority="46" stopIfTrue="1" operator="lessThan">
      <formula>$B$2</formula>
    </cfRule>
  </conditionalFormatting>
  <conditionalFormatting sqref="D14">
    <cfRule type="expression" dxfId="231" priority="43">
      <formula>AND($C14-TODAY()&lt;30,TODAY()&lt;$C14)</formula>
    </cfRule>
  </conditionalFormatting>
  <conditionalFormatting sqref="D14">
    <cfRule type="cellIs" dxfId="230" priority="44" stopIfTrue="1" operator="lessThan">
      <formula>$B$2</formula>
    </cfRule>
  </conditionalFormatting>
  <conditionalFormatting sqref="G13">
    <cfRule type="cellIs" dxfId="229" priority="42" stopIfTrue="1" operator="lessThan">
      <formula>$B$2</formula>
    </cfRule>
  </conditionalFormatting>
  <conditionalFormatting sqref="B4:B11 F4:F11 B13 F13:F14">
    <cfRule type="cellIs" dxfId="228" priority="41" stopIfTrue="1" operator="equal">
      <formula>"已过期"</formula>
    </cfRule>
  </conditionalFormatting>
  <conditionalFormatting sqref="C7">
    <cfRule type="cellIs" dxfId="227" priority="38" stopIfTrue="1" operator="lessThan">
      <formula>$B$2</formula>
    </cfRule>
  </conditionalFormatting>
  <conditionalFormatting sqref="C7">
    <cfRule type="expression" dxfId="226" priority="37">
      <formula>AND($C7-TODAY()&lt;30,TODAY()&lt;$C7)</formula>
    </cfRule>
  </conditionalFormatting>
  <conditionalFormatting sqref="C8">
    <cfRule type="expression" dxfId="225" priority="35">
      <formula>AND($C8-TODAY()&lt;30,TODAY()&lt;$C8)</formula>
    </cfRule>
  </conditionalFormatting>
  <conditionalFormatting sqref="C8">
    <cfRule type="cellIs" dxfId="224" priority="36" stopIfTrue="1" operator="lessThan">
      <formula>$B$2</formula>
    </cfRule>
  </conditionalFormatting>
  <conditionalFormatting sqref="C11">
    <cfRule type="expression" dxfId="223" priority="33">
      <formula>AND($C11-TODAY()&lt;30,TODAY()&lt;$C11)</formula>
    </cfRule>
  </conditionalFormatting>
  <conditionalFormatting sqref="C11">
    <cfRule type="cellIs" dxfId="222" priority="34" stopIfTrue="1" operator="lessThan">
      <formula>$B$2</formula>
    </cfRule>
  </conditionalFormatting>
  <conditionalFormatting sqref="A16:C16">
    <cfRule type="cellIs" dxfId="221" priority="32" stopIfTrue="1" operator="equal">
      <formula>"已过期"</formula>
    </cfRule>
  </conditionalFormatting>
  <conditionalFormatting sqref="E16:G16">
    <cfRule type="cellIs" dxfId="220" priority="31" stopIfTrue="1" operator="equal">
      <formula>"已过期"</formula>
    </cfRule>
  </conditionalFormatting>
  <conditionalFormatting sqref="G11">
    <cfRule type="cellIs" dxfId="219" priority="30" stopIfTrue="1" operator="lessThan">
      <formula>$B$2</formula>
    </cfRule>
  </conditionalFormatting>
  <conditionalFormatting sqref="F12">
    <cfRule type="cellIs" dxfId="218" priority="29" stopIfTrue="1" operator="equal">
      <formula>"已过期"</formula>
    </cfRule>
  </conditionalFormatting>
  <conditionalFormatting sqref="G12">
    <cfRule type="cellIs" dxfId="217" priority="28" stopIfTrue="1" operator="lessThan">
      <formula>$B$2</formula>
    </cfRule>
  </conditionalFormatting>
  <conditionalFormatting sqref="C12">
    <cfRule type="cellIs" dxfId="216" priority="27" stopIfTrue="1" operator="lessThan">
      <formula>$B$2</formula>
    </cfRule>
  </conditionalFormatting>
  <conditionalFormatting sqref="C12">
    <cfRule type="expression" dxfId="215" priority="25">
      <formula>AND($C12-TODAY()&lt;30,TODAY()&lt;$C12)</formula>
    </cfRule>
  </conditionalFormatting>
  <conditionalFormatting sqref="C12">
    <cfRule type="cellIs" dxfId="214" priority="26" stopIfTrue="1" operator="lessThan">
      <formula>$B$2</formula>
    </cfRule>
  </conditionalFormatting>
  <conditionalFormatting sqref="B12">
    <cfRule type="cellIs" dxfId="213" priority="24" stopIfTrue="1" operator="equal">
      <formula>"已过期"</formula>
    </cfRule>
  </conditionalFormatting>
  <conditionalFormatting sqref="C9:C10">
    <cfRule type="expression" dxfId="212" priority="22">
      <formula>AND($C9-TODAY()&lt;30,TODAY()&lt;$C9)</formula>
    </cfRule>
  </conditionalFormatting>
  <conditionalFormatting sqref="C9:C10">
    <cfRule type="cellIs" dxfId="211" priority="23" stopIfTrue="1" operator="lessThan">
      <formula>$B$2</formula>
    </cfRule>
  </conditionalFormatting>
  <conditionalFormatting sqref="G21">
    <cfRule type="expression" dxfId="210" priority="20" stopIfTrue="1">
      <formula>AND(#REF!-TODAY()&lt;30,TODAY()&lt;#REF!)</formula>
    </cfRule>
  </conditionalFormatting>
  <conditionalFormatting sqref="G21">
    <cfRule type="cellIs" dxfId="209" priority="21" stopIfTrue="1" operator="lessThan">
      <formula>$B$2</formula>
    </cfRule>
  </conditionalFormatting>
  <conditionalFormatting sqref="C14">
    <cfRule type="expression" dxfId="208" priority="18">
      <formula>AND($C14-TODAY()&lt;30,TODAY()&lt;$C14)</formula>
    </cfRule>
  </conditionalFormatting>
  <conditionalFormatting sqref="C14">
    <cfRule type="cellIs" dxfId="207" priority="19" stopIfTrue="1" operator="lessThan">
      <formula>$B$2</formula>
    </cfRule>
  </conditionalFormatting>
  <conditionalFormatting sqref="C14">
    <cfRule type="expression" dxfId="206" priority="16">
      <formula>AND($C14-TODAY()&lt;30,TODAY()&lt;$C14)</formula>
    </cfRule>
  </conditionalFormatting>
  <conditionalFormatting sqref="C14">
    <cfRule type="cellIs" dxfId="205" priority="17" stopIfTrue="1" operator="lessThan">
      <formula>$B$2</formula>
    </cfRule>
  </conditionalFormatting>
  <conditionalFormatting sqref="B14">
    <cfRule type="cellIs" dxfId="204" priority="15" stopIfTrue="1" operator="equal">
      <formula>"已过期"</formula>
    </cfRule>
  </conditionalFormatting>
  <conditionalFormatting sqref="G14">
    <cfRule type="cellIs" dxfId="203" priority="14" stopIfTrue="1" operator="lessThan">
      <formula>$B$2</formula>
    </cfRule>
  </conditionalFormatting>
  <conditionalFormatting sqref="D15">
    <cfRule type="expression" dxfId="202" priority="12">
      <formula>AND($C15-TODAY()&lt;30,TODAY()&lt;$C15)</formula>
    </cfRule>
  </conditionalFormatting>
  <conditionalFormatting sqref="D15">
    <cfRule type="cellIs" dxfId="201" priority="13" stopIfTrue="1" operator="lessThan">
      <formula>$B$2</formula>
    </cfRule>
  </conditionalFormatting>
  <conditionalFormatting sqref="D15">
    <cfRule type="expression" dxfId="200" priority="10">
      <formula>AND($C15-TODAY()&lt;30,TODAY()&lt;$C15)</formula>
    </cfRule>
  </conditionalFormatting>
  <conditionalFormatting sqref="D15">
    <cfRule type="cellIs" dxfId="199" priority="11" stopIfTrue="1" operator="lessThan">
      <formula>$B$2</formula>
    </cfRule>
  </conditionalFormatting>
  <conditionalFormatting sqref="F15">
    <cfRule type="cellIs" dxfId="198" priority="9" stopIfTrue="1" operator="equal">
      <formula>"已过期"</formula>
    </cfRule>
  </conditionalFormatting>
  <conditionalFormatting sqref="C15">
    <cfRule type="expression" dxfId="197" priority="7">
      <formula>AND($C15-TODAY()&lt;30,TODAY()&lt;$C15)</formula>
    </cfRule>
  </conditionalFormatting>
  <conditionalFormatting sqref="C15">
    <cfRule type="cellIs" dxfId="196" priority="8" stopIfTrue="1" operator="lessThan">
      <formula>$B$2</formula>
    </cfRule>
  </conditionalFormatting>
  <conditionalFormatting sqref="C15">
    <cfRule type="expression" dxfId="195" priority="5">
      <formula>AND($C15-TODAY()&lt;30,TODAY()&lt;$C15)</formula>
    </cfRule>
  </conditionalFormatting>
  <conditionalFormatting sqref="C15">
    <cfRule type="cellIs" dxfId="194" priority="6" stopIfTrue="1" operator="lessThan">
      <formula>$B$2</formula>
    </cfRule>
  </conditionalFormatting>
  <conditionalFormatting sqref="B15">
    <cfRule type="cellIs" dxfId="193" priority="4" stopIfTrue="1" operator="equal">
      <formula>"已过期"</formula>
    </cfRule>
  </conditionalFormatting>
  <conditionalFormatting sqref="G15">
    <cfRule type="cellIs" dxfId="192" priority="3" stopIfTrue="1" operator="lessThan">
      <formula>$B$2</formula>
    </cfRule>
  </conditionalFormatting>
  <conditionalFormatting sqref="G20">
    <cfRule type="expression" dxfId="191" priority="1" stopIfTrue="1">
      <formula>AND(#REF!-TODAY()&lt;30,TODAY()&lt;#REF!)</formula>
    </cfRule>
  </conditionalFormatting>
  <conditionalFormatting sqref="G20">
    <cfRule type="cellIs" dxfId="19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20" sqref="C20"/>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2581</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2582</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2293</v>
      </c>
      <c r="C17" s="1547"/>
    </row>
    <row r="18" spans="1:3">
      <c r="A18" s="1546" t="s">
        <v>1046</v>
      </c>
      <c r="B18" s="1546" t="s">
        <v>2437</v>
      </c>
      <c r="C18" s="1547"/>
    </row>
    <row r="19" spans="1:3">
      <c r="A19" s="1546" t="s">
        <v>1047</v>
      </c>
      <c r="B19" s="1546" t="s">
        <v>3566</v>
      </c>
      <c r="C19" s="1547"/>
    </row>
    <row r="20" spans="1:3">
      <c r="A20" s="1546" t="s">
        <v>1048</v>
      </c>
      <c r="B20" s="1546" t="s">
        <v>3569</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25"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月30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5"/>
      <c r="B54" s="1554" t="s">
        <v>385</v>
      </c>
      <c r="C54" s="1551" t="s">
        <v>583</v>
      </c>
    </row>
    <row r="55" spans="1:4">
      <c r="A55" s="3525"/>
      <c r="B55" s="1554" t="s">
        <v>386</v>
      </c>
      <c r="C55" s="1551" t="s">
        <v>584</v>
      </c>
    </row>
    <row r="56" spans="1:4">
      <c r="A56" s="3525"/>
      <c r="B56" s="1554" t="s">
        <v>387</v>
      </c>
      <c r="C56" s="1551" t="s">
        <v>588</v>
      </c>
    </row>
    <row r="57" spans="1:4">
      <c r="A57" s="3525"/>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B6" sqref="B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2504</v>
      </c>
      <c r="B1" s="3014"/>
      <c r="C1" s="3014"/>
      <c r="D1" s="3014"/>
      <c r="E1" s="3014"/>
      <c r="F1" s="3015"/>
      <c r="I1" s="3437" t="s">
        <v>2597</v>
      </c>
      <c r="J1" s="3226"/>
      <c r="K1" s="3226"/>
      <c r="L1" s="3226"/>
      <c r="M1" s="3226"/>
      <c r="N1" s="3438"/>
      <c r="O1" s="3438"/>
      <c r="P1" s="3438"/>
      <c r="Q1" s="3438"/>
      <c r="R1" s="3438"/>
    </row>
    <row r="2" spans="1:18">
      <c r="A2" s="3017"/>
      <c r="B2" s="3018"/>
      <c r="C2" s="3018"/>
      <c r="D2" s="3018"/>
      <c r="E2" s="3018"/>
      <c r="F2" s="3019"/>
      <c r="I2" s="3526" t="s">
        <v>2584</v>
      </c>
      <c r="J2" s="3526"/>
      <c r="K2" s="3526"/>
      <c r="L2" s="3526"/>
      <c r="M2" s="3526"/>
      <c r="N2" s="3526"/>
      <c r="O2" s="3526"/>
      <c r="P2" s="3526"/>
      <c r="Q2" s="3526"/>
      <c r="R2" s="3526"/>
    </row>
    <row r="3" spans="1:18">
      <c r="A3" s="3020" t="s">
        <v>2505</v>
      </c>
      <c r="B3" s="3021">
        <f>项目基本情况!D3</f>
        <v>45321</v>
      </c>
      <c r="C3" s="3023"/>
      <c r="D3" s="3023"/>
      <c r="E3" s="3023"/>
      <c r="F3" s="3019"/>
      <c r="I3" s="3439"/>
      <c r="J3" s="3439" t="s">
        <v>2588</v>
      </c>
      <c r="K3" s="3439" t="s">
        <v>2589</v>
      </c>
      <c r="L3" s="3439" t="s">
        <v>2590</v>
      </c>
      <c r="M3" s="3439" t="s">
        <v>2591</v>
      </c>
      <c r="N3" s="3440" t="s">
        <v>2592</v>
      </c>
      <c r="O3" s="3440" t="s">
        <v>2593</v>
      </c>
      <c r="P3" s="3440" t="s">
        <v>2594</v>
      </c>
      <c r="Q3" s="3440" t="s">
        <v>2595</v>
      </c>
      <c r="R3" s="3440" t="s">
        <v>2596</v>
      </c>
    </row>
    <row r="4" spans="1:18">
      <c r="A4" s="3020" t="s">
        <v>2506</v>
      </c>
      <c r="B4" s="3023" t="s">
        <v>2507</v>
      </c>
      <c r="C4" s="3023" t="s">
        <v>2508</v>
      </c>
      <c r="D4" s="3023" t="s">
        <v>2509</v>
      </c>
      <c r="E4" s="3023" t="s">
        <v>2510</v>
      </c>
      <c r="F4" s="3019"/>
      <c r="I4" s="3439" t="s">
        <v>2585</v>
      </c>
      <c r="J4" s="3439">
        <v>80</v>
      </c>
      <c r="K4" s="3439">
        <v>70</v>
      </c>
      <c r="L4" s="3439">
        <v>20</v>
      </c>
      <c r="M4" s="3439">
        <v>30</v>
      </c>
      <c r="N4" s="3023">
        <v>45</v>
      </c>
      <c r="O4" s="3023">
        <v>60</v>
      </c>
      <c r="P4" s="3023">
        <v>50</v>
      </c>
      <c r="Q4" s="3023">
        <v>20</v>
      </c>
      <c r="R4" s="3023">
        <v>375</v>
      </c>
    </row>
    <row r="5" spans="1:18">
      <c r="A5" s="3024">
        <v>40</v>
      </c>
      <c r="B5" s="3021">
        <v>51866</v>
      </c>
      <c r="C5" s="3023">
        <f>ROUNDDOWN(MIN((B5-B3)/365,A5),2)</f>
        <v>17.93</v>
      </c>
      <c r="D5" s="3025">
        <f>IF(ISERROR(ROUND(POWER(1+E5,A5-C5)*(POWER(1+E5,C5)-1)/(POWER(1+E5,A5)-1),3)),0,ROUND(POWER(1+E5,A5-C5)*(POWER(1+E5,C5)-1)/(POWER(1+E5,A5)-1),4))</f>
        <v>0.63790000000000002</v>
      </c>
      <c r="E5" s="3026">
        <v>0.04</v>
      </c>
      <c r="F5" s="3019"/>
      <c r="I5" s="3439" t="s">
        <v>2586</v>
      </c>
      <c r="J5" s="3439">
        <v>70</v>
      </c>
      <c r="K5" s="3439">
        <v>60</v>
      </c>
      <c r="L5" s="3439">
        <v>15</v>
      </c>
      <c r="M5" s="3439">
        <v>25</v>
      </c>
      <c r="N5" s="3023">
        <v>40</v>
      </c>
      <c r="O5" s="3023">
        <v>50</v>
      </c>
      <c r="P5" s="3023">
        <v>40</v>
      </c>
      <c r="Q5" s="3023">
        <v>15</v>
      </c>
      <c r="R5" s="3023">
        <v>315</v>
      </c>
    </row>
    <row r="6" spans="1:18">
      <c r="A6" s="3024">
        <v>50</v>
      </c>
      <c r="B6" s="3021">
        <v>45657</v>
      </c>
      <c r="C6" s="3023">
        <f>ROUNDDOWN(MIN((B6-B3)/365,A6),2)</f>
        <v>0.92</v>
      </c>
      <c r="D6" s="3025">
        <f>IF(ISERROR(ROUND(POWER(1+E6,A6-C6)*(POWER(1+E6,C6)-1)/(POWER(1+E6,A6)-1),3)),0,ROUND(POWER(1+E6,A6-C6)*(POWER(1+E6,C6)-1)/(POWER(1+E6,A6)-1),4))</f>
        <v>4.1200000000000001E-2</v>
      </c>
      <c r="E6" s="3026">
        <v>0.04</v>
      </c>
      <c r="F6" s="3019"/>
      <c r="I6" s="3439" t="s">
        <v>2587</v>
      </c>
      <c r="J6" s="3439">
        <v>60</v>
      </c>
      <c r="K6" s="3439">
        <v>50</v>
      </c>
      <c r="L6" s="3439">
        <v>10</v>
      </c>
      <c r="M6" s="3439">
        <v>20</v>
      </c>
      <c r="N6" s="3023">
        <v>35</v>
      </c>
      <c r="O6" s="3023">
        <v>40</v>
      </c>
      <c r="P6" s="3023">
        <v>30</v>
      </c>
      <c r="Q6" s="3023">
        <v>10</v>
      </c>
      <c r="R6" s="3023">
        <v>255</v>
      </c>
    </row>
    <row r="7" spans="1:18">
      <c r="A7" s="3024">
        <v>70</v>
      </c>
      <c r="B7" s="3021">
        <v>57333</v>
      </c>
      <c r="C7" s="3023">
        <f>ROUNDDOWN(MIN((B7-B3)/365,A7),2)</f>
        <v>32.9</v>
      </c>
      <c r="D7" s="3025">
        <f>IF(ISERROR(ROUND(POWER(1+E7,A7-C7)*(POWER(1+E7,C7)-1)/(POWER(1+E7,A7)-1),3)),0,ROUND(POWER(1+E7,A7-C7)*(POWER(1+E7,C7)-1)/(POWER(1+E7,A7)-1),4))</f>
        <v>0.77459999999999996</v>
      </c>
      <c r="E7" s="3026">
        <v>0.04</v>
      </c>
      <c r="F7" s="3019"/>
    </row>
    <row r="8" spans="1:18">
      <c r="A8" s="3017"/>
      <c r="B8" s="3018"/>
      <c r="C8" s="3018"/>
      <c r="D8" s="3018"/>
      <c r="E8" s="3018"/>
      <c r="F8" s="3019"/>
    </row>
    <row r="9" spans="1:18">
      <c r="A9" s="3020" t="s">
        <v>2511</v>
      </c>
      <c r="B9" s="3023"/>
      <c r="C9" s="3023"/>
      <c r="D9" s="3023"/>
      <c r="E9" s="3023"/>
      <c r="F9" s="3027"/>
    </row>
    <row r="10" spans="1:18">
      <c r="A10" s="3020" t="s">
        <v>2512</v>
      </c>
      <c r="B10" s="3023"/>
      <c r="C10" s="3023"/>
      <c r="D10" s="3023" t="s">
        <v>2510</v>
      </c>
      <c r="E10" s="3023"/>
      <c r="F10" s="3027" t="s">
        <v>2509</v>
      </c>
    </row>
    <row r="11" spans="1:18">
      <c r="A11" s="3020" t="s">
        <v>2513</v>
      </c>
      <c r="B11" s="3028">
        <v>70</v>
      </c>
      <c r="C11" s="3023" t="s">
        <v>2514</v>
      </c>
      <c r="D11" s="3029">
        <v>4.4999999999999998E-2</v>
      </c>
      <c r="E11" s="3023" t="s">
        <v>2515</v>
      </c>
      <c r="F11" s="3030">
        <f>ROUND(1-(1/(POWER(1+D11,B11))),4)</f>
        <v>0.95409999999999995</v>
      </c>
    </row>
    <row r="12" spans="1:18">
      <c r="A12" s="3020" t="s">
        <v>2516</v>
      </c>
      <c r="B12" s="3028">
        <v>40</v>
      </c>
      <c r="C12" s="3023" t="s">
        <v>2517</v>
      </c>
      <c r="D12" s="3029">
        <v>4.4999999999999998E-2</v>
      </c>
      <c r="E12" s="3023" t="s">
        <v>2518</v>
      </c>
      <c r="F12" s="3030">
        <f>ROUND(1-(1/(POWER(1+D12,B12))),4)</f>
        <v>0.82809999999999995</v>
      </c>
    </row>
    <row r="13" spans="1:18">
      <c r="A13" s="3020" t="s">
        <v>2519</v>
      </c>
      <c r="B13" s="3023"/>
      <c r="C13" s="3023"/>
      <c r="D13" s="3018"/>
      <c r="E13" s="3018"/>
      <c r="F13" s="3019"/>
    </row>
    <row r="14" spans="1:18">
      <c r="A14" s="3020" t="s">
        <v>2520</v>
      </c>
      <c r="B14" s="3028">
        <v>5000</v>
      </c>
      <c r="C14" s="3022"/>
      <c r="D14" s="3018"/>
      <c r="E14" s="3018"/>
      <c r="F14" s="3019"/>
    </row>
    <row r="15" spans="1:18">
      <c r="A15" s="3020" t="s">
        <v>2521</v>
      </c>
      <c r="B15" s="3023">
        <f>ROUND(B14*F12/F11,2)</f>
        <v>4339.6899999999996</v>
      </c>
      <c r="C15" s="3023">
        <f>ROUND(F12/F11,4)</f>
        <v>0.8679</v>
      </c>
      <c r="D15" s="3018"/>
      <c r="E15" s="3018"/>
      <c r="F15" s="3019"/>
    </row>
    <row r="16" spans="1:18">
      <c r="A16" s="3020" t="s">
        <v>2522</v>
      </c>
      <c r="B16" s="3023"/>
      <c r="C16" s="3023"/>
      <c r="D16" s="3018"/>
      <c r="E16" s="3018"/>
      <c r="F16" s="3019"/>
    </row>
    <row r="17" spans="1:13">
      <c r="A17" s="3020" t="s">
        <v>2521</v>
      </c>
      <c r="B17" s="3029">
        <v>4810</v>
      </c>
      <c r="C17" s="3022"/>
      <c r="D17" s="3018"/>
      <c r="E17" s="3018"/>
      <c r="F17" s="3019"/>
    </row>
    <row r="18" spans="1:13" ht="14.25" thickBot="1">
      <c r="A18" s="3031" t="s">
        <v>2520</v>
      </c>
      <c r="B18" s="3032">
        <f>ROUND(B17*F11/F12,2)</f>
        <v>5541.87</v>
      </c>
      <c r="C18" s="3032">
        <f>ROUND(F11/F12,4)</f>
        <v>1.1521999999999999</v>
      </c>
      <c r="D18" s="3033"/>
      <c r="E18" s="3033"/>
      <c r="F18" s="3034"/>
    </row>
    <row r="19" spans="1:13" ht="14.25" thickBot="1"/>
    <row r="20" spans="1:13" s="3069" customFormat="1" ht="14.25" thickTop="1">
      <c r="A20" s="3066" t="s">
        <v>2523</v>
      </c>
      <c r="B20" s="3067"/>
      <c r="C20" s="3067"/>
      <c r="D20" s="3067"/>
      <c r="E20" s="3067"/>
      <c r="F20" s="3067"/>
      <c r="G20" s="3068"/>
      <c r="I20" s="3070" t="s">
        <v>2568</v>
      </c>
      <c r="J20" s="3070" t="s">
        <v>2573</v>
      </c>
      <c r="K20" s="3070"/>
      <c r="L20" s="3070"/>
      <c r="M20" s="3070"/>
    </row>
    <row r="21" spans="1:13">
      <c r="A21" s="3035"/>
      <c r="B21" s="3036" t="s">
        <v>2524</v>
      </c>
      <c r="C21" s="3036" t="s">
        <v>2525</v>
      </c>
      <c r="D21" s="3036" t="s">
        <v>2526</v>
      </c>
      <c r="E21" s="3036" t="s">
        <v>2527</v>
      </c>
      <c r="F21" s="3036" t="s">
        <v>2528</v>
      </c>
      <c r="G21" s="3037" t="s">
        <v>2529</v>
      </c>
      <c r="I21" s="3058">
        <v>5</v>
      </c>
      <c r="J21" s="3058">
        <v>54.2</v>
      </c>
    </row>
    <row r="22" spans="1:13">
      <c r="A22" s="3035" t="s">
        <v>2530</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2531</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2571</v>
      </c>
      <c r="M23" s="3058" t="s">
        <v>2572</v>
      </c>
    </row>
    <row r="24" spans="1:13">
      <c r="A24" s="3035" t="s">
        <v>2532</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2570</v>
      </c>
      <c r="M24" s="3058">
        <v>10</v>
      </c>
    </row>
    <row r="25" spans="1:13">
      <c r="A25" s="3035" t="s">
        <v>2533</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2574</v>
      </c>
      <c r="M25" s="3058">
        <v>8</v>
      </c>
    </row>
    <row r="26" spans="1:13">
      <c r="A26" s="3040"/>
      <c r="B26" s="3041"/>
      <c r="C26" s="3041"/>
      <c r="D26" s="3041"/>
      <c r="E26" s="3041"/>
      <c r="F26" s="3041"/>
      <c r="G26" s="3042"/>
      <c r="I26" s="3058">
        <v>30</v>
      </c>
      <c r="J26" s="3058">
        <v>90.5</v>
      </c>
      <c r="K26" s="3058">
        <f t="shared" si="2"/>
        <v>4.2000000000000028</v>
      </c>
      <c r="L26" s="3058" t="s">
        <v>2575</v>
      </c>
      <c r="M26" s="3058">
        <v>5</v>
      </c>
    </row>
    <row r="27" spans="1:13">
      <c r="A27" s="3040" t="s">
        <v>2534</v>
      </c>
      <c r="B27" s="3041"/>
      <c r="C27" s="3041"/>
      <c r="D27" s="3041"/>
      <c r="E27" s="3041"/>
      <c r="F27" s="3041"/>
      <c r="G27" s="3042"/>
      <c r="I27" s="3058">
        <v>35</v>
      </c>
      <c r="J27" s="3058">
        <v>93.8</v>
      </c>
      <c r="K27" s="3058">
        <f t="shared" si="2"/>
        <v>3.2999999999999972</v>
      </c>
      <c r="L27" s="3058" t="s">
        <v>2576</v>
      </c>
      <c r="M27" s="3058">
        <v>3</v>
      </c>
    </row>
    <row r="28" spans="1:13">
      <c r="A28" s="3040" t="s">
        <v>2535</v>
      </c>
      <c r="B28" s="3041"/>
      <c r="C28" s="3041"/>
      <c r="D28" s="3041"/>
      <c r="E28" s="3041"/>
      <c r="F28" s="3041"/>
      <c r="G28" s="3042"/>
      <c r="I28" s="3058">
        <v>40</v>
      </c>
      <c r="J28" s="3058">
        <v>96.4</v>
      </c>
      <c r="K28" s="3058">
        <f t="shared" si="2"/>
        <v>2.6000000000000085</v>
      </c>
      <c r="L28" s="3058" t="s">
        <v>2577</v>
      </c>
      <c r="M28" s="3058">
        <v>2</v>
      </c>
    </row>
    <row r="29" spans="1:13">
      <c r="A29" s="3040" t="s">
        <v>2536</v>
      </c>
      <c r="B29" s="3041"/>
      <c r="C29" s="3041"/>
      <c r="D29" s="3041"/>
      <c r="E29" s="3041"/>
      <c r="F29" s="3041"/>
      <c r="G29" s="3042"/>
      <c r="I29" s="3058">
        <v>45</v>
      </c>
      <c r="J29" s="3058">
        <v>98.4</v>
      </c>
      <c r="K29" s="3058">
        <f t="shared" si="2"/>
        <v>2</v>
      </c>
    </row>
    <row r="30" spans="1:13">
      <c r="A30" s="3040" t="s">
        <v>2537</v>
      </c>
      <c r="B30" s="3041"/>
      <c r="C30" s="3041"/>
      <c r="D30" s="3041"/>
      <c r="E30" s="3041"/>
      <c r="F30" s="3041"/>
      <c r="G30" s="3042"/>
      <c r="I30" s="3058">
        <v>50</v>
      </c>
      <c r="J30" s="3058">
        <v>100</v>
      </c>
      <c r="K30" s="3058">
        <f t="shared" si="2"/>
        <v>1.5999999999999943</v>
      </c>
    </row>
    <row r="31" spans="1:13">
      <c r="A31" s="3040" t="s">
        <v>2538</v>
      </c>
      <c r="B31" s="3041"/>
      <c r="C31" s="3041"/>
      <c r="D31" s="3041"/>
      <c r="E31" s="3041"/>
      <c r="F31" s="3041"/>
      <c r="G31" s="3042"/>
      <c r="I31" s="3058" t="s">
        <v>2569</v>
      </c>
    </row>
    <row r="32" spans="1:13">
      <c r="A32" s="3040" t="s">
        <v>2539</v>
      </c>
      <c r="B32" s="3041"/>
      <c r="C32" s="3041"/>
      <c r="D32" s="3041"/>
      <c r="E32" s="3041"/>
      <c r="F32" s="3041"/>
      <c r="G32" s="3042"/>
    </row>
    <row r="33" spans="1:13">
      <c r="A33" s="3040" t="s">
        <v>2540</v>
      </c>
      <c r="B33" s="3041"/>
      <c r="C33" s="3041"/>
      <c r="D33" s="3041"/>
      <c r="E33" s="3041"/>
      <c r="F33" s="3041"/>
      <c r="G33" s="3042"/>
      <c r="I33" s="3058" t="s">
        <v>2568</v>
      </c>
      <c r="J33" s="3058" t="s">
        <v>2578</v>
      </c>
    </row>
    <row r="34" spans="1:13">
      <c r="A34" s="3040" t="s">
        <v>2541</v>
      </c>
      <c r="B34" s="3041"/>
      <c r="C34" s="3041"/>
      <c r="D34" s="3041"/>
      <c r="E34" s="3041"/>
      <c r="F34" s="3041"/>
      <c r="G34" s="3042"/>
      <c r="I34" s="3058">
        <v>5</v>
      </c>
      <c r="J34" s="3058">
        <v>55.1</v>
      </c>
    </row>
    <row r="35" spans="1:13">
      <c r="A35" s="3040" t="s">
        <v>2542</v>
      </c>
      <c r="B35" s="3041"/>
      <c r="C35" s="3041"/>
      <c r="D35" s="3041"/>
      <c r="E35" s="3041"/>
      <c r="F35" s="3041"/>
      <c r="G35" s="3042"/>
      <c r="I35" s="3058">
        <v>10</v>
      </c>
      <c r="J35" s="3058">
        <v>67</v>
      </c>
      <c r="K35" s="3058">
        <f>J35-J34</f>
        <v>11.899999999999999</v>
      </c>
    </row>
    <row r="36" spans="1:13">
      <c r="A36" s="3040" t="s">
        <v>2543</v>
      </c>
      <c r="B36" s="3041"/>
      <c r="C36" s="3041"/>
      <c r="D36" s="3041"/>
      <c r="E36" s="3041"/>
      <c r="F36" s="3041"/>
      <c r="G36" s="3042"/>
      <c r="I36" s="3058">
        <v>15</v>
      </c>
      <c r="J36" s="3058">
        <v>76.3</v>
      </c>
      <c r="K36" s="3058">
        <f t="shared" ref="K36:K41" si="3">J36-J35</f>
        <v>9.2999999999999972</v>
      </c>
      <c r="L36" s="3058" t="s">
        <v>2571</v>
      </c>
      <c r="M36" s="3058" t="s">
        <v>2572</v>
      </c>
    </row>
    <row r="37" spans="1:13">
      <c r="A37" s="3040" t="s">
        <v>2544</v>
      </c>
      <c r="B37" s="3041"/>
      <c r="C37" s="3041"/>
      <c r="D37" s="3041"/>
      <c r="E37" s="3041"/>
      <c r="F37" s="3041"/>
      <c r="G37" s="3042"/>
      <c r="I37" s="3058">
        <v>20</v>
      </c>
      <c r="J37" s="3058">
        <v>83.6</v>
      </c>
      <c r="K37" s="3058">
        <f t="shared" si="3"/>
        <v>7.2999999999999972</v>
      </c>
      <c r="L37" s="3058" t="s">
        <v>2570</v>
      </c>
      <c r="M37" s="3058">
        <v>10</v>
      </c>
    </row>
    <row r="38" spans="1:13">
      <c r="A38" s="3040" t="s">
        <v>2545</v>
      </c>
      <c r="B38" s="3041"/>
      <c r="C38" s="3041"/>
      <c r="D38" s="3041"/>
      <c r="E38" s="3041"/>
      <c r="F38" s="3041"/>
      <c r="G38" s="3042"/>
      <c r="I38" s="3058">
        <v>25</v>
      </c>
      <c r="J38" s="3058">
        <v>89.3</v>
      </c>
      <c r="K38" s="3058">
        <f t="shared" si="3"/>
        <v>5.7000000000000028</v>
      </c>
      <c r="L38" s="3058" t="s">
        <v>2574</v>
      </c>
      <c r="M38" s="3058">
        <v>8</v>
      </c>
    </row>
    <row r="39" spans="1:13">
      <c r="A39" s="3040"/>
      <c r="B39" s="3041"/>
      <c r="C39" s="3041"/>
      <c r="D39" s="3041"/>
      <c r="E39" s="3041"/>
      <c r="F39" s="3041"/>
      <c r="G39" s="3042"/>
      <c r="I39" s="3058">
        <v>30</v>
      </c>
      <c r="J39" s="3058">
        <v>93.8</v>
      </c>
      <c r="K39" s="3058">
        <f t="shared" si="3"/>
        <v>4.5</v>
      </c>
      <c r="L39" s="3058" t="s">
        <v>2575</v>
      </c>
      <c r="M39" s="3058">
        <v>6</v>
      </c>
    </row>
    <row r="40" spans="1:13">
      <c r="A40" s="3043" t="s">
        <v>2546</v>
      </c>
      <c r="B40" s="3044"/>
      <c r="C40" s="3044"/>
      <c r="D40" s="3044"/>
      <c r="E40" s="3044"/>
      <c r="F40" s="3044"/>
      <c r="G40" s="3045"/>
      <c r="I40" s="3058">
        <v>35</v>
      </c>
      <c r="J40" s="3058">
        <v>97.2</v>
      </c>
      <c r="K40" s="3058">
        <f t="shared" si="3"/>
        <v>3.4000000000000057</v>
      </c>
      <c r="L40" s="3058" t="s">
        <v>2576</v>
      </c>
      <c r="M40" s="3058">
        <v>3</v>
      </c>
    </row>
    <row r="41" spans="1:13">
      <c r="A41" s="3046" t="s">
        <v>2547</v>
      </c>
      <c r="B41" s="3047" t="s">
        <v>2548</v>
      </c>
      <c r="C41" s="3048" t="s">
        <v>2549</v>
      </c>
      <c r="D41" s="3048" t="s">
        <v>2550</v>
      </c>
      <c r="E41" s="3049"/>
      <c r="F41" s="3050"/>
      <c r="G41" s="3051"/>
      <c r="I41" s="3058">
        <v>40</v>
      </c>
      <c r="J41" s="3058">
        <v>100</v>
      </c>
      <c r="K41" s="3058">
        <f t="shared" si="3"/>
        <v>2.7999999999999972</v>
      </c>
    </row>
    <row r="42" spans="1:13">
      <c r="A42" s="3046" t="s">
        <v>2551</v>
      </c>
      <c r="B42" s="3047" t="s">
        <v>2552</v>
      </c>
      <c r="C42" s="3048" t="s">
        <v>2553</v>
      </c>
      <c r="D42" s="3052" t="s">
        <v>2554</v>
      </c>
      <c r="E42" s="3044" t="s">
        <v>2555</v>
      </c>
      <c r="F42" s="3044"/>
      <c r="G42" s="3045"/>
    </row>
    <row r="43" spans="1:13">
      <c r="A43" s="3046" t="s">
        <v>2556</v>
      </c>
      <c r="B43" s="3047" t="s">
        <v>2557</v>
      </c>
      <c r="C43" s="3048" t="s">
        <v>2558</v>
      </c>
      <c r="D43" s="3048" t="s">
        <v>2559</v>
      </c>
      <c r="E43" s="3049" t="s">
        <v>2560</v>
      </c>
      <c r="F43" s="3050"/>
      <c r="G43" s="3051"/>
      <c r="I43" s="3058" t="s">
        <v>2568</v>
      </c>
      <c r="J43" s="3058" t="s">
        <v>2579</v>
      </c>
    </row>
    <row r="44" spans="1:13">
      <c r="A44" s="3046" t="s">
        <v>2561</v>
      </c>
      <c r="B44" s="3047" t="s">
        <v>2562</v>
      </c>
      <c r="C44" s="3048" t="s">
        <v>2563</v>
      </c>
      <c r="D44" s="3052">
        <v>0.5</v>
      </c>
      <c r="E44" s="3049" t="s">
        <v>2564</v>
      </c>
      <c r="F44" s="3050"/>
      <c r="G44" s="3051"/>
      <c r="I44" s="3058">
        <v>30</v>
      </c>
      <c r="J44" s="3058">
        <v>81.7</v>
      </c>
    </row>
    <row r="45" spans="1:13" ht="14.25" thickBot="1">
      <c r="A45" s="3053" t="s">
        <v>2565</v>
      </c>
      <c r="B45" s="3054" t="s">
        <v>2552</v>
      </c>
      <c r="C45" s="3055" t="s">
        <v>2552</v>
      </c>
      <c r="D45" s="3055" t="s">
        <v>2566</v>
      </c>
      <c r="E45" s="3056" t="s">
        <v>2567</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8" sqref="H8"/>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27" t="str">
        <f>IF(B10="北京市","北京市",C10)&amp;F10&amp;IF(结果表!G1="在建","出让国有建设用地使用权及在建建筑物",IF(结果表!G1="土地","出让国有建设用地使用权",))&amp;B9&amp;"预评估"</f>
        <v>北京市房地产抵押价值预评估</v>
      </c>
      <c r="C1" s="3528"/>
      <c r="D1" s="3528"/>
      <c r="E1" s="3528"/>
      <c r="F1" s="3528"/>
      <c r="G1" s="3528"/>
      <c r="H1" s="3528"/>
      <c r="I1" s="3529"/>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v>45321</v>
      </c>
      <c r="C3" s="2374" t="s">
        <v>2171</v>
      </c>
      <c r="D3" s="2373">
        <f>B3</f>
        <v>45321</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t="s">
        <v>3576</v>
      </c>
      <c r="C4" s="2376">
        <f ca="1">SUMIF(注册房地产估价师,B4,估价师及机构信息!B3:B24)</f>
        <v>1120100036</v>
      </c>
      <c r="D4" s="2375" t="s">
        <v>3577</v>
      </c>
      <c r="E4" s="2377">
        <f ca="1">SUMIF(注册房地产估价师,D4,估价师及机构信息!B3:B24)</f>
        <v>1120070131</v>
      </c>
      <c r="F4" s="2375"/>
      <c r="G4" s="2377">
        <f>SUMIF(注册房地产估价师,F4,估价师及机构信息!B3:B24)</f>
        <v>0</v>
      </c>
      <c r="H4" s="2375"/>
      <c r="I4" s="2377">
        <f>SUMIF(注册房地产估价师,H4,估价师及机构信息!B3:B24)</f>
        <v>0</v>
      </c>
      <c r="J4" s="2439"/>
      <c r="K4" s="2378" t="str">
        <f ca="1">CONCATENATE(B4,"（注册号：",C4,")、",D4,"（注册号：",E4,")")</f>
        <v>崔锴（注册号：1120100036)、郑燚（注册号：1120070131)</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3380</v>
      </c>
      <c r="C8" s="2390"/>
      <c r="D8" s="3530" t="s">
        <v>2177</v>
      </c>
      <c r="E8" s="2391" t="s">
        <v>3384</v>
      </c>
      <c r="F8" s="2392"/>
      <c r="G8" s="2663"/>
      <c r="H8" s="2663"/>
      <c r="I8" s="2663"/>
      <c r="J8" s="2439"/>
      <c r="K8" s="2614"/>
      <c r="L8" s="2613"/>
      <c r="M8" s="2613"/>
      <c r="N8" s="2439"/>
      <c r="O8" s="2450"/>
      <c r="P8" s="2439"/>
      <c r="Q8" s="2439"/>
      <c r="R8" s="2439"/>
    </row>
    <row r="9" spans="1:30" ht="13.5" thickBot="1">
      <c r="A9" s="2393" t="s">
        <v>2178</v>
      </c>
      <c r="B9" s="2394" t="s">
        <v>3384</v>
      </c>
      <c r="C9" s="2395"/>
      <c r="D9" s="3531"/>
      <c r="E9" s="2394" t="s">
        <v>43</v>
      </c>
      <c r="F9" s="2396"/>
      <c r="G9" s="2665"/>
      <c r="H9" s="2665"/>
      <c r="I9" s="2665"/>
      <c r="J9" s="2439"/>
      <c r="K9" s="2616"/>
      <c r="L9" s="2613"/>
      <c r="M9" s="2613"/>
      <c r="N9" s="2439"/>
      <c r="O9" s="2450"/>
      <c r="P9" s="2439"/>
      <c r="Q9" s="2439"/>
      <c r="R9" s="2439"/>
    </row>
    <row r="10" spans="1:30" ht="13.5" thickTop="1">
      <c r="A10" s="2397" t="s">
        <v>2179</v>
      </c>
      <c r="B10" s="2398" t="s">
        <v>3385</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t="s">
        <v>3386</v>
      </c>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2580</v>
      </c>
      <c r="J12" s="3062"/>
      <c r="K12" s="2613"/>
      <c r="L12" s="2613"/>
      <c r="M12" s="2439"/>
      <c r="N12" s="2450"/>
      <c r="O12" s="2439"/>
      <c r="P12" s="2439"/>
      <c r="Q12" s="2439"/>
      <c r="AD12" s="1745"/>
    </row>
    <row r="13" spans="1:30">
      <c r="A13" s="3423" t="s">
        <v>3336</v>
      </c>
      <c r="B13" s="2407" t="s">
        <v>2190</v>
      </c>
      <c r="C13" s="856"/>
      <c r="D13" s="856">
        <v>54347</v>
      </c>
      <c r="E13" s="856"/>
      <c r="F13" s="856">
        <v>57999</v>
      </c>
      <c r="G13" s="856"/>
      <c r="H13" s="856"/>
      <c r="I13" s="856"/>
      <c r="J13" s="3062"/>
      <c r="K13" s="2613"/>
      <c r="L13" s="2613"/>
      <c r="M13" s="2439"/>
      <c r="N13" s="2450"/>
      <c r="O13" s="2439"/>
      <c r="P13" s="2439"/>
      <c r="Q13" s="2439"/>
      <c r="AD13" s="1745"/>
    </row>
    <row r="14" spans="1:30">
      <c r="A14" s="1081"/>
      <c r="B14" s="2407" t="s">
        <v>2191</v>
      </c>
      <c r="C14" s="2408"/>
      <c r="D14" s="2408">
        <v>40</v>
      </c>
      <c r="E14" s="2408"/>
      <c r="F14" s="2408">
        <v>50</v>
      </c>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24.72</v>
      </c>
      <c r="E15" s="2410" t="str">
        <f>IF(A13="出让",IF(E13="","",ROUNDDOWN(MIN((E13-$D$3)/365,E14),2)),E14)</f>
        <v/>
      </c>
      <c r="F15" s="2410">
        <f>IF(A13="出让",IF(F13="","",ROUNDDOWN(MIN((F13-$D$3)/365,F14),2)),F14)</f>
        <v>34.729999999999997</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537"/>
      <c r="C16" s="3538"/>
      <c r="D16" s="3539"/>
      <c r="E16" s="2413" t="s">
        <v>2194</v>
      </c>
      <c r="F16" s="3540"/>
      <c r="G16" s="3541"/>
      <c r="H16" s="3541"/>
      <c r="I16" s="3542"/>
      <c r="J16" s="2439"/>
      <c r="K16" s="2617"/>
      <c r="L16" s="2451"/>
      <c r="M16" s="2451"/>
      <c r="N16" s="2509"/>
      <c r="O16" s="2451"/>
      <c r="P16" s="2509"/>
      <c r="Q16" s="2439"/>
      <c r="R16" s="2439"/>
    </row>
    <row r="17" spans="1:28">
      <c r="A17" s="313" t="s">
        <v>2195</v>
      </c>
      <c r="B17" s="302" t="s">
        <v>2196</v>
      </c>
      <c r="C17" s="8">
        <f>'数据-汇总表'!E3</f>
        <v>68805.62</v>
      </c>
      <c r="D17" s="2322" t="s">
        <v>2197</v>
      </c>
      <c r="E17" s="3543" t="s">
        <v>2198</v>
      </c>
      <c r="F17" s="3544"/>
      <c r="G17" s="3544"/>
      <c r="H17" s="3544"/>
      <c r="I17" s="3545"/>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11305.41</v>
      </c>
      <c r="D18" s="1092" t="s">
        <v>2201</v>
      </c>
      <c r="E18" s="3546" t="s">
        <v>2202</v>
      </c>
      <c r="F18" s="3547"/>
      <c r="G18" s="3547"/>
      <c r="H18" s="3547"/>
      <c r="I18" s="3548"/>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33" t="s">
        <v>2206</v>
      </c>
      <c r="C20" s="3534"/>
      <c r="D20" s="3535" t="s">
        <v>2207</v>
      </c>
      <c r="E20" s="3536"/>
      <c r="F20" s="2647" t="s">
        <v>1056</v>
      </c>
      <c r="G20" s="2664"/>
      <c r="H20" s="2664"/>
      <c r="I20" s="2664"/>
      <c r="J20" s="2439"/>
      <c r="K20" s="3532"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32"/>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32"/>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50"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50"/>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50"/>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51"/>
      <c r="B30" s="302" t="s">
        <v>2218</v>
      </c>
      <c r="C30" s="3552"/>
      <c r="D30" s="3553"/>
      <c r="E30" s="2664"/>
      <c r="F30" s="2664"/>
      <c r="G30" s="2664"/>
      <c r="H30" s="2664"/>
      <c r="I30" s="2664"/>
      <c r="J30" s="2439"/>
      <c r="K30" s="2616"/>
      <c r="L30" s="2613"/>
      <c r="M30" s="2613"/>
      <c r="N30" s="2439"/>
      <c r="O30" s="2450"/>
      <c r="P30" s="2439"/>
      <c r="Q30" s="2439"/>
      <c r="R30" s="2439"/>
      <c r="S30" s="2439"/>
      <c r="T30" s="2439"/>
      <c r="U30" s="2439"/>
      <c r="V30" s="2439"/>
    </row>
    <row r="31" spans="1:28">
      <c r="A31" s="3554"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55"/>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55"/>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49" t="s">
        <v>2228</v>
      </c>
      <c r="T34" s="2428" t="str">
        <f>NUMBERSTRING(7-K34,1)&amp;"通"</f>
        <v>七通</v>
      </c>
      <c r="U34" s="2439"/>
      <c r="V34" s="2439"/>
    </row>
    <row r="35" spans="1:30">
      <c r="A35" s="2429"/>
      <c r="B35" s="3556" t="s">
        <v>2229</v>
      </c>
      <c r="C35" s="3556"/>
      <c r="D35" s="3556"/>
      <c r="E35" s="3556"/>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49"/>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2583</v>
      </c>
      <c r="G36" s="2664"/>
      <c r="H36" s="2664"/>
      <c r="I36" s="2664"/>
      <c r="J36" s="2439"/>
      <c r="K36" s="2616"/>
      <c r="L36" s="2613"/>
      <c r="M36" s="2613"/>
      <c r="N36" s="2439"/>
      <c r="O36" s="2450"/>
      <c r="P36" s="2439"/>
      <c r="Q36" s="2439"/>
      <c r="R36" s="2439"/>
      <c r="S36" s="2439"/>
      <c r="T36" s="2439"/>
      <c r="U36" s="2439"/>
      <c r="V36" s="2439"/>
    </row>
    <row r="37" spans="1:30">
      <c r="A37" s="2630" t="s">
        <v>2230</v>
      </c>
      <c r="B37" s="2431" t="s">
        <v>144</v>
      </c>
      <c r="C37" s="2431" t="s">
        <v>144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t="s">
        <v>137</v>
      </c>
      <c r="C38" s="2432" t="s">
        <v>137</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13" sqref="K1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hidden="1" customWidth="1"/>
    <col min="31" max="31" width="9.75" style="1573" hidden="1" customWidth="1"/>
    <col min="32" max="37" width="9.5" style="1573" hidden="1" customWidth="1"/>
    <col min="38" max="39" width="9.5" style="1573" customWidth="1"/>
    <col min="40" max="45" width="9.5" style="1573" hidden="1" customWidth="1"/>
    <col min="46"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11305.41</v>
      </c>
      <c r="B3" s="11">
        <f>IF(C3="否",G5-AT5,G5)</f>
        <v>68805.62</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68805.62</v>
      </c>
      <c r="H5" s="13">
        <f t="shared" ref="H5:AT5" si="0">SUM(H13:H656)</f>
        <v>68185.06</v>
      </c>
      <c r="I5" s="13">
        <f t="shared" si="0"/>
        <v>37408.559999999998</v>
      </c>
      <c r="J5" s="13">
        <f t="shared" si="0"/>
        <v>0</v>
      </c>
      <c r="K5" s="13">
        <f t="shared" si="0"/>
        <v>9383.2000000000007</v>
      </c>
      <c r="L5" s="13">
        <f t="shared" si="0"/>
        <v>0</v>
      </c>
      <c r="M5" s="13">
        <f t="shared" si="0"/>
        <v>21393.3</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620.55999999999995</v>
      </c>
      <c r="AD5" s="13">
        <f t="shared" si="0"/>
        <v>0</v>
      </c>
      <c r="AE5" s="13">
        <f t="shared" si="0"/>
        <v>0</v>
      </c>
      <c r="AF5" s="13">
        <f t="shared" si="0"/>
        <v>0</v>
      </c>
      <c r="AG5" s="13">
        <f t="shared" si="0"/>
        <v>0</v>
      </c>
      <c r="AH5" s="13">
        <f t="shared" si="0"/>
        <v>0</v>
      </c>
      <c r="AI5" s="13">
        <f t="shared" si="0"/>
        <v>0</v>
      </c>
      <c r="AJ5" s="13">
        <f t="shared" si="0"/>
        <v>0</v>
      </c>
      <c r="AK5" s="13">
        <f t="shared" si="0"/>
        <v>0</v>
      </c>
      <c r="AL5" s="13">
        <f t="shared" si="0"/>
        <v>620.55999999999995</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68805.62</v>
      </c>
      <c r="BA5" s="15">
        <f t="shared" si="1"/>
        <v>68185.06</v>
      </c>
      <c r="BB5" s="15">
        <f t="shared" si="1"/>
        <v>37408.559999999998</v>
      </c>
      <c r="BC5" s="15">
        <f t="shared" si="1"/>
        <v>9383.2000000000007</v>
      </c>
      <c r="BD5" s="15">
        <f t="shared" si="1"/>
        <v>21393.3</v>
      </c>
      <c r="BE5" s="15">
        <f t="shared" si="1"/>
        <v>0</v>
      </c>
      <c r="BF5" s="15">
        <f t="shared" si="1"/>
        <v>0</v>
      </c>
      <c r="BG5" s="15">
        <f t="shared" si="1"/>
        <v>0</v>
      </c>
      <c r="BH5" s="15">
        <f t="shared" si="1"/>
        <v>0</v>
      </c>
      <c r="BI5" s="15">
        <f t="shared" si="1"/>
        <v>0</v>
      </c>
      <c r="BJ5" s="15">
        <f t="shared" si="1"/>
        <v>0</v>
      </c>
      <c r="BK5" s="15">
        <f t="shared" si="1"/>
        <v>0</v>
      </c>
      <c r="BL5" s="15">
        <f t="shared" si="1"/>
        <v>620.55999999999995</v>
      </c>
      <c r="BM5" s="15">
        <f t="shared" si="1"/>
        <v>0</v>
      </c>
      <c r="BN5" s="15">
        <f t="shared" si="1"/>
        <v>0</v>
      </c>
      <c r="BO5" s="15">
        <f t="shared" si="1"/>
        <v>0</v>
      </c>
      <c r="BP5" s="15">
        <f t="shared" si="1"/>
        <v>0</v>
      </c>
      <c r="BQ5" s="15">
        <f t="shared" si="1"/>
        <v>620.55999999999995</v>
      </c>
      <c r="BR5" s="15">
        <f t="shared" si="1"/>
        <v>0</v>
      </c>
      <c r="BS5" s="15">
        <f t="shared" si="1"/>
        <v>0</v>
      </c>
      <c r="BT5" s="16">
        <f t="shared" si="1"/>
        <v>0</v>
      </c>
    </row>
    <row r="6" spans="1:72" s="1589" customFormat="1" ht="12.75">
      <c r="A6" s="12" t="s">
        <v>1072</v>
      </c>
      <c r="B6" s="1586"/>
      <c r="C6" s="1586"/>
      <c r="D6" s="1587"/>
      <c r="E6" s="13">
        <f>H6+AC6+AT6</f>
        <v>11305.41</v>
      </c>
      <c r="F6" s="13" t="s">
        <v>0</v>
      </c>
      <c r="G6" s="13" t="s">
        <v>1</v>
      </c>
      <c r="H6" s="17">
        <f>SUMIF(I$12:AB$12,"总值",I6:AB6)</f>
        <v>11203.45</v>
      </c>
      <c r="I6" s="13">
        <f t="shared" ref="I6:AB6" si="2">ROUND($A$3*I5/$B$3,2)</f>
        <v>6146.58</v>
      </c>
      <c r="J6" s="13">
        <f t="shared" si="2"/>
        <v>0</v>
      </c>
      <c r="K6" s="13">
        <f t="shared" si="2"/>
        <v>1541.75</v>
      </c>
      <c r="L6" s="13">
        <f t="shared" si="2"/>
        <v>0</v>
      </c>
      <c r="M6" s="13">
        <f t="shared" si="2"/>
        <v>3515.12</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101.96</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101.96</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11305.41</v>
      </c>
      <c r="AZ6" s="13" t="s">
        <v>2</v>
      </c>
      <c r="BA6" s="13">
        <f>ROUND($AY$6*BA5/$AZ$5,2)</f>
        <v>11203.45</v>
      </c>
      <c r="BB6" s="13">
        <f>ROUND($AY$6*BB5/$AZ$5,2)</f>
        <v>6146.58</v>
      </c>
      <c r="BC6" s="13">
        <f t="shared" ref="BC6:BH6" si="4">ROUND($AY$6*BC5/$AZ$5,2)</f>
        <v>1541.75</v>
      </c>
      <c r="BD6" s="13">
        <f t="shared" si="4"/>
        <v>3515.12</v>
      </c>
      <c r="BE6" s="13">
        <f t="shared" si="4"/>
        <v>0</v>
      </c>
      <c r="BF6" s="13">
        <f t="shared" si="4"/>
        <v>0</v>
      </c>
      <c r="BG6" s="13">
        <f t="shared" si="4"/>
        <v>0</v>
      </c>
      <c r="BH6" s="13">
        <f t="shared" si="4"/>
        <v>0</v>
      </c>
      <c r="BI6" s="13">
        <f t="shared" ref="BI6:BT6" si="5">ROUND($AY$6*BI5/$AZ$5,2)</f>
        <v>0</v>
      </c>
      <c r="BJ6" s="13">
        <f t="shared" si="5"/>
        <v>0</v>
      </c>
      <c r="BK6" s="13">
        <f t="shared" si="5"/>
        <v>0</v>
      </c>
      <c r="BL6" s="13">
        <f t="shared" si="5"/>
        <v>101.96</v>
      </c>
      <c r="BM6" s="13">
        <f t="shared" si="5"/>
        <v>0</v>
      </c>
      <c r="BN6" s="13">
        <f t="shared" si="5"/>
        <v>0</v>
      </c>
      <c r="BO6" s="13">
        <f t="shared" si="5"/>
        <v>0</v>
      </c>
      <c r="BP6" s="13">
        <f t="shared" si="5"/>
        <v>0</v>
      </c>
      <c r="BQ6" s="13">
        <f t="shared" si="5"/>
        <v>101.96</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3388</v>
      </c>
      <c r="J9" s="809"/>
      <c r="K9" s="1603" t="s">
        <v>3389</v>
      </c>
      <c r="L9" s="809"/>
      <c r="M9" s="1603" t="s">
        <v>3389</v>
      </c>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673</v>
      </c>
      <c r="L10" s="809"/>
      <c r="M10" s="1609" t="s">
        <v>3337</v>
      </c>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商业</v>
      </c>
      <c r="BD11" s="1599" t="str">
        <f>M10</f>
        <v>车库</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3387</v>
      </c>
      <c r="E13" s="13">
        <f>IF($C$3="是",ROUND($A$3*G13/$B$3,2),ROUND($A$3*(G13-AT13)/$B$3,2))</f>
        <v>11305.41</v>
      </c>
      <c r="F13" s="29"/>
      <c r="G13" s="30">
        <f>H13+AC13+AT13</f>
        <v>68805.62</v>
      </c>
      <c r="H13" s="17">
        <f>SUMIF(I$12:AB$12,"总值",I13:AB13)</f>
        <v>68185.06</v>
      </c>
      <c r="I13" s="1626">
        <v>37408.559999999998</v>
      </c>
      <c r="J13" s="1626"/>
      <c r="K13" s="1626">
        <v>9383.2000000000007</v>
      </c>
      <c r="L13" s="1626"/>
      <c r="M13" s="1626">
        <f>30776.5-K13</f>
        <v>21393.3</v>
      </c>
      <c r="N13" s="1626"/>
      <c r="O13" s="1626"/>
      <c r="P13" s="1626"/>
      <c r="Q13" s="1626"/>
      <c r="R13" s="1626"/>
      <c r="S13" s="1626"/>
      <c r="T13" s="1626"/>
      <c r="U13" s="1626"/>
      <c r="V13" s="1626"/>
      <c r="W13" s="1626"/>
      <c r="X13" s="1626"/>
      <c r="Y13" s="1626"/>
      <c r="Z13" s="1626"/>
      <c r="AA13" s="1626"/>
      <c r="AB13" s="1626"/>
      <c r="AC13" s="13">
        <f>SUMIF(AD$12:AS$12,"总值",AD13:AS13)</f>
        <v>620.55999999999995</v>
      </c>
      <c r="AD13" s="1627"/>
      <c r="AE13" s="1627"/>
      <c r="AF13" s="1627"/>
      <c r="AG13" s="1627"/>
      <c r="AH13" s="1627"/>
      <c r="AI13" s="1627"/>
      <c r="AJ13" s="1627"/>
      <c r="AK13" s="1627"/>
      <c r="AL13" s="1627">
        <v>620.55999999999995</v>
      </c>
      <c r="AM13" s="1627"/>
      <c r="AN13" s="1627"/>
      <c r="AO13" s="1627"/>
      <c r="AP13" s="1627"/>
      <c r="AQ13" s="1627"/>
      <c r="AR13" s="1627"/>
      <c r="AS13" s="1627"/>
      <c r="AT13" s="1628"/>
      <c r="AU13" s="1629"/>
      <c r="AV13" s="8">
        <f t="shared" ref="AV13:AX17" si="6">A13</f>
        <v>0</v>
      </c>
      <c r="AW13" s="8">
        <f t="shared" si="6"/>
        <v>0</v>
      </c>
      <c r="AX13" s="8">
        <f t="shared" si="6"/>
        <v>0</v>
      </c>
      <c r="AY13" s="1349">
        <f>ROUND($AY$6*AZ13/$AZ$5,2)</f>
        <v>11305.41</v>
      </c>
      <c r="AZ13" s="13">
        <f>BA13+BL13</f>
        <v>68805.62</v>
      </c>
      <c r="BA13" s="13">
        <f>SUM(BB13:BK13)</f>
        <v>68185.06</v>
      </c>
      <c r="BB13" s="13">
        <f>IF($D13="是",I13-J13,0)</f>
        <v>37408.559999999998</v>
      </c>
      <c r="BC13" s="13">
        <f>IF($D13="是",K13-L13,0)</f>
        <v>9383.2000000000007</v>
      </c>
      <c r="BD13" s="13">
        <f>IF($D13="是",M13-N13,0)</f>
        <v>21393.3</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620.55999999999995</v>
      </c>
      <c r="BM13" s="13">
        <f>IF($D13="是",AD13-AE13,0)</f>
        <v>0</v>
      </c>
      <c r="BN13" s="13">
        <f>IF($D13="是",AF13-AG13,0)</f>
        <v>0</v>
      </c>
      <c r="BO13" s="13">
        <f>IF($D13="是",AH13-AI13,0)</f>
        <v>0</v>
      </c>
      <c r="BP13" s="13">
        <f>IF($D13="是",AJ13-AK13,0)</f>
        <v>0</v>
      </c>
      <c r="BQ13" s="13">
        <f>IF($D13="是",AL13-AM13,0)</f>
        <v>620.55999999999995</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30"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K30" sqref="K3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66" t="s">
        <v>1131</v>
      </c>
      <c r="B2" s="3566"/>
      <c r="C2" s="3566"/>
      <c r="D2" s="796" t="s">
        <v>1107</v>
      </c>
      <c r="E2" s="1639" t="s">
        <v>1108</v>
      </c>
      <c r="F2" s="2659"/>
      <c r="G2" s="2650"/>
      <c r="H2" s="2651"/>
      <c r="I2" s="2325" t="s">
        <v>1132</v>
      </c>
      <c r="J2" s="2659"/>
      <c r="K2" s="2659"/>
      <c r="L2" s="2659"/>
      <c r="M2" s="2659"/>
      <c r="N2" s="2661"/>
      <c r="O2" s="2659"/>
      <c r="P2" s="2659"/>
    </row>
    <row r="3" spans="1:16" ht="15.75" thickBot="1">
      <c r="A3" s="3567" t="s">
        <v>1105</v>
      </c>
      <c r="B3" s="3567"/>
      <c r="C3" s="3567"/>
      <c r="D3" s="43">
        <f>'数据-基础表'!AY6</f>
        <v>11305.41</v>
      </c>
      <c r="E3" s="43">
        <f>'数据-基础表'!AZ5</f>
        <v>68805.62</v>
      </c>
      <c r="F3" s="2659"/>
      <c r="G3" s="1145"/>
      <c r="H3" s="1026" t="s">
        <v>1106</v>
      </c>
      <c r="I3" s="855">
        <f>ROUND('数据-基础表'!B3/'数据-基础表'!A3,2)</f>
        <v>6.09</v>
      </c>
      <c r="J3" s="2659"/>
      <c r="K3" s="2659"/>
      <c r="L3" s="2659"/>
      <c r="M3" s="2659"/>
      <c r="N3" s="2661"/>
      <c r="O3" s="2659"/>
      <c r="P3" s="2659"/>
    </row>
    <row r="4" spans="1:16" ht="15">
      <c r="A4" s="3568"/>
      <c r="B4" s="3569"/>
      <c r="C4" s="3570"/>
      <c r="D4" s="1641" t="s">
        <v>1107</v>
      </c>
      <c r="E4" s="1642" t="s">
        <v>1108</v>
      </c>
      <c r="F4" s="2659"/>
      <c r="G4" s="2652" t="s">
        <v>1133</v>
      </c>
      <c r="H4" s="1026" t="s">
        <v>1113</v>
      </c>
      <c r="I4" s="855">
        <f>ROUND(SUMIF('数据-基础表'!I9:AS9,"地上",'数据-基础表'!I5:AS5)/'数据-基础表'!A3,2)</f>
        <v>3.36</v>
      </c>
      <c r="J4" s="2659"/>
      <c r="K4" s="2659"/>
      <c r="L4" s="2659"/>
      <c r="M4" s="2659"/>
      <c r="N4" s="2661"/>
      <c r="O4" s="2659"/>
      <c r="P4" s="2659"/>
    </row>
    <row r="5" spans="1:16">
      <c r="A5" s="44" t="s">
        <v>1109</v>
      </c>
      <c r="B5" s="3571" t="s">
        <v>1110</v>
      </c>
      <c r="C5" s="3571"/>
      <c r="D5" s="45">
        <f>ROUND($D$3*E5/$E$3,2)</f>
        <v>0</v>
      </c>
      <c r="E5" s="46">
        <f>SUMIF('数据-基础表'!$11:$11,"住宅",'数据-基础表'!$5:$5)</f>
        <v>0</v>
      </c>
      <c r="F5" s="2659"/>
      <c r="G5" s="1145"/>
      <c r="H5" s="1026" t="s">
        <v>1106</v>
      </c>
      <c r="I5" s="855">
        <f>ROUND(E31/D31,2)</f>
        <v>6.09</v>
      </c>
      <c r="J5" s="2659"/>
      <c r="K5" s="2659"/>
      <c r="L5" s="2659"/>
      <c r="M5" s="2659"/>
      <c r="N5" s="2659"/>
      <c r="O5" s="2659"/>
      <c r="P5" s="2659"/>
    </row>
    <row r="6" spans="1:16" ht="15" thickBot="1">
      <c r="A6" s="1644"/>
      <c r="B6" s="3571" t="s">
        <v>1111</v>
      </c>
      <c r="C6" s="3571"/>
      <c r="D6" s="45">
        <f>ROUND($D$3*E6/$E$3,2)</f>
        <v>11305.41</v>
      </c>
      <c r="E6" s="46">
        <f>E3-E5</f>
        <v>68805.62</v>
      </c>
      <c r="F6" s="2659"/>
      <c r="G6" s="2653" t="s">
        <v>1112</v>
      </c>
      <c r="H6" s="1146" t="s">
        <v>1113</v>
      </c>
      <c r="I6" s="2654">
        <f>ROUND(F31/D31,2)</f>
        <v>3.36</v>
      </c>
      <c r="J6" s="2659"/>
      <c r="K6" s="2659"/>
      <c r="L6" s="2659"/>
      <c r="M6" s="2659"/>
      <c r="N6" s="2659"/>
      <c r="O6" s="2659"/>
      <c r="P6" s="2659"/>
    </row>
    <row r="7" spans="1:16" ht="15.75" thickBot="1">
      <c r="A7" s="3563"/>
      <c r="B7" s="3564"/>
      <c r="C7" s="3565"/>
      <c r="D7" s="1641" t="s">
        <v>1107</v>
      </c>
      <c r="E7" s="1645" t="s">
        <v>1114</v>
      </c>
      <c r="F7" s="2659"/>
      <c r="G7" s="2655" t="s">
        <v>1115</v>
      </c>
      <c r="H7" s="2656"/>
      <c r="I7" s="2657"/>
      <c r="J7" s="2659"/>
      <c r="K7" s="2659"/>
      <c r="L7" s="2659"/>
      <c r="M7" s="2659"/>
      <c r="N7" s="2659"/>
      <c r="O7" s="2659"/>
      <c r="P7" s="2659"/>
    </row>
    <row r="8" spans="1:16">
      <c r="A8" s="44" t="s">
        <v>1116</v>
      </c>
      <c r="B8" s="47" t="s">
        <v>1117</v>
      </c>
      <c r="C8" s="45" t="s">
        <v>1118</v>
      </c>
      <c r="D8" s="45">
        <f t="shared" ref="D8:D15" si="0">ROUND($D$3*E8/$E$3,2)</f>
        <v>6146.58</v>
      </c>
      <c r="E8" s="48">
        <f>SUMIF('数据-基础表'!BB10:BK10,"地上",'数据-基础表'!BB5:BK5)</f>
        <v>37408.559999999998</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1541.75</v>
      </c>
      <c r="E10" s="48">
        <f>SUMPRODUCT(('数据-基础表'!BB10:BK10="地下")*('数据-基础表'!BB11:BK11="商业")*('数据-基础表'!BB5:BK5))</f>
        <v>9383.2000000000007</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3515.12</v>
      </c>
      <c r="E13" s="48">
        <f>SUMPRODUCT(('数据-基础表'!BB10:BK10="地下")*('数据-基础表'!BB11:BK11="车库")*('数据-基础表'!BB5:BK5))</f>
        <v>21393.3</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11203.45</v>
      </c>
      <c r="E16" s="50">
        <f>SUM(E8:E15)</f>
        <v>68185.06</v>
      </c>
      <c r="F16" s="2659"/>
      <c r="G16" s="2660"/>
      <c r="H16" s="1648" t="s">
        <v>1135</v>
      </c>
      <c r="I16" s="1649"/>
      <c r="J16" s="1139"/>
      <c r="K16" s="3560" t="s">
        <v>1135</v>
      </c>
      <c r="L16" s="3561"/>
      <c r="M16" s="3561"/>
      <c r="N16" s="3561"/>
      <c r="O16" s="3561"/>
      <c r="P16" s="3562"/>
    </row>
    <row r="17" spans="1:19" ht="15">
      <c r="A17" s="1650" t="s">
        <v>1136</v>
      </c>
      <c r="B17" s="1651" t="s">
        <v>1137</v>
      </c>
      <c r="C17" s="1652" t="s">
        <v>1138</v>
      </c>
      <c r="D17" s="1653" t="s">
        <v>1126</v>
      </c>
      <c r="E17" s="1654" t="s">
        <v>1127</v>
      </c>
      <c r="F17" s="1655"/>
      <c r="G17" s="1656"/>
      <c r="H17" s="1657" t="s">
        <v>1139</v>
      </c>
      <c r="I17" s="1658" t="s">
        <v>1124</v>
      </c>
      <c r="J17" s="1139"/>
      <c r="K17" s="3557" t="s">
        <v>1140</v>
      </c>
      <c r="L17" s="3558"/>
      <c r="M17" s="3559"/>
      <c r="N17" s="3557" t="s">
        <v>1141</v>
      </c>
      <c r="O17" s="3558"/>
      <c r="P17" s="3559"/>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3454</v>
      </c>
      <c r="D19" s="45">
        <f>ROUND($D$3*E19/$E$3,2)</f>
        <v>5150.32</v>
      </c>
      <c r="E19" s="53">
        <f t="shared" ref="E19:E26" si="1">SUM(F19:G19)</f>
        <v>31345.27</v>
      </c>
      <c r="F19" s="2795">
        <f>清单!C7</f>
        <v>25345.27</v>
      </c>
      <c r="G19" s="2796">
        <f>清单!C8</f>
        <v>6000</v>
      </c>
      <c r="H19" s="670">
        <f>ROUND($D$3*I19/$E$3,2)</f>
        <v>46.87</v>
      </c>
      <c r="I19" s="48">
        <f t="shared" ref="I19:I26" si="2">IF($I$17="自定义",P19,M19)</f>
        <v>285.27999999999997</v>
      </c>
      <c r="J19" s="1139"/>
      <c r="K19" s="1138">
        <f t="shared" ref="K19:K26" si="3">ROUND(E$28*E19/E$27,2)</f>
        <v>285.27999999999997</v>
      </c>
      <c r="L19" s="1026">
        <f t="shared" ref="L19:L26" si="4">ROUND(IF(COUNTIF(C19,"*住宅*")&gt;0,E$29*E19/E$32,0),2)</f>
        <v>0</v>
      </c>
      <c r="M19" s="1150">
        <f>K19+L19</f>
        <v>285.27999999999997</v>
      </c>
      <c r="N19" s="1668"/>
      <c r="O19" s="1669"/>
      <c r="P19" s="1150">
        <f>N19+O19</f>
        <v>0</v>
      </c>
      <c r="R19" s="1026">
        <f t="shared" ref="R19:S26" si="5">D19+H19</f>
        <v>5197.1899999999996</v>
      </c>
      <c r="S19" s="1027">
        <f t="shared" si="5"/>
        <v>31630.55</v>
      </c>
    </row>
    <row r="20" spans="1:19">
      <c r="A20" s="1670"/>
      <c r="B20" s="47" t="s">
        <v>1153</v>
      </c>
      <c r="C20" s="3417" t="s">
        <v>3456</v>
      </c>
      <c r="D20" s="45">
        <f t="shared" ref="D20:D26" si="6">ROUND($D$3*E20/$E$3,2)</f>
        <v>2538</v>
      </c>
      <c r="E20" s="53">
        <f t="shared" si="1"/>
        <v>15446.489999999998</v>
      </c>
      <c r="F20" s="2795">
        <f>'数据-基础表'!I13-'数据-汇总表'!F19</f>
        <v>12063.289999999997</v>
      </c>
      <c r="G20" s="2796">
        <f>'数据-基础表'!K13-'数据-汇总表'!G19</f>
        <v>3383.2000000000007</v>
      </c>
      <c r="H20" s="670">
        <f t="shared" ref="H20:H26" si="7">ROUND($D$3*I20/$E$3,2)</f>
        <v>23.1</v>
      </c>
      <c r="I20" s="48">
        <f t="shared" si="2"/>
        <v>140.58000000000001</v>
      </c>
      <c r="J20" s="1139"/>
      <c r="K20" s="1138">
        <f t="shared" si="3"/>
        <v>140.58000000000001</v>
      </c>
      <c r="L20" s="1026">
        <f t="shared" si="4"/>
        <v>0</v>
      </c>
      <c r="M20" s="1150">
        <f t="shared" ref="M20:M26" si="8">K20+L20</f>
        <v>140.58000000000001</v>
      </c>
      <c r="N20" s="1668"/>
      <c r="O20" s="1669"/>
      <c r="P20" s="1150">
        <f t="shared" ref="P20:P26" si="9">N20+O20</f>
        <v>0</v>
      </c>
      <c r="R20" s="1026">
        <f t="shared" si="5"/>
        <v>2561.1</v>
      </c>
      <c r="S20" s="1027">
        <f t="shared" si="5"/>
        <v>15587.069999999998</v>
      </c>
    </row>
    <row r="21" spans="1:19">
      <c r="A21" s="1670"/>
      <c r="B21" s="47" t="s">
        <v>1153</v>
      </c>
      <c r="C21" s="3417" t="s">
        <v>3458</v>
      </c>
      <c r="D21" s="45">
        <f t="shared" si="6"/>
        <v>3515.12</v>
      </c>
      <c r="E21" s="53">
        <f t="shared" si="1"/>
        <v>21393.3</v>
      </c>
      <c r="F21" s="2795"/>
      <c r="G21" s="2796">
        <f>'数据-基础表'!M13</f>
        <v>21393.3</v>
      </c>
      <c r="H21" s="670">
        <f t="shared" si="7"/>
        <v>31.99</v>
      </c>
      <c r="I21" s="48">
        <f t="shared" si="2"/>
        <v>194.7</v>
      </c>
      <c r="J21" s="1139"/>
      <c r="K21" s="1138">
        <f t="shared" si="3"/>
        <v>194.7</v>
      </c>
      <c r="L21" s="1026">
        <f t="shared" si="4"/>
        <v>0</v>
      </c>
      <c r="M21" s="1150">
        <f t="shared" si="8"/>
        <v>194.7</v>
      </c>
      <c r="N21" s="1668"/>
      <c r="O21" s="1669"/>
      <c r="P21" s="1150">
        <f t="shared" si="9"/>
        <v>0</v>
      </c>
      <c r="R21" s="1026">
        <f t="shared" si="5"/>
        <v>3547.1099999999997</v>
      </c>
      <c r="S21" s="1027">
        <f t="shared" si="5"/>
        <v>21588</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29.25" thickBot="1">
      <c r="A27" s="1670"/>
      <c r="B27" s="45"/>
      <c r="C27" s="1673" t="s">
        <v>1154</v>
      </c>
      <c r="D27" s="1140">
        <f>SUM(D19:D26)</f>
        <v>11203.439999999999</v>
      </c>
      <c r="E27" s="1141">
        <f>IF(SUM(E19:E26)='数据-基础表'!BA5,SUM(E19:E26),IF(F27="地上面积有误","面积有误","地下面积有误"))</f>
        <v>68185.06</v>
      </c>
      <c r="F27" s="1140">
        <f>IF(SUM(F19:F26)=E8,SUM(F19:F26),"地上面积有误")</f>
        <v>37408.559999999998</v>
      </c>
      <c r="G27" s="1142">
        <f>SUM(G19:G26)</f>
        <v>30776.5</v>
      </c>
      <c r="H27" s="1143">
        <f>SUM(H19:H26)</f>
        <v>101.96</v>
      </c>
      <c r="I27" s="1144">
        <f>SUM(I19:I26)</f>
        <v>620.55999999999995</v>
      </c>
      <c r="J27" s="1139"/>
      <c r="K27" s="1147">
        <f>SUM(K19:K26)</f>
        <v>620.55999999999995</v>
      </c>
      <c r="L27" s="1148">
        <f>SUM(L19:L26)</f>
        <v>0</v>
      </c>
      <c r="M27" s="1151">
        <f>SUM(M19:M26)</f>
        <v>620.55999999999995</v>
      </c>
      <c r="N27" s="1147">
        <f t="shared" ref="N27:O27" si="10">SUM(N19:N26)</f>
        <v>0</v>
      </c>
      <c r="O27" s="1148">
        <f t="shared" si="10"/>
        <v>0</v>
      </c>
      <c r="P27" s="1149">
        <f>SUM(P19:P26)</f>
        <v>0</v>
      </c>
      <c r="R27" s="1028" t="str">
        <f>IF(SUM(R19:R26)=$D$3,SUM(R19:R26),SUM(R19:R26)&amp;"误差"&amp;ROUND(SUM(R19:R26)-$D$3,2))</f>
        <v>11305.4误差-0.01</v>
      </c>
      <c r="S27" s="1026">
        <f>IF(SUM(S19:S26)=$E$3,SUM(S19:S26),SUM(S19:S26)&amp;"误差"&amp;ROUND(SUM(S19:S26)-E3,2))</f>
        <v>68805.62</v>
      </c>
    </row>
    <row r="28" spans="1:19">
      <c r="A28" s="1670"/>
      <c r="B28" s="47" t="s">
        <v>1155</v>
      </c>
      <c r="C28" s="1038" t="s">
        <v>1156</v>
      </c>
      <c r="D28" s="45">
        <f>ROUND($D$3*E28/$E$3,2)</f>
        <v>101.96</v>
      </c>
      <c r="E28" s="53">
        <f>SUM(F28:G28)</f>
        <v>620.55999999999995</v>
      </c>
      <c r="F28" s="56">
        <f>'数据-基础表'!BQ5+'数据-基础表'!BS5</f>
        <v>620.55999999999995</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101.96</v>
      </c>
      <c r="E30" s="1140">
        <f>SUM(E28:E29)</f>
        <v>620.55999999999995</v>
      </c>
      <c r="F30" s="1140">
        <f>SUM(F28:F29)</f>
        <v>620.55999999999995</v>
      </c>
      <c r="G30" s="1142">
        <f>SUM(G28:G29)</f>
        <v>0</v>
      </c>
      <c r="H30" s="2659"/>
      <c r="I30" s="2659"/>
      <c r="J30" s="2659"/>
      <c r="K30" s="2659"/>
      <c r="L30" s="2659"/>
      <c r="M30" s="2659"/>
      <c r="N30" s="2659"/>
      <c r="O30" s="2659"/>
      <c r="P30" s="2659"/>
    </row>
    <row r="31" spans="1:19" ht="15.75" thickBot="1">
      <c r="A31" s="1676"/>
      <c r="B31" s="1677"/>
      <c r="C31" s="835" t="s">
        <v>1158</v>
      </c>
      <c r="D31" s="676">
        <f>D27+D30</f>
        <v>11305.399999999998</v>
      </c>
      <c r="E31" s="676">
        <f>E27+E30</f>
        <v>68805.62</v>
      </c>
      <c r="F31" s="677">
        <f>F27+F30</f>
        <v>38029.119999999995</v>
      </c>
      <c r="G31" s="678">
        <f>G27+G30</f>
        <v>30776.5</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9" priority="1" stopIfTrue="1" operator="containsText" text="面积有误">
      <formula>NOT(ISERROR(SEARCH("面积有误",E27)))</formula>
    </cfRule>
    <cfRule type="cellIs" dxfId="188" priority="3" stopIfTrue="1" operator="equal">
      <formula>"地下面积有误"</formula>
    </cfRule>
  </conditionalFormatting>
  <conditionalFormatting sqref="F27">
    <cfRule type="cellIs" dxfId="18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L58"/>
  <sheetViews>
    <sheetView topLeftCell="A42" workbookViewId="0">
      <selection activeCell="E54" sqref="E54"/>
    </sheetView>
  </sheetViews>
  <sheetFormatPr defaultRowHeight="13.5"/>
  <cols>
    <col min="1" max="1" width="14.125" customWidth="1"/>
    <col min="6" max="6" width="11.625" bestFit="1" customWidth="1"/>
    <col min="9" max="9" width="9.5" bestFit="1" customWidth="1"/>
    <col min="10" max="10" width="10.625" customWidth="1"/>
    <col min="11" max="11" width="15.5" customWidth="1"/>
  </cols>
  <sheetData>
    <row r="1" spans="1:12">
      <c r="A1" s="3460" t="s">
        <v>3390</v>
      </c>
      <c r="C1" s="3460" t="s">
        <v>3391</v>
      </c>
      <c r="D1" s="3460" t="s">
        <v>3392</v>
      </c>
      <c r="J1" s="3460"/>
    </row>
    <row r="2" spans="1:12">
      <c r="B2" s="3460" t="s">
        <v>3393</v>
      </c>
      <c r="C2">
        <v>25345.27</v>
      </c>
      <c r="D2">
        <v>4.7</v>
      </c>
      <c r="E2">
        <f>D2*C2</f>
        <v>119122.769</v>
      </c>
      <c r="J2" s="3483" t="s">
        <v>3394</v>
      </c>
      <c r="K2" s="3483" t="s">
        <v>3395</v>
      </c>
      <c r="L2" s="3483" t="s">
        <v>3579</v>
      </c>
    </row>
    <row r="3" spans="1:12">
      <c r="B3" s="3460" t="s">
        <v>3396</v>
      </c>
      <c r="C3">
        <f>8582.61+3548.6</f>
        <v>12131.210000000001</v>
      </c>
      <c r="D3">
        <v>6.2</v>
      </c>
      <c r="E3">
        <f>D3*C3</f>
        <v>75213.502000000008</v>
      </c>
      <c r="J3" s="3484">
        <v>-4</v>
      </c>
      <c r="K3" s="3484">
        <f>9933.46-7075.11</f>
        <v>2858.3499999999995</v>
      </c>
      <c r="L3" s="3572" t="s">
        <v>3580</v>
      </c>
    </row>
    <row r="4" spans="1:12">
      <c r="C4">
        <f>SUM(C2:C3)</f>
        <v>37476.480000000003</v>
      </c>
      <c r="D4">
        <f>E4/C4</f>
        <v>5.1855529388032169</v>
      </c>
      <c r="E4">
        <f>SUM(E2:E3)</f>
        <v>194336.27100000001</v>
      </c>
      <c r="J4" s="3484">
        <v>-3</v>
      </c>
      <c r="K4" s="3484">
        <v>8927.2999999999993</v>
      </c>
      <c r="L4" s="3573"/>
    </row>
    <row r="5" spans="1:12">
      <c r="J5" s="3484">
        <v>-2</v>
      </c>
      <c r="K5" s="3484">
        <v>9607.65</v>
      </c>
      <c r="L5" s="3573"/>
    </row>
    <row r="6" spans="1:12">
      <c r="A6" s="3460"/>
      <c r="C6" s="3460" t="s">
        <v>3391</v>
      </c>
      <c r="J6" s="3484">
        <v>-1</v>
      </c>
      <c r="K6" s="3484">
        <v>9383.2000000000007</v>
      </c>
      <c r="L6" s="3572" t="s">
        <v>3581</v>
      </c>
    </row>
    <row r="7" spans="1:12">
      <c r="A7" s="3460" t="s">
        <v>3393</v>
      </c>
      <c r="B7" s="3460" t="s">
        <v>3390</v>
      </c>
      <c r="C7">
        <v>25345.27</v>
      </c>
      <c r="D7">
        <v>4.7</v>
      </c>
      <c r="E7">
        <f>D7*C7</f>
        <v>119122.769</v>
      </c>
      <c r="J7" s="3484">
        <v>1</v>
      </c>
      <c r="K7" s="3484">
        <f>3538.82-47.38</f>
        <v>3491.44</v>
      </c>
      <c r="L7" s="3573"/>
    </row>
    <row r="8" spans="1:12">
      <c r="B8" s="3460" t="s">
        <v>3397</v>
      </c>
      <c r="C8">
        <v>6000</v>
      </c>
      <c r="D8">
        <v>2.7</v>
      </c>
      <c r="E8">
        <f>D8*C8</f>
        <v>16200.000000000002</v>
      </c>
      <c r="J8" s="3484">
        <v>2</v>
      </c>
      <c r="K8" s="3484">
        <v>3328.97</v>
      </c>
      <c r="L8" s="3573"/>
    </row>
    <row r="9" spans="1:12">
      <c r="C9">
        <f>SUM(C7:C8)</f>
        <v>31345.27</v>
      </c>
      <c r="D9">
        <f>E9/C9</f>
        <v>4.317167119632404</v>
      </c>
      <c r="E9">
        <f>SUM(E7:E8)</f>
        <v>135322.769</v>
      </c>
      <c r="J9" s="3484">
        <v>3</v>
      </c>
      <c r="K9" s="3484">
        <v>4308.8599999999997</v>
      </c>
      <c r="L9" s="3573"/>
    </row>
    <row r="10" spans="1:12">
      <c r="J10" s="3484">
        <v>4</v>
      </c>
      <c r="K10" s="3484">
        <v>4362.0600000000004</v>
      </c>
      <c r="L10" s="3573"/>
    </row>
    <row r="11" spans="1:12">
      <c r="A11" s="3460" t="s">
        <v>3396</v>
      </c>
      <c r="B11" s="3460" t="s">
        <v>3390</v>
      </c>
      <c r="C11">
        <f>8582.61+3548.6</f>
        <v>12131.210000000001</v>
      </c>
      <c r="D11">
        <v>6.2</v>
      </c>
      <c r="E11">
        <f>D11*C11</f>
        <v>75213.502000000008</v>
      </c>
      <c r="J11" s="3484">
        <v>5</v>
      </c>
      <c r="K11" s="3484">
        <v>3971.16</v>
      </c>
      <c r="L11" s="3573"/>
    </row>
    <row r="12" spans="1:12">
      <c r="A12" s="3460" t="s">
        <v>3398</v>
      </c>
      <c r="B12" s="3460" t="s">
        <v>3399</v>
      </c>
      <c r="C12">
        <v>1156</v>
      </c>
      <c r="D12">
        <v>2.4</v>
      </c>
      <c r="E12">
        <f t="shared" ref="E12:E13" si="0">D12*C12</f>
        <v>2774.4</v>
      </c>
      <c r="J12" s="3484">
        <v>6</v>
      </c>
      <c r="K12" s="3484">
        <v>3971.16</v>
      </c>
      <c r="L12" s="3573"/>
    </row>
    <row r="13" spans="1:12">
      <c r="B13" s="3460" t="s">
        <v>3400</v>
      </c>
      <c r="C13">
        <v>184</v>
      </c>
      <c r="D13">
        <v>2.7</v>
      </c>
      <c r="E13">
        <f t="shared" si="0"/>
        <v>496.8</v>
      </c>
      <c r="J13" s="3484">
        <v>7</v>
      </c>
      <c r="K13" s="3484">
        <v>3185.77</v>
      </c>
      <c r="L13" s="3573"/>
    </row>
    <row r="14" spans="1:12">
      <c r="C14">
        <f>SUM(C11:C13)</f>
        <v>13471.210000000001</v>
      </c>
      <c r="D14">
        <f>E14/C14</f>
        <v>5.8261063408557954</v>
      </c>
      <c r="E14">
        <f>SUM(E11:E13)</f>
        <v>78484.702000000005</v>
      </c>
      <c r="J14" s="3484">
        <v>8</v>
      </c>
      <c r="K14" s="3484">
        <v>3185.77</v>
      </c>
      <c r="L14" s="3573"/>
    </row>
    <row r="15" spans="1:12">
      <c r="J15" s="3484">
        <v>9</v>
      </c>
      <c r="K15" s="3484">
        <v>2711.97</v>
      </c>
      <c r="L15" s="3573"/>
    </row>
    <row r="16" spans="1:12">
      <c r="A16" s="3460" t="s">
        <v>3401</v>
      </c>
      <c r="B16" s="3460" t="s">
        <v>3390</v>
      </c>
      <c r="C16">
        <f>8582.61+3548.6</f>
        <v>12131.210000000001</v>
      </c>
      <c r="D16">
        <v>8</v>
      </c>
      <c r="E16">
        <f>D16*C16</f>
        <v>97049.680000000008</v>
      </c>
      <c r="J16" s="3484">
        <v>10</v>
      </c>
      <c r="K16" s="3484">
        <v>2445.6999999999998</v>
      </c>
      <c r="L16" s="3573"/>
    </row>
    <row r="17" spans="1:12">
      <c r="B17" s="3460" t="s">
        <v>3399</v>
      </c>
      <c r="C17">
        <v>1156</v>
      </c>
      <c r="D17">
        <v>3</v>
      </c>
      <c r="E17">
        <f t="shared" ref="E17:E18" si="1">D17*C17</f>
        <v>3468</v>
      </c>
      <c r="J17" s="3484">
        <v>11</v>
      </c>
      <c r="K17" s="3484">
        <v>2445.6999999999998</v>
      </c>
      <c r="L17" s="3573"/>
    </row>
    <row r="18" spans="1:12">
      <c r="B18" s="3460" t="s">
        <v>3402</v>
      </c>
      <c r="C18">
        <v>184</v>
      </c>
      <c r="D18">
        <v>3</v>
      </c>
      <c r="E18">
        <f t="shared" si="1"/>
        <v>552</v>
      </c>
      <c r="J18" s="3483" t="s">
        <v>3403</v>
      </c>
      <c r="K18" s="3484">
        <v>620.55999999999995</v>
      </c>
      <c r="L18" s="3573"/>
    </row>
    <row r="19" spans="1:12">
      <c r="C19">
        <f>SUM(C16:C18)</f>
        <v>13471.210000000001</v>
      </c>
      <c r="D19">
        <f>E19/C19</f>
        <v>7.5026430439433431</v>
      </c>
      <c r="E19">
        <f>SUM(E16:E18)</f>
        <v>101069.68000000001</v>
      </c>
      <c r="J19" s="3484"/>
      <c r="K19" s="3484">
        <f>SUM(K3:K18)</f>
        <v>68805.619999999981</v>
      </c>
      <c r="L19" s="3484"/>
    </row>
    <row r="22" spans="1:12">
      <c r="A22" s="3460" t="s">
        <v>3404</v>
      </c>
      <c r="B22" s="3460" t="s">
        <v>3405</v>
      </c>
      <c r="C22">
        <f>'[2]数据-汇总表'!F20</f>
        <v>12063.289999999997</v>
      </c>
    </row>
    <row r="23" spans="1:12">
      <c r="B23" s="3460" t="s">
        <v>3397</v>
      </c>
      <c r="C23">
        <f>'[2]数据-汇总表'!G20</f>
        <v>3383.2000000000007</v>
      </c>
    </row>
    <row r="24" spans="1:12">
      <c r="C24">
        <f>SUM(C22:C23)</f>
        <v>15446.489999999998</v>
      </c>
      <c r="D24" s="3461">
        <f>E19/C24</f>
        <v>6.5432133772785939</v>
      </c>
    </row>
    <row r="26" spans="1:12">
      <c r="D26" s="3460" t="s">
        <v>3391</v>
      </c>
      <c r="E26" s="3460" t="s">
        <v>3406</v>
      </c>
      <c r="F26" s="3460" t="s">
        <v>3407</v>
      </c>
    </row>
    <row r="27" spans="1:12">
      <c r="A27" s="3460" t="s">
        <v>3408</v>
      </c>
      <c r="B27" s="3462" t="s">
        <v>3409</v>
      </c>
      <c r="C27" s="3462" t="s">
        <v>3410</v>
      </c>
      <c r="D27" s="3461">
        <v>25345.27</v>
      </c>
      <c r="E27" s="3461">
        <f>4.7+0.5</f>
        <v>5.2</v>
      </c>
      <c r="F27" s="3461">
        <f>E27*D27*365</f>
        <v>48105322.460000001</v>
      </c>
      <c r="I27">
        <v>0.5</v>
      </c>
      <c r="J27">
        <f>I27*D27*365</f>
        <v>4625511.7750000004</v>
      </c>
    </row>
    <row r="28" spans="1:12">
      <c r="A28" s="3460"/>
      <c r="B28" s="3462"/>
      <c r="C28" s="3462"/>
      <c r="D28" s="3461">
        <v>6000</v>
      </c>
      <c r="E28" s="3461">
        <f>2.7+0.3</f>
        <v>3</v>
      </c>
      <c r="F28" s="3461">
        <f>E28*D28*365</f>
        <v>6570000</v>
      </c>
      <c r="I28">
        <v>0.3</v>
      </c>
      <c r="J28">
        <f>I28*D28*365</f>
        <v>657000</v>
      </c>
    </row>
    <row r="29" spans="1:12">
      <c r="A29" s="3460"/>
      <c r="B29" s="3462"/>
      <c r="C29" s="3462"/>
      <c r="D29" s="3461">
        <f>SUM(D27:D28)</f>
        <v>31345.27</v>
      </c>
      <c r="E29" s="3461">
        <f>ROUND(F29/D29/365,2)</f>
        <v>4.78</v>
      </c>
      <c r="F29" s="3461">
        <f>SUM(F27:F28)</f>
        <v>54675322.460000001</v>
      </c>
      <c r="J29">
        <f>SUM(J27:J28)</f>
        <v>5282511.7750000004</v>
      </c>
    </row>
    <row r="30" spans="1:12">
      <c r="B30" s="3460" t="s">
        <v>3411</v>
      </c>
      <c r="C30" s="3460" t="s">
        <v>3412</v>
      </c>
      <c r="E30">
        <f>E29</f>
        <v>4.78</v>
      </c>
      <c r="F30">
        <f>F29</f>
        <v>54675322.460000001</v>
      </c>
    </row>
    <row r="31" spans="1:12">
      <c r="B31" s="3460" t="s">
        <v>3413</v>
      </c>
      <c r="C31" s="3460" t="s">
        <v>3414</v>
      </c>
      <c r="E31">
        <f>E29</f>
        <v>4.78</v>
      </c>
      <c r="F31">
        <f>F29</f>
        <v>54675322.460000001</v>
      </c>
    </row>
    <row r="32" spans="1:12">
      <c r="B32" s="3460" t="s">
        <v>3415</v>
      </c>
      <c r="C32" s="3460" t="s">
        <v>3416</v>
      </c>
      <c r="E32">
        <f>E29</f>
        <v>4.78</v>
      </c>
      <c r="F32">
        <f>F29</f>
        <v>54675322.460000001</v>
      </c>
    </row>
    <row r="33" spans="1:6">
      <c r="B33" s="3460" t="s">
        <v>3417</v>
      </c>
      <c r="C33" s="3460" t="s">
        <v>3418</v>
      </c>
      <c r="E33">
        <f>E29</f>
        <v>4.78</v>
      </c>
      <c r="F33">
        <f>F29</f>
        <v>54675322.460000001</v>
      </c>
    </row>
    <row r="34" spans="1:6">
      <c r="A34" s="3462" t="s">
        <v>3419</v>
      </c>
      <c r="B34" s="3462" t="s">
        <v>3420</v>
      </c>
      <c r="C34" s="3462" t="s">
        <v>3421</v>
      </c>
      <c r="D34" s="3461"/>
      <c r="E34" s="3461">
        <f>ROUND(E27*(1+8%),2)</f>
        <v>5.62</v>
      </c>
      <c r="F34" s="3461">
        <f>E34*D27*365</f>
        <v>51990752.351000004</v>
      </c>
    </row>
    <row r="35" spans="1:6">
      <c r="A35" s="3461"/>
      <c r="B35" s="3462"/>
      <c r="C35" s="3462"/>
      <c r="D35" s="3461"/>
      <c r="E35" s="3461">
        <f>ROUND(E28*(1+8%),2)</f>
        <v>3.24</v>
      </c>
      <c r="F35" s="3461">
        <f>E35*D28*365</f>
        <v>7095600</v>
      </c>
    </row>
    <row r="36" spans="1:6">
      <c r="A36" s="3461"/>
      <c r="B36" s="3462"/>
      <c r="C36" s="3462"/>
      <c r="D36" s="3461"/>
      <c r="E36" s="3461">
        <f>ROUND(F36/365/D29,2)</f>
        <v>5.16</v>
      </c>
      <c r="F36" s="3461">
        <f>SUM(F34:F35)</f>
        <v>59086352.351000004</v>
      </c>
    </row>
    <row r="37" spans="1:6">
      <c r="B37" s="3460" t="s">
        <v>3422</v>
      </c>
      <c r="C37" s="3460" t="s">
        <v>3423</v>
      </c>
      <c r="E37">
        <f>E36</f>
        <v>5.16</v>
      </c>
      <c r="F37">
        <f>F36</f>
        <v>59086352.351000004</v>
      </c>
    </row>
    <row r="38" spans="1:6">
      <c r="B38" s="3460" t="s">
        <v>3424</v>
      </c>
      <c r="C38" s="3460" t="s">
        <v>3425</v>
      </c>
      <c r="E38">
        <f>E36</f>
        <v>5.16</v>
      </c>
      <c r="F38">
        <f>F36</f>
        <v>59086352.351000004</v>
      </c>
    </row>
    <row r="39" spans="1:6">
      <c r="B39" s="3460" t="s">
        <v>3426</v>
      </c>
      <c r="C39" s="3460" t="s">
        <v>3427</v>
      </c>
      <c r="E39">
        <f>E36</f>
        <v>5.16</v>
      </c>
      <c r="F39">
        <f>F36</f>
        <v>59086352.351000004</v>
      </c>
    </row>
    <row r="40" spans="1:6">
      <c r="B40" s="3460" t="s">
        <v>3428</v>
      </c>
      <c r="C40" s="3460" t="s">
        <v>3429</v>
      </c>
      <c r="E40">
        <f>E36</f>
        <v>5.16</v>
      </c>
      <c r="F40">
        <f>F36</f>
        <v>59086352.351000004</v>
      </c>
    </row>
    <row r="41" spans="1:6">
      <c r="A41" s="3462" t="s">
        <v>3430</v>
      </c>
      <c r="B41" s="3462" t="s">
        <v>3431</v>
      </c>
      <c r="C41" s="3462" t="s">
        <v>3432</v>
      </c>
      <c r="D41" s="3461"/>
      <c r="E41" s="3461">
        <f>ROUND(E34*(1+8%),2)</f>
        <v>6.07</v>
      </c>
      <c r="F41" s="3461">
        <f>E41*D27*365</f>
        <v>56153712.948500007</v>
      </c>
    </row>
    <row r="42" spans="1:6">
      <c r="A42" s="3462"/>
      <c r="B42" s="3462"/>
      <c r="C42" s="3462"/>
      <c r="D42" s="3461"/>
      <c r="E42" s="3461">
        <f>ROUND(E35*(1+8%),2)</f>
        <v>3.5</v>
      </c>
      <c r="F42" s="3461">
        <f>E42*D28*365</f>
        <v>7665000</v>
      </c>
    </row>
    <row r="43" spans="1:6">
      <c r="A43" s="3462"/>
      <c r="B43" s="3462"/>
      <c r="C43" s="3462"/>
      <c r="D43" s="3461"/>
      <c r="E43" s="3461">
        <f>ROUND(F43/365/D29,2)</f>
        <v>5.58</v>
      </c>
      <c r="F43" s="3461">
        <f>SUM(F41:F42)</f>
        <v>63818712.948500007</v>
      </c>
    </row>
    <row r="44" spans="1:6">
      <c r="B44" s="3460" t="s">
        <v>3433</v>
      </c>
      <c r="C44" s="3460" t="s">
        <v>3434</v>
      </c>
      <c r="E44">
        <f>E43</f>
        <v>5.58</v>
      </c>
      <c r="F44">
        <f>F43</f>
        <v>63818712.948500007</v>
      </c>
    </row>
    <row r="45" spans="1:6">
      <c r="B45" s="3460" t="s">
        <v>3435</v>
      </c>
      <c r="C45" s="3460" t="s">
        <v>3436</v>
      </c>
      <c r="E45">
        <f>E43</f>
        <v>5.58</v>
      </c>
      <c r="F45">
        <f>F43</f>
        <v>63818712.948500007</v>
      </c>
    </row>
    <row r="46" spans="1:6">
      <c r="B46" s="3460" t="s">
        <v>3437</v>
      </c>
      <c r="C46" s="3460" t="s">
        <v>3438</v>
      </c>
      <c r="E46">
        <f>E43</f>
        <v>5.58</v>
      </c>
      <c r="F46">
        <f>F43</f>
        <v>63818712.948500007</v>
      </c>
    </row>
    <row r="47" spans="1:6">
      <c r="B47" s="3460" t="s">
        <v>3439</v>
      </c>
      <c r="C47" s="3460" t="s">
        <v>3440</v>
      </c>
      <c r="E47">
        <f>E43</f>
        <v>5.58</v>
      </c>
      <c r="F47">
        <f>F43</f>
        <v>63818712.948500007</v>
      </c>
    </row>
    <row r="48" spans="1:6">
      <c r="A48" s="3462" t="s">
        <v>3441</v>
      </c>
      <c r="B48" s="3462" t="s">
        <v>3442</v>
      </c>
      <c r="C48" s="3462" t="s">
        <v>3443</v>
      </c>
      <c r="D48" s="3461"/>
      <c r="E48" s="3461">
        <f>ROUND(E41*(1+8%),2)</f>
        <v>6.56</v>
      </c>
      <c r="F48" s="3461">
        <f>E48*D27*365</f>
        <v>60686714.487999998</v>
      </c>
    </row>
    <row r="49" spans="1:6">
      <c r="A49" s="3462"/>
      <c r="B49" s="3462"/>
      <c r="C49" s="3462"/>
      <c r="D49" s="3461"/>
      <c r="E49" s="3461">
        <f>ROUND(E42*(1+8%),2)</f>
        <v>3.78</v>
      </c>
      <c r="F49" s="3461">
        <f>E49*D28*365</f>
        <v>8278200</v>
      </c>
    </row>
    <row r="50" spans="1:6">
      <c r="A50" s="3462"/>
      <c r="B50" s="3462"/>
      <c r="C50" s="3462"/>
      <c r="D50" s="3461"/>
      <c r="E50" s="3461">
        <f>ROUND(F50/365/D29,2)</f>
        <v>6.03</v>
      </c>
      <c r="F50" s="3461">
        <f>SUM(F48:F49)</f>
        <v>68964914.488000005</v>
      </c>
    </row>
    <row r="51" spans="1:6">
      <c r="B51" s="3460" t="s">
        <v>3444</v>
      </c>
      <c r="C51" s="3460" t="s">
        <v>3445</v>
      </c>
      <c r="E51">
        <f>E50</f>
        <v>6.03</v>
      </c>
      <c r="F51">
        <f>F50</f>
        <v>68964914.488000005</v>
      </c>
    </row>
    <row r="52" spans="1:6">
      <c r="B52" s="3460" t="s">
        <v>3446</v>
      </c>
      <c r="C52" s="3460" t="s">
        <v>3447</v>
      </c>
      <c r="E52">
        <f>E50</f>
        <v>6.03</v>
      </c>
      <c r="F52">
        <f>F50</f>
        <v>68964914.488000005</v>
      </c>
    </row>
    <row r="53" spans="1:6">
      <c r="B53" s="3460" t="s">
        <v>3448</v>
      </c>
      <c r="C53" s="3460" t="s">
        <v>3449</v>
      </c>
      <c r="E53">
        <f>E50</f>
        <v>6.03</v>
      </c>
      <c r="F53">
        <f>F50</f>
        <v>68964914.488000005</v>
      </c>
    </row>
    <row r="54" spans="1:6">
      <c r="B54" s="3460" t="s">
        <v>3450</v>
      </c>
      <c r="C54" s="3460" t="s">
        <v>3451</v>
      </c>
      <c r="E54">
        <f>E50</f>
        <v>6.03</v>
      </c>
      <c r="F54">
        <f>F50</f>
        <v>68964914.488000005</v>
      </c>
    </row>
    <row r="56" spans="1:6">
      <c r="A56" s="3460" t="s">
        <v>3452</v>
      </c>
      <c r="C56" s="3460" t="s">
        <v>3570</v>
      </c>
      <c r="F56">
        <f>F31*常用公式!C6</f>
        <v>50301296.663200006</v>
      </c>
    </row>
    <row r="57" spans="1:6">
      <c r="A57" s="3460"/>
      <c r="C57" s="3460" t="s">
        <v>3571</v>
      </c>
      <c r="F57">
        <f>F32+F33+F36+F37+F38+F39+F40+F43+F44+F45+F46+F47+F50+F51+F52+F53+F54</f>
        <v>1068700543.8575003</v>
      </c>
    </row>
    <row r="58" spans="1:6">
      <c r="E58">
        <f>ROUND(F58/365/D29/'数据-取费表'!AF6,2)</f>
        <v>5.45</v>
      </c>
      <c r="F58">
        <f>SUM(F56:F57)</f>
        <v>1119001840.5207002</v>
      </c>
    </row>
  </sheetData>
  <mergeCells count="2">
    <mergeCell ref="L3:L5"/>
    <mergeCell ref="L6:L18"/>
  </mergeCells>
  <phoneticPr fontId="134"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H4"/>
  <sheetViews>
    <sheetView workbookViewId="0">
      <selection activeCell="G3" sqref="G3"/>
    </sheetView>
  </sheetViews>
  <sheetFormatPr defaultRowHeight="13.5"/>
  <cols>
    <col min="4" max="4" width="16.25" customWidth="1"/>
    <col min="5" max="5" width="35.125" customWidth="1"/>
    <col min="6" max="6" width="39.125" customWidth="1"/>
    <col min="7" max="7" width="24.75" customWidth="1"/>
    <col min="8" max="8" width="13" customWidth="1"/>
  </cols>
  <sheetData>
    <row r="2" spans="2:8">
      <c r="B2" s="3483" t="s">
        <v>3588</v>
      </c>
      <c r="C2" s="3483" t="s">
        <v>3582</v>
      </c>
      <c r="D2" s="3483" t="s">
        <v>3596</v>
      </c>
      <c r="E2" s="3483" t="s">
        <v>3589</v>
      </c>
      <c r="F2" s="3483" t="s">
        <v>3591</v>
      </c>
      <c r="G2" s="3483" t="s">
        <v>3590</v>
      </c>
      <c r="H2" s="3483" t="s">
        <v>3583</v>
      </c>
    </row>
    <row r="3" spans="2:8">
      <c r="B3" s="3484">
        <v>1</v>
      </c>
      <c r="C3" s="3483" t="s">
        <v>3584</v>
      </c>
      <c r="D3" s="3483" t="s">
        <v>3597</v>
      </c>
      <c r="E3" s="3483" t="s">
        <v>3585</v>
      </c>
      <c r="F3" s="3483" t="s">
        <v>3593</v>
      </c>
      <c r="G3" s="3483" t="s">
        <v>3592</v>
      </c>
      <c r="H3" s="3483" t="s">
        <v>3598</v>
      </c>
    </row>
    <row r="4" spans="2:8">
      <c r="B4" s="3484">
        <v>2</v>
      </c>
      <c r="C4" s="3483" t="s">
        <v>3586</v>
      </c>
      <c r="D4" s="3483" t="s">
        <v>3595</v>
      </c>
      <c r="E4" s="3483" t="s">
        <v>3587</v>
      </c>
      <c r="F4" s="3483" t="s">
        <v>3594</v>
      </c>
      <c r="G4" s="3483"/>
      <c r="H4" s="3826" t="s">
        <v>3599</v>
      </c>
    </row>
  </sheetData>
  <phoneticPr fontId="134"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N6" activePane="bottomRight" state="frozen"/>
      <selection activeCell="C50" sqref="C50"/>
      <selection pane="topRight" activeCell="C50" sqref="C50"/>
      <selection pane="bottomLeft" activeCell="C50" sqref="C50"/>
      <selection pane="bottomRight" activeCell="R26" sqref="R2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45321</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3459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和睦家</v>
      </c>
      <c r="B6" s="1713" t="str">
        <f>IF(A6=0,"","经营性")</f>
        <v>经营性</v>
      </c>
      <c r="C6" s="1714" t="s">
        <v>673</v>
      </c>
      <c r="D6" s="858">
        <f>SUMIF(项目基本情况!C$12:I$12,C6,项目基本情况!C$14:I$14)</f>
        <v>40</v>
      </c>
      <c r="E6" s="857">
        <f>IF(B6="","",SUMIF(项目基本情况!C$12:I$12,C6,项目基本情况!C$13:I$13))</f>
        <v>54347</v>
      </c>
      <c r="F6" s="64">
        <f>SUMIF(项目基本情况!C$12:I$12,C6,项目基本情况!C$15:I$15)</f>
        <v>24.72</v>
      </c>
      <c r="G6" s="65">
        <f>IF(ISERROR(ROUND(POWER(1+H6,D6-F6)*(POWER(1+H6,F6)-1)/(POWER(1+H6,D6)-1),3)),0,ROUND(POWER(1+H6,D6-F6)*(POWER(1+H6,F6)-1)/(POWER(1+H6,D6)-1),3))</f>
        <v>0.81699999999999995</v>
      </c>
      <c r="H6" s="732">
        <v>0.05</v>
      </c>
      <c r="I6" s="732">
        <v>5.5E-2</v>
      </c>
      <c r="J6" s="66">
        <v>7.0000000000000007E-2</v>
      </c>
      <c r="K6" s="1030">
        <f>SUMIF('数据-汇总表'!C$19:C$33,A6,'数据-汇总表'!E$19:E$33)</f>
        <v>31345.27</v>
      </c>
      <c r="L6" s="733">
        <v>4500</v>
      </c>
      <c r="M6" s="67">
        <f t="shared" ref="M6:M14" si="0">ROUND(K6*L6/10000,0)</f>
        <v>14105</v>
      </c>
      <c r="N6" s="731">
        <f>N21</f>
        <v>0.82</v>
      </c>
      <c r="O6" s="67" t="str">
        <f>IF($N$5="成新度","——",ROUND(M6*N6,0))</f>
        <v>——</v>
      </c>
      <c r="P6" s="68" t="str">
        <f>IF($N$5="成新度","——",M6-O6)</f>
        <v>——</v>
      </c>
      <c r="Q6" s="734">
        <v>0.15</v>
      </c>
      <c r="R6" s="69">
        <f ca="1">SUMIF('数据-汇总表'!C$19:C$33,A6,'数据-汇总表'!R$19:R$27)</f>
        <v>5197.1899999999996</v>
      </c>
      <c r="S6" s="51">
        <f>IF('数据-汇总表'!$I$17="按面积比例",SUMIF('数据-汇总表'!C$19:C$33,A6,'数据-汇总表'!K$19:K$33),SUMIF('数据-汇总表'!C$19:C$33,A6,'数据-汇总表'!N$19:N$33))</f>
        <v>285.27999999999997</v>
      </c>
      <c r="T6" s="1172">
        <f>ROUND($L$14*S6/10000,0)</f>
        <v>114</v>
      </c>
      <c r="U6" s="3428">
        <f>清单!E58</f>
        <v>5.45</v>
      </c>
      <c r="V6" s="70">
        <v>0</v>
      </c>
      <c r="W6" s="70">
        <v>0</v>
      </c>
      <c r="X6" s="1040"/>
      <c r="Y6" s="71">
        <f>N6</f>
        <v>0.82</v>
      </c>
      <c r="Z6" s="72">
        <f>ROUND(6.5*(1+AA6)^AF6,2)</f>
        <v>10.119999999999999</v>
      </c>
      <c r="AA6" s="66">
        <v>2.5000000000000001E-2</v>
      </c>
      <c r="AB6" s="66">
        <v>0.05</v>
      </c>
      <c r="AC6" s="1040"/>
      <c r="AD6" s="73">
        <v>0.65</v>
      </c>
      <c r="AE6" s="1041">
        <f ca="1">IF(AN6="",0,SUMIF(INDIRECT("'"&amp;AN6&amp;"'"&amp;"!E:E"),$AE$5,INDIRECT("'"&amp;AN6&amp;"'"&amp;"!F:F")))</f>
        <v>24.72</v>
      </c>
      <c r="AF6" s="1348">
        <f>常用公式!C5</f>
        <v>17.93</v>
      </c>
      <c r="AG6" s="138">
        <f ca="1">IF(AF6="",0,AE6-AF6)</f>
        <v>6.7899999999999991</v>
      </c>
      <c r="AH6" s="74"/>
      <c r="AI6" s="76">
        <v>365</v>
      </c>
      <c r="AJ6" s="77"/>
      <c r="AK6" s="78">
        <v>7.0000000000000001E-3</v>
      </c>
      <c r="AL6" s="79">
        <v>1E-3</v>
      </c>
      <c r="AM6" s="80">
        <v>5.0000000000000001E-3</v>
      </c>
      <c r="AN6" s="1715" t="s">
        <v>3562</v>
      </c>
      <c r="AO6" s="52">
        <f ca="1">SUMIF(INDIRECT("'"&amp;AN6&amp;"'"&amp;"!A:A"),"总价",INDIRECT("'"&amp;AN6&amp;"'"&amp;"!B:B"))</f>
        <v>77827</v>
      </c>
      <c r="AP6" s="1716">
        <f>IF(C6="住宅",K6*L6,0)</f>
        <v>0</v>
      </c>
      <c r="AQ6" s="52">
        <f>ROUND($L$14*$N$14*S6/10000,0)</f>
        <v>94</v>
      </c>
      <c r="AR6" s="52">
        <f>ROUND($L$14*(1-$N$14)*S6/10000,0)</f>
        <v>21</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昆仑万维</v>
      </c>
      <c r="B7" s="1713" t="str">
        <f t="shared" ref="B7:B13" si="1">IF(A7=0,"","经营性")</f>
        <v>经营性</v>
      </c>
      <c r="C7" s="1714" t="s">
        <v>673</v>
      </c>
      <c r="D7" s="858">
        <f>SUMIF(项目基本情况!C$12:I$12,C7,项目基本情况!C$14:I$14)</f>
        <v>40</v>
      </c>
      <c r="E7" s="857">
        <f>IF(B7="","",SUMIF(项目基本情况!C$12:I$12,C7,项目基本情况!C$13:I$13))</f>
        <v>54347</v>
      </c>
      <c r="F7" s="64">
        <f>SUMIF(项目基本情况!C$12:I$12,C7,项目基本情况!C$15:I$15)</f>
        <v>24.72</v>
      </c>
      <c r="G7" s="65">
        <f t="shared" ref="G7:G11" si="2">IF(ISERROR(ROUND(POWER(1+H7,D7-F7)*(POWER(1+H7,F7)-1)/(POWER(1+H7,D7)-1),3)),0,ROUND(POWER(1+H7,D7-F7)*(POWER(1+H7,F7)-1)/(POWER(1+H7,D7)-1),3))</f>
        <v>0.81699999999999995</v>
      </c>
      <c r="H7" s="732">
        <f>H6</f>
        <v>0.05</v>
      </c>
      <c r="I7" s="732">
        <f>I6</f>
        <v>5.5E-2</v>
      </c>
      <c r="J7" s="66">
        <f>J6</f>
        <v>7.0000000000000007E-2</v>
      </c>
      <c r="K7" s="1030">
        <f>SUMIF('数据-汇总表'!C$19:C$33,A7,'数据-汇总表'!E$19:E$33)</f>
        <v>15446.489999999998</v>
      </c>
      <c r="L7" s="733">
        <v>4500</v>
      </c>
      <c r="M7" s="67">
        <f t="shared" si="0"/>
        <v>6951</v>
      </c>
      <c r="N7" s="731">
        <f>N6</f>
        <v>0.82</v>
      </c>
      <c r="O7" s="67" t="str">
        <f t="shared" ref="O7:O14" si="3">IF($N$5="成新度","——",ROUND(M7*N7,0))</f>
        <v>——</v>
      </c>
      <c r="P7" s="68" t="str">
        <f t="shared" ref="P7:P14" si="4">IF($N$5="成新度","——",M7-O7)</f>
        <v>——</v>
      </c>
      <c r="Q7" s="734">
        <v>0.15</v>
      </c>
      <c r="R7" s="69">
        <f ca="1">SUMIF('数据-汇总表'!C$19:C$33,A7,'数据-汇总表'!R$19:R$27)</f>
        <v>2561.1</v>
      </c>
      <c r="S7" s="51">
        <f>IF('数据-汇总表'!$I$17="按面积比例",SUMIF('数据-汇总表'!C$19:C$33,A7,'数据-汇总表'!K$19:K$33),SUMIF('数据-汇总表'!C$19:C$33,A7,'数据-汇总表'!N$19:N$33))</f>
        <v>140.58000000000001</v>
      </c>
      <c r="T7" s="1172">
        <f t="shared" ref="T7:T13" si="5">ROUND($L$14*S7/10000,0)</f>
        <v>56</v>
      </c>
      <c r="U7" s="3428">
        <v>6.5</v>
      </c>
      <c r="V7" s="70">
        <v>2.5000000000000001E-2</v>
      </c>
      <c r="W7" s="70">
        <v>0.05</v>
      </c>
      <c r="X7" s="1040"/>
      <c r="Y7" s="71">
        <f>N7</f>
        <v>0.82</v>
      </c>
      <c r="Z7" s="72"/>
      <c r="AA7" s="66"/>
      <c r="AB7" s="66"/>
      <c r="AC7" s="1040"/>
      <c r="AD7" s="73"/>
      <c r="AE7" s="1041">
        <f t="shared" ref="AE7:AE13" ca="1" si="6">IF(AN7="",0,SUMIF(INDIRECT("'"&amp;AN7&amp;"'"&amp;"!E:E"),$AE$5,INDIRECT("'"&amp;AN7&amp;"'"&amp;"!F:F")))</f>
        <v>24.72</v>
      </c>
      <c r="AF7" s="1348"/>
      <c r="AG7" s="138">
        <f t="shared" ref="AG7:AG13" si="7">IF(AF7="",0,AE7-AF7)</f>
        <v>0</v>
      </c>
      <c r="AH7" s="74"/>
      <c r="AI7" s="76">
        <v>365</v>
      </c>
      <c r="AJ7" s="77"/>
      <c r="AK7" s="78">
        <v>7.0000000000000001E-3</v>
      </c>
      <c r="AL7" s="79">
        <v>1E-3</v>
      </c>
      <c r="AM7" s="80">
        <v>5.0000000000000001E-3</v>
      </c>
      <c r="AN7" s="1715" t="s">
        <v>3565</v>
      </c>
      <c r="AO7" s="52">
        <f t="shared" ref="AO7:AO13" ca="1" si="8">SUMIF(INDIRECT("'"&amp;AN7&amp;"'"&amp;"!A:A"),"总价",INDIRECT("'"&amp;AN7&amp;"'"&amp;"!B:B"))</f>
        <v>48220</v>
      </c>
      <c r="AP7" s="1716">
        <f t="shared" ref="AP7:AP13" si="9">IF(C7="住宅",K7*L7,0)</f>
        <v>0</v>
      </c>
      <c r="AQ7" s="52">
        <f t="shared" ref="AQ7:AQ13" si="10">ROUND($L$14*$N$14*S7/10000,0)</f>
        <v>46</v>
      </c>
      <c r="AR7" s="52">
        <f t="shared" ref="AR7:AR13" si="11">ROUND($L$14*(1-$N$14)*S7/10000,0)</f>
        <v>10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t="str">
        <f>'数据-汇总表'!C21</f>
        <v>地下车库</v>
      </c>
      <c r="B8" s="1713" t="str">
        <f t="shared" si="1"/>
        <v>经营性</v>
      </c>
      <c r="C8" s="1714" t="s">
        <v>3337</v>
      </c>
      <c r="D8" s="858">
        <f>SUMIF(项目基本情况!C$12:I$12,C8,项目基本情况!C$14:I$14)</f>
        <v>50</v>
      </c>
      <c r="E8" s="857">
        <f>IF(B8="","",SUMIF(项目基本情况!C$12:I$12,C8,项目基本情况!C$13:I$13))</f>
        <v>57999</v>
      </c>
      <c r="F8" s="64">
        <f>SUMIF(项目基本情况!C$12:I$12,C8,项目基本情况!C$15:I$15)</f>
        <v>34.729999999999997</v>
      </c>
      <c r="G8" s="65">
        <f t="shared" si="2"/>
        <v>0.88100000000000001</v>
      </c>
      <c r="H8" s="732">
        <v>4.4999999999999998E-2</v>
      </c>
      <c r="I8" s="732">
        <v>0.05</v>
      </c>
      <c r="J8" s="66">
        <v>7.0000000000000007E-2</v>
      </c>
      <c r="K8" s="1030">
        <f>SUMIF('数据-汇总表'!C$19:C$33,A8,'数据-汇总表'!E$19:E$33)</f>
        <v>21393.3</v>
      </c>
      <c r="L8" s="733">
        <v>4000</v>
      </c>
      <c r="M8" s="67">
        <f>ROUND(K8*L8/10000,0)</f>
        <v>8557</v>
      </c>
      <c r="N8" s="731">
        <f>N6</f>
        <v>0.82</v>
      </c>
      <c r="O8" s="67" t="str">
        <f t="shared" si="3"/>
        <v>——</v>
      </c>
      <c r="P8" s="68" t="str">
        <f t="shared" si="4"/>
        <v>——</v>
      </c>
      <c r="Q8" s="734">
        <v>0.1</v>
      </c>
      <c r="R8" s="69">
        <f ca="1">SUMIF('数据-汇总表'!C$19:C$33,A8,'数据-汇总表'!R$19:R$27)</f>
        <v>3547.1099999999997</v>
      </c>
      <c r="S8" s="51">
        <f>IF('数据-汇总表'!$I$17="按面积比例",SUMIF('数据-汇总表'!C$19:C$33,A8,'数据-汇总表'!K$19:K$33),SUMIF('数据-汇总表'!C$19:C$33,A8,'数据-汇总表'!N$19:N$33))</f>
        <v>194.7</v>
      </c>
      <c r="T8" s="1172">
        <f t="shared" si="5"/>
        <v>78</v>
      </c>
      <c r="U8" s="3429">
        <f>ROUND(1200*356/AH8,0)</f>
        <v>1027</v>
      </c>
      <c r="V8" s="735">
        <v>0</v>
      </c>
      <c r="W8" s="735">
        <v>0</v>
      </c>
      <c r="X8" s="1040"/>
      <c r="Y8" s="71">
        <f>N8</f>
        <v>0.82</v>
      </c>
      <c r="Z8" s="72">
        <v>1800</v>
      </c>
      <c r="AA8" s="66">
        <v>2.5000000000000001E-2</v>
      </c>
      <c r="AB8" s="66">
        <v>0.05</v>
      </c>
      <c r="AC8" s="1040"/>
      <c r="AD8" s="73">
        <f>AD6</f>
        <v>0.65</v>
      </c>
      <c r="AE8" s="1041">
        <f t="shared" ca="1" si="6"/>
        <v>34.729999999999997</v>
      </c>
      <c r="AF8" s="1348">
        <f>AF6</f>
        <v>17.93</v>
      </c>
      <c r="AG8" s="138">
        <f t="shared" ca="1" si="7"/>
        <v>16.799999999999997</v>
      </c>
      <c r="AH8" s="736">
        <v>416</v>
      </c>
      <c r="AI8" s="76">
        <v>12</v>
      </c>
      <c r="AJ8" s="77"/>
      <c r="AK8" s="737">
        <v>5.0000000000000001E-3</v>
      </c>
      <c r="AL8" s="738">
        <v>1E-3</v>
      </c>
      <c r="AM8" s="739">
        <v>5.0000000000000001E-3</v>
      </c>
      <c r="AN8" s="1715" t="s">
        <v>3568</v>
      </c>
      <c r="AO8" s="52">
        <f t="shared" ca="1" si="8"/>
        <v>7889</v>
      </c>
      <c r="AP8" s="1716">
        <f t="shared" si="9"/>
        <v>0</v>
      </c>
      <c r="AQ8" s="52">
        <f t="shared" si="10"/>
        <v>64</v>
      </c>
      <c r="AR8" s="52">
        <f t="shared" si="11"/>
        <v>14</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620.55999999999995</v>
      </c>
      <c r="L14" s="82">
        <v>4000</v>
      </c>
      <c r="M14" s="67">
        <f t="shared" si="0"/>
        <v>248</v>
      </c>
      <c r="N14" s="83">
        <f>N6</f>
        <v>0.82</v>
      </c>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0.83699999999999997</v>
      </c>
      <c r="H16" s="90">
        <f>ROUND(SUMPRODUCT(H6:H13,K6:K13)/SUMPRODUCT((H6:H13&gt;0)*(K6:K13)),3)</f>
        <v>4.8000000000000001E-2</v>
      </c>
      <c r="I16" s="91"/>
      <c r="J16" s="91"/>
      <c r="K16" s="92">
        <f>SUM(K6:K15)</f>
        <v>68805.62</v>
      </c>
      <c r="L16" s="93">
        <f>ROUND(M16*10000/SUM(K6:K14),0)</f>
        <v>4340</v>
      </c>
      <c r="M16" s="93">
        <f>SUM(M6:M14)</f>
        <v>29861</v>
      </c>
      <c r="N16" s="94">
        <f>ROUND(SUMPRODUCT(M6:M14,N6:N14)/M16,3)</f>
        <v>0.82</v>
      </c>
      <c r="O16" s="93">
        <f>SUM(O6:O14)</f>
        <v>0</v>
      </c>
      <c r="P16" s="93">
        <f>SUM(P6:P14)</f>
        <v>0</v>
      </c>
      <c r="Q16" s="95">
        <f>ROUND(SUMPRODUCT(Q6:Q13,K6:K13)/SUMPRODUCT((Q6:Q13&gt;0)*(K6:K13)),2)</f>
        <v>0.13</v>
      </c>
      <c r="R16" s="1034">
        <f ca="1">SUM(R6:R13)</f>
        <v>11305.399999999998</v>
      </c>
      <c r="S16" s="96">
        <f>SUM(S6:S13)</f>
        <v>620.55999999999995</v>
      </c>
      <c r="T16" s="97">
        <f>IF(SUMIF(T6:T13,"&lt;9E307")=M14,SUMIF(T6:T13,"&lt;9E307"),"有误，请检查")</f>
        <v>248</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2305</v>
      </c>
      <c r="D19" s="2676"/>
      <c r="E19" s="2673"/>
      <c r="F19" s="2673"/>
      <c r="G19" s="2673"/>
      <c r="H19" s="2673"/>
      <c r="I19" s="2673"/>
      <c r="J19" s="2673"/>
      <c r="K19" s="2672"/>
      <c r="L19" s="2672"/>
      <c r="M19" s="3463" t="s">
        <v>3460</v>
      </c>
      <c r="N19" s="2671">
        <f>ROUND(1-(2024-2011)/60,2)</f>
        <v>0.78</v>
      </c>
      <c r="O19" s="2671"/>
      <c r="P19" s="2671"/>
      <c r="Q19" s="2671"/>
      <c r="R19" s="2671"/>
      <c r="S19" s="2671"/>
      <c r="T19" s="2671"/>
      <c r="U19" s="2671"/>
      <c r="V19" s="2671"/>
      <c r="W19" s="2671"/>
      <c r="X19" s="2671"/>
      <c r="Y19" s="2671"/>
      <c r="Z19" s="2671"/>
      <c r="AA19" s="2671"/>
      <c r="AB19" s="2671"/>
      <c r="AC19" s="3463" t="s">
        <v>3460</v>
      </c>
      <c r="AD19" s="2671">
        <f>ROUND(1-(2041-2011)/60,2)</f>
        <v>0.5</v>
      </c>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2303</v>
      </c>
      <c r="D20" s="2676"/>
      <c r="E20" s="2673"/>
      <c r="F20" s="2673"/>
      <c r="G20" s="2673"/>
      <c r="H20" s="2673"/>
      <c r="I20" s="2673"/>
      <c r="J20" s="2673"/>
      <c r="K20" s="2672"/>
      <c r="L20" s="2672"/>
      <c r="M20" s="3463" t="s">
        <v>3461</v>
      </c>
      <c r="N20" s="2671">
        <v>0.85</v>
      </c>
      <c r="O20" s="2671"/>
      <c r="P20" s="2671"/>
      <c r="Q20" s="2671"/>
      <c r="R20" s="2671"/>
      <c r="S20" s="2671"/>
      <c r="T20" s="2671"/>
      <c r="U20" s="2671"/>
      <c r="V20" s="2671"/>
      <c r="W20" s="2671"/>
      <c r="X20" s="2671"/>
      <c r="Y20" s="2671"/>
      <c r="Z20" s="2671"/>
      <c r="AA20" s="2671"/>
      <c r="AB20" s="2671"/>
      <c r="AC20" s="2671"/>
      <c r="AD20" s="2671">
        <v>0.8</v>
      </c>
      <c r="AE20" s="2671"/>
      <c r="AF20" s="2671"/>
      <c r="AG20" s="2671"/>
      <c r="AH20" s="2671"/>
      <c r="AI20" s="2671"/>
      <c r="AJ20" s="2671"/>
      <c r="AK20" s="2671"/>
      <c r="AL20" s="2671"/>
      <c r="AM20" s="2671"/>
      <c r="AN20" s="2671"/>
      <c r="AO20" s="2671"/>
      <c r="AP20" s="2671"/>
      <c r="AQ20" s="2671"/>
      <c r="AR20" s="2671"/>
    </row>
    <row r="21" spans="1:67" ht="14.25">
      <c r="A21" s="1724" t="s">
        <v>1213</v>
      </c>
      <c r="B21" s="104">
        <f>B20</f>
        <v>2</v>
      </c>
      <c r="C21" s="2673"/>
      <c r="D21" s="2676"/>
      <c r="E21" s="2673"/>
      <c r="F21" s="2673"/>
      <c r="G21" s="2673"/>
      <c r="H21" s="2673"/>
      <c r="I21" s="2673"/>
      <c r="J21" s="2673"/>
      <c r="K21" s="2672"/>
      <c r="L21" s="2672"/>
      <c r="M21" s="2671"/>
      <c r="N21" s="2671">
        <f>ROUND((N19+N20)/2,2)</f>
        <v>0.82</v>
      </c>
      <c r="O21" s="2671"/>
      <c r="P21" s="2671"/>
      <c r="Q21" s="2671"/>
      <c r="R21" s="2671"/>
      <c r="S21" s="2671"/>
      <c r="T21" s="2671"/>
      <c r="U21" s="2671"/>
      <c r="V21" s="2671"/>
      <c r="W21" s="2671"/>
      <c r="X21" s="2671"/>
      <c r="Y21" s="2671"/>
      <c r="Z21" s="2671"/>
      <c r="AA21" s="2671"/>
      <c r="AB21" s="2671"/>
      <c r="AC21" s="2671"/>
      <c r="AD21" s="2671">
        <f>(AD19+AD20)/2</f>
        <v>0.65</v>
      </c>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2307</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成本法!C10</f>
        <v>1376</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3" t="s">
        <v>2295</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2296</v>
      </c>
      <c r="D34" s="2684" t="s">
        <v>2304</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2297</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2299</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2299</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2314</v>
      </c>
      <c r="B40" s="1078">
        <f ca="1">IF(A40="利息：取LPR",存贷款利率!G1,存贷款利率!G1+C40)</f>
        <v>3.4500000000000003E-2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7.0000000000000007E-2</v>
      </c>
      <c r="C44" s="2803" t="s">
        <v>2308</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2300</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2301</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2309</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2300</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2302</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30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144</v>
      </c>
      <c r="C53" s="2661" t="s">
        <v>1246</v>
      </c>
      <c r="D53" s="2804" t="s">
        <v>2306</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f>C54</f>
        <v>30</v>
      </c>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74" t="s">
        <v>2286</v>
      </c>
      <c r="B1" s="3575"/>
      <c r="C1" s="3575"/>
      <c r="D1" s="3575"/>
      <c r="E1" s="3575"/>
      <c r="F1" s="3575"/>
      <c r="G1" s="3575"/>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B16" sqref="B16"/>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68805.62</v>
      </c>
      <c r="C1" s="2686"/>
      <c r="D1" s="2686"/>
      <c r="E1" s="2686"/>
      <c r="F1" s="2686"/>
      <c r="G1" s="2687"/>
      <c r="H1" s="2688"/>
      <c r="I1" s="2688"/>
      <c r="J1" s="2688"/>
      <c r="K1" s="2688"/>
    </row>
    <row r="2" spans="1:11" ht="16.5">
      <c r="A2" s="2512" t="s">
        <v>653</v>
      </c>
      <c r="B2" s="2512">
        <f>SUM(C14:C23)</f>
        <v>11305.41</v>
      </c>
      <c r="C2" s="2686"/>
      <c r="D2" s="2686"/>
      <c r="E2" s="2686"/>
      <c r="F2" s="2686"/>
      <c r="G2" s="2687"/>
      <c r="H2" s="2688"/>
      <c r="I2" s="2688"/>
      <c r="J2" s="2688"/>
      <c r="K2" s="2688"/>
    </row>
    <row r="3" spans="1:11" ht="16.5">
      <c r="A3" s="2512" t="s">
        <v>662</v>
      </c>
      <c r="B3" s="2514">
        <f>项目基本情况!D3</f>
        <v>45321</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240880</v>
      </c>
      <c r="C5" s="2512">
        <f ca="1">IF(B5=D14,结果表!H102,ROUND(B5*10000/$B$1,0))</f>
        <v>35009</v>
      </c>
      <c r="D5" s="2512">
        <f ca="1">ROUND(B5*10000/$B$2,0)</f>
        <v>213066</v>
      </c>
      <c r="E5" s="2686"/>
      <c r="F5" s="2687"/>
      <c r="G5" s="2687"/>
      <c r="H5" s="2688"/>
      <c r="I5" s="2688"/>
      <c r="J5" s="2688"/>
      <c r="K5" s="2688"/>
    </row>
    <row r="6" spans="1:11" ht="16.5">
      <c r="A6" s="2512" t="s">
        <v>656</v>
      </c>
      <c r="B6" s="2512">
        <f ca="1">SUM(G14:G23)</f>
        <v>240880</v>
      </c>
      <c r="C6" s="2512">
        <f ca="1">IF(B6=G14,结果表!H108,ROUND(B6*10000/$B$1,0))</f>
        <v>35009</v>
      </c>
      <c r="D6" s="2512">
        <f ca="1">ROUND(B6*10000/$B$2,0)</f>
        <v>213066</v>
      </c>
      <c r="E6" s="2686"/>
      <c r="F6" s="2687"/>
      <c r="G6" s="2687"/>
      <c r="H6" s="2688"/>
      <c r="I6" s="2688"/>
      <c r="J6" s="2688"/>
      <c r="K6" s="2688"/>
    </row>
    <row r="7" spans="1:11" ht="16.5">
      <c r="A7" s="2512" t="s">
        <v>664</v>
      </c>
      <c r="B7" s="2512">
        <f>SUM(H14:H23)</f>
        <v>0</v>
      </c>
      <c r="C7" s="2512" t="str">
        <f>IF(B7=H14,结果表!H110,ROUND(B7*10000/$B$1,0))</f>
        <v>——</v>
      </c>
      <c r="D7" s="2512">
        <f>ROUND(B7*10000/$B$2,0)</f>
        <v>0</v>
      </c>
      <c r="E7" s="2686"/>
      <c r="F7" s="2687"/>
      <c r="G7" s="2687"/>
      <c r="H7" s="2688"/>
      <c r="I7" s="2688"/>
      <c r="J7" s="2688"/>
      <c r="K7" s="2688"/>
    </row>
    <row r="8" spans="1:11" ht="16.5">
      <c r="A8" s="2512" t="s">
        <v>587</v>
      </c>
      <c r="B8" s="2512">
        <f>SUM(I14:I23)</f>
        <v>0</v>
      </c>
      <c r="C8" s="2512" t="str">
        <f>IF(B8=I14,结果表!H112,ROUND(B8*10000/$B$1,0))</f>
        <v>——</v>
      </c>
      <c r="D8" s="2512">
        <f>ROUND(B8*10000/$B$2,0)</f>
        <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3360</v>
      </c>
      <c r="D10" s="2512" t="s">
        <v>3361</v>
      </c>
      <c r="E10" s="3441"/>
      <c r="F10" s="3445" t="s">
        <v>3362</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68805.62</v>
      </c>
      <c r="C14" s="2518">
        <f>结果表!C118</f>
        <v>11305.41</v>
      </c>
      <c r="D14" s="2518">
        <f ca="1">结果表!H118</f>
        <v>240880</v>
      </c>
      <c r="E14" s="2518">
        <f ca="1">ROUND(D14*10000/B14,0)</f>
        <v>35009</v>
      </c>
      <c r="F14" s="2518">
        <f ca="1">ROUND(D14*10000/C14,0)</f>
        <v>213066</v>
      </c>
      <c r="G14" s="2518">
        <f ca="1">结果表!D122</f>
        <v>240880</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85" zoomScaleNormal="100" zoomScaleSheetLayoutView="85" zoomScalePageLayoutView="80" workbookViewId="0">
      <selection activeCell="G24" sqref="G24"/>
    </sheetView>
  </sheetViews>
  <sheetFormatPr defaultColWidth="12.625" defaultRowHeight="21.75" customHeight="1"/>
  <cols>
    <col min="1" max="2" width="12.625" style="1753"/>
    <col min="3" max="3" width="12.625" style="1753" customWidth="1"/>
    <col min="4" max="4" width="15.7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t="s">
        <v>3573</v>
      </c>
      <c r="H1" s="1750" t="str">
        <f>IF(G1="现房","——","估价对象范围")</f>
        <v>——</v>
      </c>
      <c r="I1" s="1751" t="s">
        <v>3574</v>
      </c>
    </row>
    <row r="2" spans="1:12" ht="21.75" customHeight="1" thickBot="1">
      <c r="A2" s="3643" t="str">
        <f>项目基本情况!S2</f>
        <v>北京市房地产</v>
      </c>
      <c r="B2" s="3644"/>
      <c r="C2" s="3644"/>
      <c r="D2" s="3644"/>
      <c r="E2" s="3644"/>
      <c r="F2" s="3644"/>
      <c r="G2" s="3644"/>
      <c r="H2" s="3644"/>
      <c r="I2" s="3645"/>
    </row>
    <row r="3" spans="1:12" ht="12.75">
      <c r="A3" s="3647" t="s">
        <v>1264</v>
      </c>
      <c r="B3" s="3648"/>
      <c r="C3" s="3648"/>
      <c r="D3" s="3648"/>
      <c r="E3" s="3648"/>
      <c r="F3" s="3648"/>
      <c r="G3" s="3648"/>
      <c r="H3" s="3648"/>
      <c r="I3" s="3648"/>
    </row>
    <row r="4" spans="1:12" ht="14.25">
      <c r="A4" s="1754" t="s">
        <v>1265</v>
      </c>
      <c r="B4" s="1755" t="s">
        <v>1266</v>
      </c>
      <c r="C4" s="1756" t="s">
        <v>3557</v>
      </c>
      <c r="D4" s="1756" t="s">
        <v>3567</v>
      </c>
      <c r="E4" s="3652" t="s">
        <v>1267</v>
      </c>
      <c r="F4" s="3653"/>
      <c r="G4" s="3653"/>
      <c r="H4" s="3653"/>
      <c r="I4" s="3654"/>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1" t="s">
        <v>1268</v>
      </c>
      <c r="B5" s="3646">
        <v>25</v>
      </c>
      <c r="C5" s="3649"/>
      <c r="D5" s="3637"/>
      <c r="E5" s="131" t="s">
        <v>1269</v>
      </c>
      <c r="F5" s="1757"/>
      <c r="G5" s="1757"/>
      <c r="H5" s="1757"/>
      <c r="I5" s="1373"/>
    </row>
    <row r="6" spans="1:12" ht="12.75">
      <c r="A6" s="3591"/>
      <c r="B6" s="3646"/>
      <c r="C6" s="3651"/>
      <c r="D6" s="3637"/>
      <c r="E6" s="131" t="s">
        <v>1270</v>
      </c>
      <c r="F6" s="1757"/>
      <c r="G6" s="1757"/>
      <c r="H6" s="1757"/>
      <c r="I6" s="1373"/>
    </row>
    <row r="7" spans="1:12" ht="12.75">
      <c r="A7" s="3591"/>
      <c r="B7" s="3646"/>
      <c r="C7" s="3650"/>
      <c r="D7" s="3637"/>
      <c r="E7" s="131" t="s">
        <v>1271</v>
      </c>
      <c r="F7" s="1757"/>
      <c r="G7" s="1757"/>
      <c r="H7" s="1757"/>
      <c r="I7" s="1373"/>
    </row>
    <row r="8" spans="1:12" ht="12.75">
      <c r="A8" s="3591" t="s">
        <v>1272</v>
      </c>
      <c r="B8" s="3646">
        <v>15</v>
      </c>
      <c r="C8" s="3649"/>
      <c r="D8" s="3637"/>
      <c r="E8" s="131" t="s">
        <v>1273</v>
      </c>
      <c r="F8" s="1757"/>
      <c r="G8" s="1757"/>
      <c r="H8" s="1757"/>
      <c r="I8" s="1373"/>
    </row>
    <row r="9" spans="1:12" ht="12.75">
      <c r="A9" s="3591"/>
      <c r="B9" s="3646"/>
      <c r="C9" s="3650"/>
      <c r="D9" s="3637"/>
      <c r="E9" s="131" t="s">
        <v>1274</v>
      </c>
      <c r="F9" s="1757"/>
      <c r="G9" s="1757"/>
      <c r="H9" s="1757"/>
      <c r="I9" s="1373"/>
    </row>
    <row r="10" spans="1:12" ht="12.75">
      <c r="A10" s="3591" t="s">
        <v>1275</v>
      </c>
      <c r="B10" s="3646">
        <v>15</v>
      </c>
      <c r="C10" s="3649"/>
      <c r="D10" s="3637"/>
      <c r="E10" s="131" t="s">
        <v>1276</v>
      </c>
      <c r="F10" s="1757"/>
      <c r="G10" s="1757"/>
      <c r="H10" s="1757"/>
      <c r="I10" s="1373"/>
    </row>
    <row r="11" spans="1:12" ht="12.75">
      <c r="A11" s="3591"/>
      <c r="B11" s="3646"/>
      <c r="C11" s="3650"/>
      <c r="D11" s="3637"/>
      <c r="E11" s="131" t="s">
        <v>1277</v>
      </c>
      <c r="F11" s="1757"/>
      <c r="G11" s="1757"/>
      <c r="H11" s="1757"/>
      <c r="I11" s="1373"/>
    </row>
    <row r="12" spans="1:12" ht="12.75">
      <c r="A12" s="3591" t="s">
        <v>1278</v>
      </c>
      <c r="B12" s="3646">
        <v>15</v>
      </c>
      <c r="C12" s="3649"/>
      <c r="D12" s="3637"/>
      <c r="E12" s="131" t="s">
        <v>1279</v>
      </c>
      <c r="F12" s="1757"/>
      <c r="G12" s="1757"/>
      <c r="H12" s="1757"/>
      <c r="I12" s="1373"/>
    </row>
    <row r="13" spans="1:12" ht="12.75">
      <c r="A13" s="3591"/>
      <c r="B13" s="3646"/>
      <c r="C13" s="3650"/>
      <c r="D13" s="3637"/>
      <c r="E13" s="131" t="s">
        <v>1280</v>
      </c>
      <c r="F13" s="1757"/>
      <c r="G13" s="1757"/>
      <c r="H13" s="1757"/>
      <c r="I13" s="1373"/>
    </row>
    <row r="14" spans="1:12" ht="12.75">
      <c r="A14" s="3591" t="s">
        <v>1281</v>
      </c>
      <c r="B14" s="3646">
        <v>30</v>
      </c>
      <c r="C14" s="3649">
        <v>7</v>
      </c>
      <c r="D14" s="3637">
        <v>3</v>
      </c>
      <c r="E14" s="131" t="s">
        <v>1282</v>
      </c>
      <c r="F14" s="1757"/>
      <c r="G14" s="1757"/>
      <c r="H14" s="1757"/>
      <c r="I14" s="1373"/>
    </row>
    <row r="15" spans="1:12" ht="12.75">
      <c r="A15" s="3591"/>
      <c r="B15" s="3646"/>
      <c r="C15" s="3651"/>
      <c r="D15" s="3637"/>
      <c r="E15" s="131" t="s">
        <v>1283</v>
      </c>
      <c r="F15" s="1757"/>
      <c r="G15" s="1757"/>
      <c r="H15" s="1757"/>
      <c r="I15" s="1373"/>
    </row>
    <row r="16" spans="1:12" ht="12.75">
      <c r="A16" s="3591"/>
      <c r="B16" s="3646"/>
      <c r="C16" s="3650"/>
      <c r="D16" s="3637"/>
      <c r="E16" s="131" t="s">
        <v>1284</v>
      </c>
      <c r="F16" s="1757"/>
      <c r="G16" s="1757"/>
      <c r="H16" s="1757"/>
      <c r="I16" s="1373"/>
    </row>
    <row r="17" spans="1:36" ht="15">
      <c r="A17" s="1758" t="s">
        <v>1285</v>
      </c>
      <c r="B17" s="56"/>
      <c r="C17" s="132">
        <f>SUM(C5:C16)</f>
        <v>7</v>
      </c>
      <c r="D17" s="132">
        <f>SUM(D5:D16)</f>
        <v>3</v>
      </c>
      <c r="E17" s="129"/>
      <c r="F17" s="129"/>
      <c r="G17" s="129"/>
      <c r="H17" s="129"/>
      <c r="I17" s="129"/>
      <c r="K17" s="302"/>
      <c r="L17" s="302" t="s">
        <v>1286</v>
      </c>
      <c r="M17" s="302" t="s">
        <v>1287</v>
      </c>
    </row>
    <row r="18" spans="1:36" ht="31.9" customHeight="1" thickBot="1">
      <c r="A18" s="1759" t="s">
        <v>1288</v>
      </c>
      <c r="B18" s="1760"/>
      <c r="C18" s="133">
        <f>ROUND(C17/SUM(C17:D17),2)</f>
        <v>0.7</v>
      </c>
      <c r="D18" s="133">
        <f>1-C18</f>
        <v>0.30000000000000004</v>
      </c>
      <c r="E18" s="3668" t="s">
        <v>2131</v>
      </c>
      <c r="F18" s="3669"/>
      <c r="G18" s="3669"/>
      <c r="H18" s="3669"/>
      <c r="I18" s="3669"/>
      <c r="K18" s="302" t="s">
        <v>1289</v>
      </c>
      <c r="L18" s="302">
        <f>IF(C1="",'数据-汇总表'!E3,SUMIF(项目类型,C1,'数据-汇总表'!E17:E26)+SUMIF(项目类型,C1,'数据-汇总表'!I17:I26))</f>
        <v>68805.62</v>
      </c>
      <c r="M18" s="302">
        <f>IF(C1="",'数据-汇总表'!E3,SUMIF(项目类型,C1,'数据-汇总表'!E17:E26))</f>
        <v>68805.62</v>
      </c>
    </row>
    <row r="19" spans="1:36" ht="15">
      <c r="A19" s="1761" t="s">
        <v>1290</v>
      </c>
      <c r="B19" s="1762" t="s">
        <v>1291</v>
      </c>
      <c r="C19" s="134">
        <f ca="1">SUMIF(INDIRECT("'"&amp;C4&amp;"'"&amp;"!A:A"),结果表!B19,INDIRECT("'"&amp;C4&amp;"'"&amp;"!B:B"))</f>
        <v>286713</v>
      </c>
      <c r="D19" s="135">
        <f ca="1">SUMIF(INDIRECT("'"&amp;D4&amp;"'"&amp;"!A:A"),结果表!B19,INDIRECT("'"&amp;D4&amp;"'"&amp;"!B:B"))</f>
        <v>133936</v>
      </c>
      <c r="E19" s="1761" t="s">
        <v>1292</v>
      </c>
      <c r="F19" s="1762" t="s">
        <v>1291</v>
      </c>
      <c r="G19" s="136">
        <f ca="1">ROUND(C19*$C$18+D19*$D$18,0)</f>
        <v>240880</v>
      </c>
      <c r="H19" s="1763" t="s">
        <v>1293</v>
      </c>
      <c r="I19" s="129"/>
      <c r="K19" s="302" t="s">
        <v>1294</v>
      </c>
      <c r="L19" s="302">
        <f>IF(C1="",'数据-汇总表'!D3,SUMIF(项目类型,C1,'数据-汇总表'!D17:D26)+SUMIF(项目类型,C1,'数据-汇总表'!H17:H27))</f>
        <v>11305.41</v>
      </c>
      <c r="M19" s="302">
        <f>IF(C1="",'数据-汇总表'!D3,SUMIF(项目类型,C1,'数据-汇总表'!D17:D26))</f>
        <v>11305.41</v>
      </c>
    </row>
    <row r="20" spans="1:36" ht="15">
      <c r="A20" s="1764"/>
      <c r="B20" s="1026" t="s">
        <v>1295</v>
      </c>
      <c r="C20" s="137">
        <f ca="1">SUMIF(INDIRECT("'"&amp;C4&amp;"'"&amp;"!A:A"),结果表!B20,INDIRECT("'"&amp;C4&amp;"'"&amp;"!B:B"))</f>
        <v>41670</v>
      </c>
      <c r="D20" s="138">
        <f ca="1">SUMIF(INDIRECT("'"&amp;D4&amp;"'"&amp;"!A:A"),结果表!B20,INDIRECT("'"&amp;D4&amp;"'"&amp;"!B:B"))</f>
        <v>19466</v>
      </c>
      <c r="E20" s="1764"/>
      <c r="F20" s="1026" t="s">
        <v>1295</v>
      </c>
      <c r="G20" s="139">
        <f ca="1">ROUND(C20*$C$18+D20*$D$18,0)</f>
        <v>35009</v>
      </c>
      <c r="H20" s="808" t="s">
        <v>1296</v>
      </c>
      <c r="I20" s="129"/>
    </row>
    <row r="21" spans="1:36" ht="15" customHeight="1" thickBot="1">
      <c r="A21" s="828"/>
      <c r="B21" s="1765" t="s">
        <v>1297</v>
      </c>
      <c r="C21" s="719">
        <f ca="1">ROUND(C19*10000/L19,0)</f>
        <v>253607</v>
      </c>
      <c r="D21" s="720">
        <f ca="1">ROUND(D19*10000/L19,0)</f>
        <v>118471</v>
      </c>
      <c r="E21" s="828"/>
      <c r="F21" s="1765" t="s">
        <v>1297</v>
      </c>
      <c r="G21" s="140">
        <f ca="1">ROUND(G19*10000/L19,0)</f>
        <v>213066</v>
      </c>
      <c r="H21" s="1766" t="s">
        <v>1296</v>
      </c>
      <c r="I21" s="129"/>
      <c r="J21" s="725" t="s">
        <v>3575</v>
      </c>
    </row>
    <row r="22" spans="1:36" ht="15" thickBot="1">
      <c r="A22" s="1688" t="s">
        <v>1298</v>
      </c>
      <c r="B22" s="1767"/>
      <c r="C22" s="1768"/>
      <c r="D22" s="721">
        <f ca="1">IF(C19&lt;D19,D19/C19-1,C19/D19-1)</f>
        <v>1.1406716640783658</v>
      </c>
      <c r="E22" s="129"/>
      <c r="F22" s="129"/>
      <c r="G22" s="129"/>
      <c r="H22" s="129"/>
      <c r="I22" s="129"/>
      <c r="J22" s="725">
        <v>240865</v>
      </c>
    </row>
    <row r="23" spans="1:36" ht="13.5" thickBot="1">
      <c r="A23" s="1747"/>
      <c r="B23" s="1747"/>
      <c r="C23" s="1747"/>
      <c r="D23" s="1747"/>
      <c r="E23" s="129"/>
      <c r="F23" s="129"/>
      <c r="G23" s="129"/>
      <c r="H23" s="129"/>
      <c r="I23" s="129"/>
    </row>
    <row r="24" spans="1:36" ht="14.25">
      <c r="A24" s="3661" t="s">
        <v>1299</v>
      </c>
      <c r="B24" s="1762" t="s">
        <v>1291</v>
      </c>
      <c r="C24" s="136">
        <f>IF(B30=0,0,D30)</f>
        <v>0</v>
      </c>
      <c r="D24" s="1769"/>
      <c r="E24" s="129"/>
      <c r="F24" s="129"/>
      <c r="G24" s="129"/>
      <c r="H24" s="129"/>
      <c r="I24" s="129"/>
    </row>
    <row r="25" spans="1:36" ht="14.25">
      <c r="A25" s="3662"/>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f ca="1">G19/'数据-汇总表'!F31</f>
        <v>6.3340934525963268</v>
      </c>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240880</v>
      </c>
      <c r="D32" s="1775" t="s">
        <v>3572</v>
      </c>
      <c r="E32" s="129"/>
      <c r="F32" s="129"/>
      <c r="G32" s="129"/>
      <c r="H32" s="129"/>
      <c r="I32" s="129"/>
    </row>
    <row r="33" spans="1:15" ht="15">
      <c r="A33" s="786" t="s">
        <v>1306</v>
      </c>
      <c r="B33" s="1776"/>
      <c r="C33" s="1777" t="s">
        <v>3578</v>
      </c>
      <c r="D33" s="1778" t="s">
        <v>3562</v>
      </c>
      <c r="E33" s="1779" t="s">
        <v>1307</v>
      </c>
      <c r="F33" s="1780" t="str">
        <f>IF(D32="楼面单价","取值（单价）","取值（总价）")</f>
        <v>取值（总价）</v>
      </c>
      <c r="G33" s="129"/>
      <c r="H33" s="129"/>
      <c r="I33" s="129"/>
    </row>
    <row r="34" spans="1:15" ht="15">
      <c r="A34" s="1781"/>
      <c r="B34" s="1782" t="s">
        <v>1308</v>
      </c>
      <c r="C34" s="148">
        <f ca="1">IF(C33="自定义",F34,C32-C35)</f>
        <v>183791</v>
      </c>
      <c r="D34" s="861">
        <f ca="1">IF(C33="自定义",ROUND(C34/C32,3),IF(C33="收益比率",SUMIF(INDIRECT("'"&amp;D33&amp;"'"&amp;"!b:b"),"土地收益比率",INDIRECT("'"&amp;D33&amp;"'"&amp;"!c:c")),SUMIF(INDIRECT("'"&amp;D33&amp;"'"&amp;"!b:b"),"土地成本比率",INDIRECT("'"&amp;D33&amp;"'"&amp;"!c:c"))))</f>
        <v>0.76300000000000001</v>
      </c>
      <c r="E34" s="1783" t="s">
        <v>1309</v>
      </c>
      <c r="F34" s="1330"/>
      <c r="G34" s="129"/>
      <c r="H34" s="129"/>
      <c r="I34" s="129"/>
    </row>
    <row r="35" spans="1:15" ht="15.75" thickBot="1">
      <c r="A35" s="1784"/>
      <c r="B35" s="1785" t="s">
        <v>1310</v>
      </c>
      <c r="C35" s="1170">
        <f ca="1">IF(C33="自定义",F35,ROUND(C32*D35,0))</f>
        <v>57089</v>
      </c>
      <c r="D35" s="1171">
        <f ca="1">IF(C33="自定义",ROUND(C35/C32,3),IF(C33="收益比率",SUMIF(INDIRECT("'"&amp;D33&amp;"'"&amp;"!b:b"),"建筑物收益比率",INDIRECT("'"&amp;D33&amp;"'"&amp;"!c:c")),SUMIF(INDIRECT("'"&amp;D33&amp;"'"&amp;"!b:b"),"建筑物成本比率",INDIRECT("'"&amp;D33&amp;"'"&amp;"!c:c"))))</f>
        <v>0.23699999999999999</v>
      </c>
      <c r="E35" s="1786" t="s">
        <v>1311</v>
      </c>
      <c r="F35" s="154"/>
      <c r="G35" s="129"/>
      <c r="H35" s="129"/>
      <c r="I35" s="129"/>
    </row>
    <row r="36" spans="1:15" ht="15.75" thickBot="1">
      <c r="A36" s="3638" t="s">
        <v>1312</v>
      </c>
      <c r="B36" s="1787" t="s">
        <v>1313</v>
      </c>
      <c r="C36" s="145"/>
      <c r="D36" s="1788"/>
      <c r="E36" s="1789"/>
      <c r="F36" s="1790"/>
      <c r="G36" s="129"/>
      <c r="H36" s="129"/>
      <c r="I36" s="129"/>
    </row>
    <row r="37" spans="1:15" ht="15.75" thickBot="1">
      <c r="A37" s="3639"/>
      <c r="B37" s="1674" t="s">
        <v>1314</v>
      </c>
      <c r="C37" s="147"/>
      <c r="D37" s="1139"/>
      <c r="E37" s="1139"/>
      <c r="F37" s="1790"/>
      <c r="G37" s="129"/>
      <c r="H37" s="129"/>
      <c r="I37" s="129"/>
    </row>
    <row r="38" spans="1:15" ht="15.75" thickBot="1">
      <c r="A38" s="3640"/>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58" t="s">
        <v>1326</v>
      </c>
      <c r="B45" s="3659"/>
      <c r="C45" s="3660"/>
      <c r="D45" s="155">
        <f ca="1">ROUND(H101*F45,0)</f>
        <v>240880</v>
      </c>
      <c r="E45" s="156" t="s">
        <v>1327</v>
      </c>
      <c r="F45" s="157">
        <v>1</v>
      </c>
      <c r="G45" s="158" t="s">
        <v>1328</v>
      </c>
      <c r="H45" s="129"/>
      <c r="I45" s="129"/>
      <c r="J45" s="3578" t="s">
        <v>1329</v>
      </c>
      <c r="K45" s="3578"/>
      <c r="L45" s="3578"/>
      <c r="M45" s="3578"/>
      <c r="N45" s="3578"/>
      <c r="O45" s="3578"/>
    </row>
    <row r="46" spans="1:15" ht="14.25" customHeight="1">
      <c r="A46" s="3655" t="s">
        <v>1330</v>
      </c>
      <c r="B46" s="3656"/>
      <c r="C46" s="3656"/>
      <c r="D46" s="3656"/>
      <c r="E46" s="3656"/>
      <c r="F46" s="3656"/>
      <c r="G46" s="3657"/>
      <c r="H46" s="1806"/>
      <c r="I46" s="159"/>
      <c r="J46" s="2523">
        <v>1</v>
      </c>
      <c r="K46" s="3579" t="s">
        <v>1331</v>
      </c>
      <c r="L46" s="3579"/>
      <c r="M46" s="3580"/>
      <c r="N46" s="3580"/>
      <c r="O46" s="3580"/>
    </row>
    <row r="47" spans="1:15" ht="12" customHeight="1">
      <c r="A47" s="160" t="s">
        <v>1332</v>
      </c>
      <c r="B47" s="161"/>
      <c r="C47" s="162"/>
      <c r="D47" s="1087" t="s">
        <v>1333</v>
      </c>
      <c r="E47" s="302" t="s">
        <v>1334</v>
      </c>
      <c r="F47" s="163" t="s">
        <v>1335</v>
      </c>
      <c r="G47" s="2546" t="s">
        <v>1336</v>
      </c>
      <c r="H47" s="2547"/>
      <c r="I47" s="159"/>
      <c r="J47" s="2523">
        <v>2</v>
      </c>
      <c r="K47" s="3579" t="s">
        <v>1337</v>
      </c>
      <c r="L47" s="3579"/>
      <c r="M47" s="3581">
        <f>'数据-取费表'!B2</f>
        <v>45321</v>
      </c>
      <c r="N47" s="3581"/>
      <c r="O47" s="3581"/>
    </row>
    <row r="48" spans="1:15" ht="25.5">
      <c r="A48" s="3641" t="s">
        <v>1338</v>
      </c>
      <c r="B48" s="3642"/>
      <c r="C48" s="3642"/>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1339</v>
      </c>
      <c r="H48" s="2550"/>
      <c r="I48" s="1806"/>
      <c r="J48" s="2523">
        <v>3</v>
      </c>
      <c r="K48" s="3579" t="s">
        <v>1340</v>
      </c>
      <c r="L48" s="3579"/>
      <c r="M48" s="3582">
        <f ca="1">H101</f>
        <v>240880</v>
      </c>
      <c r="N48" s="3582"/>
      <c r="O48" s="3582"/>
    </row>
    <row r="49" spans="1:35" ht="25.5" customHeight="1">
      <c r="A49" s="2333" t="s">
        <v>1341</v>
      </c>
      <c r="B49" s="3627" t="s">
        <v>1342</v>
      </c>
      <c r="C49" s="3627"/>
      <c r="D49" s="1590">
        <v>0</v>
      </c>
      <c r="E49" s="324" t="s">
        <v>1343</v>
      </c>
      <c r="F49" s="2424" t="s">
        <v>28</v>
      </c>
      <c r="G49" s="3610"/>
      <c r="H49" s="2310" t="s">
        <v>2134</v>
      </c>
      <c r="I49" s="2311"/>
      <c r="J49" s="2523">
        <v>4</v>
      </c>
      <c r="K49" s="3579" t="str">
        <f>IF(项目基本情况!E8="房地产抵押价值","房地产抵押价值","抵押担保权已注销时的房地产抵押价值")</f>
        <v>房地产抵押价值</v>
      </c>
      <c r="L49" s="3579"/>
      <c r="M49" s="3582">
        <f ca="1">IF(项目基本情况!E8="房地产抵押价值",H107,H109)</f>
        <v>240880</v>
      </c>
      <c r="N49" s="3582"/>
      <c r="O49" s="3582"/>
    </row>
    <row r="50" spans="1:35" ht="25.5" customHeight="1">
      <c r="A50" s="2551"/>
      <c r="B50" s="3627" t="s">
        <v>1344</v>
      </c>
      <c r="C50" s="3627"/>
      <c r="D50" s="2552"/>
      <c r="E50" s="332"/>
      <c r="F50" s="2424"/>
      <c r="G50" s="3611"/>
      <c r="H50" s="2312" t="s">
        <v>2135</v>
      </c>
      <c r="I50" s="2311"/>
      <c r="J50" s="3578" t="s">
        <v>1345</v>
      </c>
      <c r="K50" s="3578"/>
      <c r="L50" s="3578"/>
      <c r="M50" s="3578"/>
      <c r="N50" s="3578"/>
      <c r="O50" s="3578"/>
    </row>
    <row r="51" spans="1:35" ht="20.45" customHeight="1">
      <c r="A51" s="2553"/>
      <c r="B51" s="3627" t="s">
        <v>1346</v>
      </c>
      <c r="C51" s="3627"/>
      <c r="D51" s="1087"/>
      <c r="E51" s="327"/>
      <c r="F51" s="2424"/>
      <c r="G51" s="3612"/>
      <c r="H51" s="2312" t="s">
        <v>2136</v>
      </c>
      <c r="I51" s="2311"/>
      <c r="J51" s="2524" t="s">
        <v>1347</v>
      </c>
      <c r="K51" s="3579" t="s">
        <v>1348</v>
      </c>
      <c r="L51" s="3579"/>
      <c r="M51" s="2524" t="s">
        <v>1349</v>
      </c>
      <c r="N51" s="2524" t="s">
        <v>1350</v>
      </c>
      <c r="O51" s="2524" t="s">
        <v>1351</v>
      </c>
    </row>
    <row r="52" spans="1:35" ht="24" customHeight="1">
      <c r="A52" s="2335" t="s">
        <v>1352</v>
      </c>
      <c r="B52" s="3627" t="s">
        <v>1353</v>
      </c>
      <c r="C52" s="3627"/>
      <c r="D52" s="1087">
        <f ca="1">ROUND(D45*'数据-取费表'!B41/(1+'数据-取费表'!C42),0)</f>
        <v>12847</v>
      </c>
      <c r="E52" s="2334" t="s">
        <v>1354</v>
      </c>
      <c r="F52" s="2554">
        <f>'数据-取费表'!B41</f>
        <v>5.6000000000000001E-2</v>
      </c>
      <c r="G52" s="2555"/>
      <c r="H52" s="2544"/>
      <c r="I52" s="1807"/>
      <c r="J52" s="2523">
        <v>1</v>
      </c>
      <c r="K52" s="3604" t="s">
        <v>1355</v>
      </c>
      <c r="L52" s="3604"/>
      <c r="M52" s="2525" t="b">
        <f>D48</f>
        <v>0</v>
      </c>
      <c r="N52" s="2523" t="str">
        <f>E48</f>
        <v>销售额×税（费）率</v>
      </c>
      <c r="O52" s="2526">
        <f>F48</f>
        <v>5.6000000000000001E-2</v>
      </c>
    </row>
    <row r="53" spans="1:35" ht="12" customHeight="1">
      <c r="A53" s="2335" t="s">
        <v>1356</v>
      </c>
      <c r="B53" s="3628" t="s">
        <v>2291</v>
      </c>
      <c r="C53" s="3629"/>
      <c r="D53" s="1087">
        <f ca="1">ROUND(D45*'数据-取费表'!B41/(1+'数据-取费表'!C42),0)</f>
        <v>12847</v>
      </c>
      <c r="E53" s="2334" t="s">
        <v>1354</v>
      </c>
      <c r="F53" s="2554">
        <f>'数据-取费表'!B41</f>
        <v>5.6000000000000001E-2</v>
      </c>
      <c r="G53" s="2555"/>
      <c r="H53" s="2544"/>
      <c r="I53" s="1807"/>
      <c r="J53" s="2523">
        <v>2</v>
      </c>
      <c r="K53" s="3604" t="s">
        <v>1357</v>
      </c>
      <c r="L53" s="3604"/>
      <c r="M53" s="2525">
        <f t="shared" ref="M53:O54" ca="1" si="0">D55</f>
        <v>120</v>
      </c>
      <c r="N53" s="2523" t="str">
        <f t="shared" si="0"/>
        <v>销售额×税（费）率</v>
      </c>
      <c r="O53" s="2526" t="str">
        <f t="shared" si="0"/>
        <v>免征</v>
      </c>
    </row>
    <row r="54" spans="1:35" ht="12" customHeight="1">
      <c r="A54" s="2335" t="s">
        <v>1358</v>
      </c>
      <c r="B54" s="3628" t="s">
        <v>2292</v>
      </c>
      <c r="C54" s="3629"/>
      <c r="D54" s="1087">
        <f ca="1">C68</f>
        <v>12847</v>
      </c>
      <c r="E54" s="327" t="s">
        <v>1359</v>
      </c>
      <c r="F54" s="2554">
        <f>'数据-取费表'!B41</f>
        <v>5.6000000000000001E-2</v>
      </c>
      <c r="G54" s="2555"/>
      <c r="H54" s="2556"/>
      <c r="I54" s="1807"/>
      <c r="J54" s="2523">
        <v>3</v>
      </c>
      <c r="K54" s="3604" t="s">
        <v>1360</v>
      </c>
      <c r="L54" s="3604"/>
      <c r="M54" s="2525">
        <f t="shared" ca="1" si="0"/>
        <v>136339</v>
      </c>
      <c r="N54" s="2523" t="str">
        <f t="shared" si="0"/>
        <v>增值额×税（费）率</v>
      </c>
      <c r="O54" s="2527" t="str">
        <f t="shared" si="0"/>
        <v>免征</v>
      </c>
    </row>
    <row r="55" spans="1:35" ht="24" customHeight="1">
      <c r="A55" s="3664" t="s">
        <v>1361</v>
      </c>
      <c r="B55" s="3642"/>
      <c r="C55" s="3642"/>
      <c r="D55" s="2324">
        <f ca="1">IF(H55="个人住宅",0,ROUND(D45*I55,0))</f>
        <v>120</v>
      </c>
      <c r="E55" s="2334" t="s">
        <v>1362</v>
      </c>
      <c r="F55" s="2554" t="str">
        <f>IF(H55="正常",I55,"免征")</f>
        <v>免征</v>
      </c>
      <c r="G55" s="2555"/>
      <c r="H55" s="2550"/>
      <c r="I55" s="165">
        <f>'数据-取费表'!B49</f>
        <v>5.0000000000000001E-4</v>
      </c>
      <c r="J55" s="2523">
        <f>IF(H59="非个人房产","",4)</f>
        <v>4</v>
      </c>
      <c r="K55" s="3604" t="str">
        <f>IF(H59="非个人房产","——","个人所得税")</f>
        <v>个人所得税</v>
      </c>
      <c r="L55" s="3604"/>
      <c r="M55" s="2528">
        <f ca="1">D59</f>
        <v>2294</v>
      </c>
      <c r="N55" s="2040" t="str">
        <f>E59</f>
        <v>差额计税</v>
      </c>
      <c r="O55" s="2529">
        <f>F59</f>
        <v>0.01</v>
      </c>
    </row>
    <row r="56" spans="1:35" ht="24.75">
      <c r="A56" s="3664" t="s">
        <v>1363</v>
      </c>
      <c r="B56" s="3642"/>
      <c r="C56" s="3642"/>
      <c r="D56" s="2324">
        <f ca="1">IF(H56="个人住宅",D57,D58)</f>
        <v>136339</v>
      </c>
      <c r="E56" s="2334" t="s">
        <v>1364</v>
      </c>
      <c r="F56" s="2554" t="str">
        <f>IF(H56="正常",F58,"免征")</f>
        <v>免征</v>
      </c>
      <c r="G56" s="2557" t="s">
        <v>1365</v>
      </c>
      <c r="H56" s="2558"/>
      <c r="I56" s="1808"/>
      <c r="J56" s="2523" t="str">
        <f>IF(项目基本情况!K6="上海银行",IF(J55="",4,J55+1),"")</f>
        <v/>
      </c>
      <c r="K56" s="3585" t="str">
        <f>IF(项目基本情况!K6="上海银行","其他处置费用","")</f>
        <v/>
      </c>
      <c r="L56" s="3586"/>
      <c r="M56" s="2525" t="str">
        <f>IF(项目基本情况!K6="上海银行",M69,"")</f>
        <v/>
      </c>
      <c r="N56" s="3585" t="str">
        <f>IF(项目基本情况!K6="上海银行","包含处置中涉及的律师、诉讼、拍卖、评估等费用","")</f>
        <v/>
      </c>
      <c r="O56" s="3588"/>
    </row>
    <row r="57" spans="1:35" ht="12.75">
      <c r="A57" s="2335" t="s">
        <v>1341</v>
      </c>
      <c r="B57" s="3628" t="s">
        <v>1366</v>
      </c>
      <c r="C57" s="3629"/>
      <c r="D57" s="1590">
        <v>0</v>
      </c>
      <c r="E57" s="324" t="s">
        <v>1343</v>
      </c>
      <c r="F57" s="302"/>
      <c r="G57" s="2555"/>
      <c r="H57" s="2559"/>
      <c r="I57" s="1808"/>
      <c r="J57" s="3604">
        <f>IF(AND(J55="",J56=""),4,IF(项目基本情况!K6="上海银行",结果表!J56+1,结果表!J55+1))</f>
        <v>5</v>
      </c>
      <c r="K57" s="3604" t="s">
        <v>1367</v>
      </c>
      <c r="L57" s="2530" t="s">
        <v>1368</v>
      </c>
      <c r="M57" s="2531"/>
      <c r="N57" s="2532">
        <f ca="1">SUMIF(M52:M56,"&lt;9e307")</f>
        <v>138753</v>
      </c>
      <c r="O57" s="2533"/>
      <c r="P57" s="2690">
        <f ca="1">N57/M49</f>
        <v>0.57602540684158088</v>
      </c>
    </row>
    <row r="58" spans="1:35" ht="24.75">
      <c r="A58" s="2335" t="s">
        <v>1352</v>
      </c>
      <c r="B58" s="3628" t="s">
        <v>1369</v>
      </c>
      <c r="C58" s="3627"/>
      <c r="D58" s="2324">
        <f ca="1">IF(H58="转让取得",C81,C97)</f>
        <v>136339</v>
      </c>
      <c r="E58" s="2334" t="s">
        <v>1364</v>
      </c>
      <c r="F58" s="302" t="s">
        <v>28</v>
      </c>
      <c r="G58" s="2555"/>
      <c r="H58" s="2558"/>
      <c r="I58" s="1808"/>
      <c r="J58" s="3604"/>
      <c r="K58" s="3604"/>
      <c r="L58" s="2530" t="s">
        <v>1370</v>
      </c>
      <c r="M58" s="2534"/>
      <c r="N58" s="2535" t="str">
        <f ca="1">NUMBERSTRING(INT(N57*10000),2)&amp;"元整"</f>
        <v>壹拾叁亿捌仟柒佰伍拾叁万元整</v>
      </c>
      <c r="O58" s="2536"/>
    </row>
    <row r="59" spans="1:35" ht="24.75" thickBot="1">
      <c r="A59" s="3608" t="s">
        <v>1371</v>
      </c>
      <c r="B59" s="3609"/>
      <c r="C59" s="3609"/>
      <c r="D59" s="2560">
        <f ca="1">IF(H59="非个人房产","——",IF(H59="个人住宅（满五唯一有凭证）",0,IF(H59="个人其他（无凭证）",ROUND(D45*F59,0),ROUND(C67*F59,0))))</f>
        <v>2294</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606">
        <f>J57+1</f>
        <v>6</v>
      </c>
      <c r="K59" s="3604" t="s">
        <v>1372</v>
      </c>
      <c r="L59" s="2523" t="s">
        <v>1368</v>
      </c>
      <c r="M59" s="2537"/>
      <c r="N59" s="2538">
        <f ca="1">M49-N57</f>
        <v>102127</v>
      </c>
      <c r="O59" s="2539"/>
    </row>
    <row r="60" spans="1:35" ht="12" customHeight="1">
      <c r="A60" s="1809"/>
      <c r="B60" s="1747"/>
      <c r="C60" s="1747"/>
      <c r="D60" s="1747"/>
      <c r="E60" s="1578"/>
      <c r="F60" s="1808"/>
      <c r="G60" s="1808"/>
      <c r="H60" s="1810"/>
      <c r="I60" s="129"/>
      <c r="J60" s="3607"/>
      <c r="K60" s="3604"/>
      <c r="L60" s="2530" t="s">
        <v>1370</v>
      </c>
      <c r="M60" s="2534"/>
      <c r="N60" s="2535" t="str">
        <f ca="1">NUMBERSTRING(INT(N59*10000),2)&amp;"元整"</f>
        <v>壹拾亿贰仟壹佰贰拾柒万元整</v>
      </c>
      <c r="O60" s="2536"/>
    </row>
    <row r="61" spans="1:35" ht="13.5" thickBot="1">
      <c r="A61" s="3663" t="s">
        <v>1373</v>
      </c>
      <c r="B61" s="3663"/>
      <c r="C61" s="3663"/>
      <c r="D61" s="3663"/>
      <c r="E61" s="3663"/>
      <c r="F61" s="1808"/>
      <c r="G61" s="1808"/>
      <c r="H61" s="1810"/>
      <c r="I61" s="129"/>
      <c r="J61" s="2523">
        <f>J59+1</f>
        <v>7</v>
      </c>
      <c r="K61" s="3604" t="s">
        <v>1374</v>
      </c>
      <c r="L61" s="3604"/>
      <c r="M61" s="2540"/>
      <c r="N61" s="2541">
        <f ca="1">ROUND(N59*10000/'数据-汇总表'!E3,0)</f>
        <v>14843</v>
      </c>
      <c r="O61" s="2542"/>
    </row>
    <row r="62" spans="1:35" ht="12.75">
      <c r="A62" s="3623" t="s">
        <v>1375</v>
      </c>
      <c r="B62" s="3624"/>
      <c r="C62" s="2021"/>
      <c r="D62" s="2021" t="s">
        <v>1376</v>
      </c>
      <c r="E62" s="166" t="s">
        <v>1377</v>
      </c>
      <c r="F62" s="1808"/>
      <c r="G62" s="1808"/>
      <c r="H62" s="1810"/>
      <c r="I62" s="129"/>
    </row>
    <row r="63" spans="1:35" ht="12.75">
      <c r="A63" s="173" t="s">
        <v>330</v>
      </c>
      <c r="B63" s="167" t="s">
        <v>1378</v>
      </c>
      <c r="C63" s="2564">
        <f ca="1">ROUND((C64+C65)/(1+'数据-取费表'!C42),0)</f>
        <v>229410</v>
      </c>
      <c r="D63" s="167"/>
      <c r="E63" s="168"/>
      <c r="F63" s="1808"/>
      <c r="G63" s="1808"/>
      <c r="H63" s="1810"/>
      <c r="I63" s="129"/>
      <c r="J63" s="3587" t="s">
        <v>1379</v>
      </c>
      <c r="K63" s="1332" t="s">
        <v>1380</v>
      </c>
      <c r="L63" s="1332">
        <f ca="1">IF(M49&gt;10000,M49*0.5%,IF(AND(M49&gt;1000,M49&lt;=10000),M49*1%,IF(AND(M49&gt;100,M49&lt;=1000),M49*3%,IF(AND(M49&gt;10,M49&lt;=100),M49*5%,M49*8%))))</f>
        <v>1204.4000000000001</v>
      </c>
      <c r="M63" s="302">
        <f ca="1">ROUND(L63,1)</f>
        <v>1204.4000000000001</v>
      </c>
      <c r="N63" s="2543"/>
      <c r="Z63" s="1752"/>
      <c r="AI63" s="1753"/>
    </row>
    <row r="64" spans="1:35" ht="14.25" customHeight="1">
      <c r="A64" s="169" t="s">
        <v>325</v>
      </c>
      <c r="B64" s="170" t="s">
        <v>1381</v>
      </c>
      <c r="C64" s="2565">
        <f ca="1">D45</f>
        <v>240880</v>
      </c>
      <c r="D64" s="170" t="s">
        <v>26</v>
      </c>
      <c r="E64" s="172"/>
      <c r="F64" s="1808"/>
      <c r="G64" s="1808"/>
      <c r="H64" s="1810"/>
      <c r="I64" s="129"/>
      <c r="J64" s="3587"/>
      <c r="K64" s="1332" t="s">
        <v>1382</v>
      </c>
      <c r="L64" s="1332">
        <f ca="1">IF(M49&gt;2000,M49*0.5%,IF(AND(M49&gt;1000,M49&lt;=2000),M49*0.6%,IF(AND(M49&gt;500,M49&lt;=1000),M49*0.7%,IF(AND(M49&gt;200,M49&lt;=500),M49*0.8%,IF(AND(M49&gt;100,M49&lt;=200),M49*0.9%,IF(AND(M49&gt;50,M49&lt;=100),M49*1%,IF(AND(M49&gt;20,M49&lt;=50),M49*1.5%,IF(AND(M49&gt;10,M49&lt;=20),M49*2%,IF(AND(M49&gt;1,M49&lt;=10),M49*2.5%)))))))))</f>
        <v>1204.4000000000001</v>
      </c>
      <c r="M64" s="302">
        <f t="shared" ref="M64:M65" ca="1" si="1">ROUND(L64,1)</f>
        <v>1204.4000000000001</v>
      </c>
      <c r="N64" s="2544" t="s">
        <v>1383</v>
      </c>
      <c r="Z64" s="1752"/>
      <c r="AI64" s="1753"/>
    </row>
    <row r="65" spans="1:35" ht="14.25" customHeight="1">
      <c r="A65" s="169" t="s">
        <v>326</v>
      </c>
      <c r="B65" s="170" t="s">
        <v>1384</v>
      </c>
      <c r="C65" s="2566"/>
      <c r="D65" s="170"/>
      <c r="E65" s="172"/>
      <c r="F65" s="1808"/>
      <c r="G65" s="1808"/>
      <c r="H65" s="1810"/>
      <c r="I65" s="129"/>
      <c r="J65" s="3587"/>
      <c r="K65" s="1332" t="s">
        <v>1385</v>
      </c>
      <c r="L65" s="1332">
        <f ca="1">IF(M49&gt;1000,M49*0.1%,IF(AND(M49&gt;500,M49&lt;=1000),M49*0.5%,IF(AND(M49&gt;50,M49&lt;=500),M49*1%,IF(AND(M49&gt;1,M49&lt;=50),M49*1.5%))))</f>
        <v>240.88</v>
      </c>
      <c r="M65" s="302">
        <f t="shared" ca="1" si="1"/>
        <v>240.9</v>
      </c>
      <c r="N65" s="2544" t="s">
        <v>1383</v>
      </c>
      <c r="Z65" s="1752"/>
      <c r="AI65" s="1753"/>
    </row>
    <row r="66" spans="1:35" ht="14.25" customHeight="1">
      <c r="A66" s="173" t="s">
        <v>327</v>
      </c>
      <c r="B66" s="174" t="s">
        <v>1386</v>
      </c>
      <c r="C66" s="2567"/>
      <c r="D66" s="174" t="s">
        <v>26</v>
      </c>
      <c r="E66" s="1338" t="s">
        <v>671</v>
      </c>
      <c r="F66" s="1808"/>
      <c r="G66" s="1808"/>
      <c r="H66" s="1810"/>
      <c r="I66" s="129"/>
      <c r="J66" s="3587"/>
      <c r="K66" s="1332" t="s">
        <v>1387</v>
      </c>
      <c r="L66" s="1332">
        <f ca="1">M49*0.5%</f>
        <v>1204.4000000000001</v>
      </c>
      <c r="M66" s="302">
        <f ca="1">IF(L66&gt;0.5,0.5,ROUND(L66,0))</f>
        <v>0.5</v>
      </c>
      <c r="N66" s="2544" t="s">
        <v>1388</v>
      </c>
      <c r="Z66" s="1752"/>
      <c r="AI66" s="1753"/>
    </row>
    <row r="67" spans="1:35" ht="14.25" customHeight="1">
      <c r="A67" s="173" t="s">
        <v>328</v>
      </c>
      <c r="B67" s="174" t="s">
        <v>1389</v>
      </c>
      <c r="C67" s="2568">
        <f ca="1">C63-C66</f>
        <v>229410</v>
      </c>
      <c r="D67" s="170" t="s">
        <v>26</v>
      </c>
      <c r="E67" s="172"/>
      <c r="F67" s="1808"/>
      <c r="G67" s="1808"/>
      <c r="H67" s="1810"/>
      <c r="I67" s="129"/>
      <c r="J67" s="3587"/>
      <c r="K67" s="1332" t="s">
        <v>1390</v>
      </c>
      <c r="L67" s="1332">
        <f ca="1">IF(M49&gt;=10000,(8.25+(M49-10000)*0.01%),IF(AND(M49&gt;=8000,M49&lt;10000),(7.85+(M49-8000)*0.02%),IF(AND(M49&gt;=5000,M49&lt;8000),(6.65+(M49-5000)*0.04%),IF(AND(M49&gt;=2000,M49&lt;5000),(4.25+(PM49-2000)*0.08%),IF(AND(M49&gt;=1000,M49&lt;2000),(2.75+(M49-1000)*0.15%),IF(AND(M49&gt;=100,M49&lt;1000),(0.5+(M49-100)*0.25%),IF(AND(M49&gt;0,M49&lt;100),M49*0.5%)))))))</f>
        <v>31.338000000000001</v>
      </c>
      <c r="M67" s="302">
        <f ca="1">ROUND(L67*0.9,1)</f>
        <v>28.2</v>
      </c>
      <c r="N67" s="2543"/>
      <c r="Z67" s="1752"/>
      <c r="AI67" s="1753"/>
    </row>
    <row r="68" spans="1:35" ht="14.25" customHeight="1" thickBot="1">
      <c r="A68" s="176" t="s">
        <v>329</v>
      </c>
      <c r="B68" s="177" t="s">
        <v>1391</v>
      </c>
      <c r="C68" s="2569">
        <f ca="1">IF(C67&lt;=0,0,ROUND(C67*D68,0))</f>
        <v>12847</v>
      </c>
      <c r="D68" s="2570">
        <f>'数据-取费表'!B41</f>
        <v>5.6000000000000001E-2</v>
      </c>
      <c r="E68" s="178"/>
      <c r="F68" s="1808"/>
      <c r="G68" s="1808"/>
      <c r="H68" s="1810"/>
      <c r="I68" s="129"/>
      <c r="J68" s="3587"/>
      <c r="K68" s="1332" t="s">
        <v>1392</v>
      </c>
      <c r="L68" s="1332">
        <f ca="1">IF(M49&gt;10000,M49*0.5%,IF(AND(M49&gt;5000,M49&lt;=10000),M49*1%,IF(AND(M49&gt;1000,M49&lt;=5000),M49*2%,IF(AND(M49&gt;200,M49&lt;=1000),M49*3%,M49*5%))))</f>
        <v>1204.4000000000001</v>
      </c>
      <c r="M68" s="302">
        <f ca="1">ROUND(L68,1)</f>
        <v>1204.4000000000001</v>
      </c>
      <c r="N68" s="2543"/>
      <c r="Z68" s="1752"/>
      <c r="AI68" s="1753"/>
    </row>
    <row r="69" spans="1:35" s="1772" customFormat="1" ht="16.5" customHeight="1">
      <c r="A69" s="1811"/>
      <c r="B69" s="1812"/>
      <c r="C69" s="1813"/>
      <c r="D69" s="1814"/>
      <c r="E69" s="1815"/>
      <c r="F69" s="1578"/>
      <c r="G69" s="1578"/>
      <c r="H69" s="1577"/>
      <c r="I69" s="1747"/>
      <c r="J69" s="3587"/>
      <c r="K69" s="1332" t="s">
        <v>1393</v>
      </c>
      <c r="L69" s="1332"/>
      <c r="M69" s="302">
        <f ca="1">ROUND(SUM(M63:M68),0)</f>
        <v>3883</v>
      </c>
      <c r="N69" s="2545">
        <f ca="1">M69/M49</f>
        <v>1.6120059780803719E-2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31" t="s">
        <v>1394</v>
      </c>
      <c r="B70" s="3632"/>
      <c r="C70" s="3632"/>
      <c r="D70" s="3632"/>
      <c r="E70" s="3632"/>
      <c r="F70" s="3632"/>
      <c r="G70" s="3632"/>
      <c r="H70" s="3632"/>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3" t="s">
        <v>1375</v>
      </c>
      <c r="B71" s="3624"/>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229410</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1376</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28" t="s">
        <v>1402</v>
      </c>
      <c r="F76" s="3627"/>
      <c r="G76" s="3627"/>
      <c r="H76" s="363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1376</v>
      </c>
      <c r="D78" s="2577">
        <f>'数据-取费表'!B43</f>
        <v>6.000000000000001E-3</v>
      </c>
      <c r="E78" s="3620" t="s">
        <v>1406</v>
      </c>
      <c r="F78" s="3621"/>
      <c r="G78" s="3621"/>
      <c r="H78" s="3622"/>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228034</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165.72238372093022</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136339</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31" t="s">
        <v>1410</v>
      </c>
      <c r="B83" s="3632"/>
      <c r="C83" s="3632"/>
      <c r="D83" s="3632"/>
      <c r="E83" s="3632"/>
      <c r="F83" s="3632"/>
      <c r="G83" s="3632"/>
      <c r="H83" s="363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23" t="s">
        <v>1375</v>
      </c>
      <c r="B84" s="3624"/>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229410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1376</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89" t="s">
        <v>2129</v>
      </c>
      <c r="H90" s="3590"/>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620" t="s">
        <v>1419</v>
      </c>
      <c r="F91" s="3621"/>
      <c r="G91" s="362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620" t="s">
        <v>1422</v>
      </c>
      <c r="F92" s="3621"/>
      <c r="G92" s="3621"/>
      <c r="H92" s="3622"/>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1376</v>
      </c>
      <c r="D93" s="2577">
        <f>'数据-取费表'!B43</f>
        <v>6.000000000000001E-3</v>
      </c>
      <c r="E93" s="3620" t="s">
        <v>1406</v>
      </c>
      <c r="F93" s="3621"/>
      <c r="G93" s="3621"/>
      <c r="H93" s="362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65" t="s">
        <v>1426</v>
      </c>
      <c r="F94" s="3666"/>
      <c r="G94" s="3666"/>
      <c r="H94" s="366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228034</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165.72238372093022</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136339</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8" t="s">
        <v>1428</v>
      </c>
      <c r="B100" s="3569"/>
      <c r="C100" s="3569"/>
      <c r="D100" s="3605"/>
      <c r="E100" s="3569" t="s">
        <v>1429</v>
      </c>
      <c r="F100" s="3569"/>
      <c r="G100" s="3569"/>
      <c r="H100" s="3605"/>
      <c r="I100" s="129"/>
    </row>
    <row r="101" spans="1:35" ht="18.75" customHeight="1">
      <c r="A101" s="3613" t="s">
        <v>1430</v>
      </c>
      <c r="B101" s="3614"/>
      <c r="C101" s="2585" t="str">
        <f>C4</f>
        <v>比较法-办公</v>
      </c>
      <c r="D101" s="2586" t="str">
        <f>D4</f>
        <v>收益法（汇总）</v>
      </c>
      <c r="E101" s="3583" t="s">
        <v>1431</v>
      </c>
      <c r="F101" s="3584"/>
      <c r="G101" s="1827" t="s">
        <v>1432</v>
      </c>
      <c r="H101" s="2595">
        <f ca="1">H118</f>
        <v>240880</v>
      </c>
      <c r="I101" s="129"/>
    </row>
    <row r="102" spans="1:35" ht="18.75" customHeight="1">
      <c r="A102" s="3615" t="s">
        <v>1433</v>
      </c>
      <c r="B102" s="2584" t="s">
        <v>1432</v>
      </c>
      <c r="C102" s="2585">
        <f ca="1">IF(D32="楼面单价",ROUND(C19,0),C19)</f>
        <v>286713</v>
      </c>
      <c r="D102" s="2586">
        <f ca="1">IF(D32="楼面单价",ROUND(D19,0),D19)</f>
        <v>133936</v>
      </c>
      <c r="E102" s="3583"/>
      <c r="F102" s="3584"/>
      <c r="G102" s="1827" t="s">
        <v>1434</v>
      </c>
      <c r="H102" s="2555">
        <f ca="1">I118</f>
        <v>35009</v>
      </c>
      <c r="I102" s="129"/>
    </row>
    <row r="103" spans="1:35" ht="42.75" customHeight="1">
      <c r="A103" s="3615"/>
      <c r="B103" s="2584" t="s">
        <v>1434</v>
      </c>
      <c r="C103" s="2587">
        <f ca="1">C20</f>
        <v>41670</v>
      </c>
      <c r="D103" s="2588">
        <f ca="1">D20</f>
        <v>19466</v>
      </c>
      <c r="E103" s="3576" t="s">
        <v>1435</v>
      </c>
      <c r="F103" s="3577"/>
      <c r="G103" s="1828" t="s">
        <v>1436</v>
      </c>
      <c r="H103" s="2595">
        <f>IF(D36="正常操作",H104+H105+H106,H105+H106)</f>
        <v>0</v>
      </c>
      <c r="I103" s="129"/>
    </row>
    <row r="104" spans="1:35" ht="18.75" customHeight="1">
      <c r="A104" s="3615" t="s">
        <v>1437</v>
      </c>
      <c r="B104" s="2589" t="s">
        <v>1432</v>
      </c>
      <c r="C104" s="2590">
        <f ca="1">H118</f>
        <v>240880</v>
      </c>
      <c r="D104" s="2591"/>
      <c r="E104" s="1674" t="s">
        <v>1438</v>
      </c>
      <c r="F104" s="1666"/>
      <c r="G104" s="1828" t="s">
        <v>1436</v>
      </c>
      <c r="H104" s="2596">
        <f>IF(D36="同一抵押权人同一抵押物续贷",C36&amp;"（续贷，未扣减，详见特别提示）",C36)</f>
        <v>0</v>
      </c>
      <c r="I104" s="129"/>
    </row>
    <row r="105" spans="1:35" ht="18.75" customHeight="1" thickBot="1">
      <c r="A105" s="3625"/>
      <c r="B105" s="2592" t="s">
        <v>1434</v>
      </c>
      <c r="C105" s="2593">
        <f ca="1">I118</f>
        <v>35009</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16" t="str">
        <f>IF(项目基本情况!E8="已注销","——","3.房地产抵押价值")</f>
        <v>3.房地产抵押价值</v>
      </c>
      <c r="F107" s="3584"/>
      <c r="G107" s="1827" t="s">
        <v>1432</v>
      </c>
      <c r="H107" s="2595">
        <f ca="1">IF(E107="——","——",H101-H103)</f>
        <v>240880</v>
      </c>
      <c r="I107" s="129"/>
    </row>
    <row r="108" spans="1:35" ht="18.75" customHeight="1">
      <c r="A108" s="129"/>
      <c r="B108" s="129"/>
      <c r="C108" s="129"/>
      <c r="D108" s="129"/>
      <c r="E108" s="3616"/>
      <c r="F108" s="3584"/>
      <c r="G108" s="1827" t="s">
        <v>1434</v>
      </c>
      <c r="H108" s="2555">
        <f ca="1">IF(H107=H101,H102,ROUND(H107*10000/'数据-汇总表'!E3,0))</f>
        <v>35009</v>
      </c>
      <c r="I108" s="129"/>
    </row>
    <row r="109" spans="1:35" ht="18.75" customHeight="1">
      <c r="A109" s="129"/>
      <c r="B109" s="129"/>
      <c r="C109" s="129"/>
      <c r="D109" s="129"/>
      <c r="E109" s="3616" t="str">
        <f>IF(项目基本情况!E8="已注销及未注销","4.抵押担保权已注销时的房地产抵押价值",IF(项目基本情况!E8="已注销","3.抵押担保权已注销时的房地产抵押价值","——"))</f>
        <v>——</v>
      </c>
      <c r="F109" s="3584"/>
      <c r="G109" s="1827" t="s">
        <v>1432</v>
      </c>
      <c r="H109" s="2598" t="str">
        <f>IF(E109="——","——",H101-H105-H106)</f>
        <v>——</v>
      </c>
      <c r="I109" s="129"/>
    </row>
    <row r="110" spans="1:35" ht="18.75" customHeight="1">
      <c r="A110" s="129"/>
      <c r="B110" s="129"/>
      <c r="C110" s="129"/>
      <c r="D110" s="129"/>
      <c r="E110" s="3616"/>
      <c r="F110" s="3584"/>
      <c r="G110" s="1827" t="s">
        <v>1434</v>
      </c>
      <c r="H110" s="2555" t="str">
        <f>IF(H109="——","——",ROUND(H109*10000/'数据-汇总表'!E3,0))</f>
        <v>——</v>
      </c>
      <c r="I110" s="129"/>
    </row>
    <row r="111" spans="1:35" ht="18.75" customHeight="1">
      <c r="A111" s="129"/>
      <c r="B111" s="129"/>
      <c r="C111" s="129"/>
      <c r="D111" s="129"/>
      <c r="E111" s="3617" t="str">
        <f>IF(项目基本情况!E9="抵押净值",IF(OR(项目基本情况!E8="已注销",项目基本情况!E8="房地产抵押价值"),"4.抵押净值","5.抵押净值"),"——")</f>
        <v>——</v>
      </c>
      <c r="F111" s="3603"/>
      <c r="G111" s="1827" t="s">
        <v>1432</v>
      </c>
      <c r="H111" s="2595" t="str">
        <f>IF(E111="——","——",N59)</f>
        <v>——</v>
      </c>
      <c r="I111" s="129"/>
    </row>
    <row r="112" spans="1:35" ht="18.75" customHeight="1" thickBot="1">
      <c r="A112" s="129"/>
      <c r="B112" s="129"/>
      <c r="C112" s="129"/>
      <c r="D112" s="129"/>
      <c r="E112" s="3618"/>
      <c r="F112" s="3619"/>
      <c r="G112" s="1830" t="s">
        <v>1434</v>
      </c>
      <c r="H112" s="2599" t="str">
        <f>IF(E111="——","——",N61)</f>
        <v>——</v>
      </c>
      <c r="I112" s="129"/>
    </row>
    <row r="113" spans="1:27" ht="18.75" customHeight="1">
      <c r="A113" s="129"/>
      <c r="B113" s="129"/>
      <c r="C113" s="129"/>
      <c r="D113" s="129"/>
      <c r="E113" s="3626" t="s">
        <v>1440</v>
      </c>
      <c r="F113" s="3626"/>
      <c r="G113" s="3626"/>
      <c r="H113" s="3626"/>
      <c r="I113" s="129"/>
    </row>
    <row r="114" spans="1:27" ht="3.75" customHeight="1">
      <c r="A114" s="1747"/>
      <c r="B114" s="1747"/>
      <c r="C114" s="1747"/>
      <c r="D114" s="1747"/>
      <c r="E114" s="1809"/>
      <c r="F114" s="1809"/>
      <c r="G114" s="1809"/>
      <c r="H114" s="1809"/>
      <c r="I114" s="1747"/>
    </row>
    <row r="115" spans="1:27" ht="18.75" customHeight="1">
      <c r="A115" s="3634" t="s">
        <v>1442</v>
      </c>
      <c r="B115" s="3635"/>
      <c r="C115" s="3635"/>
      <c r="D115" s="3635"/>
      <c r="E115" s="3635"/>
      <c r="F115" s="3635"/>
      <c r="G115" s="3635"/>
      <c r="H115" s="3635"/>
      <c r="I115" s="3636"/>
    </row>
    <row r="116" spans="1:27" ht="27" customHeight="1">
      <c r="A116" s="3591" t="s">
        <v>1443</v>
      </c>
      <c r="B116" s="3595" t="s">
        <v>1444</v>
      </c>
      <c r="C116" s="3595" t="s">
        <v>1445</v>
      </c>
      <c r="D116" s="3601" t="s">
        <v>1446</v>
      </c>
      <c r="E116" s="3602"/>
      <c r="F116" s="3633" t="s">
        <v>1447</v>
      </c>
      <c r="G116" s="3633"/>
      <c r="H116" s="3591" t="s">
        <v>1448</v>
      </c>
      <c r="I116" s="3591"/>
    </row>
    <row r="117" spans="1:27" ht="18.75" customHeight="1">
      <c r="A117" s="3591"/>
      <c r="B117" s="3596"/>
      <c r="C117" s="3596"/>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68805.62</v>
      </c>
      <c r="C118" s="2329">
        <f>M19</f>
        <v>11305.41</v>
      </c>
      <c r="D118" s="2329">
        <f ca="1">ROUND(IF(D32="总价",C34,E118*B118/10000),0)</f>
        <v>183791</v>
      </c>
      <c r="E118" s="2329">
        <f ca="1">ROUND(IF(C33="自定义",IF(D32="楼面单价",C34,D118*10000/B118),I118-G118),0)</f>
        <v>26712</v>
      </c>
      <c r="F118" s="2329">
        <f ca="1">ROUND(IF(D32="总价",C35,G118*B118/10000),0)</f>
        <v>57089</v>
      </c>
      <c r="G118" s="2329">
        <f ca="1">ROUND(IF(D32="楼面单价",C35,F118*10000/B118),0)</f>
        <v>8297</v>
      </c>
      <c r="H118" s="2329">
        <f ca="1">ROUND(IF(D32="总价",C32,I118*B118/10000),0)</f>
        <v>240880</v>
      </c>
      <c r="I118" s="2329">
        <f ca="1">ROUND(IF(D32="楼面单价",C32,H118*10000/B118),0)</f>
        <v>35009</v>
      </c>
    </row>
    <row r="119" spans="1:27" ht="18.75" customHeight="1">
      <c r="A119" s="3591" t="s">
        <v>1452</v>
      </c>
      <c r="B119" s="3591"/>
      <c r="C119" s="3591"/>
      <c r="D119" s="3597" t="str">
        <f ca="1">NUMBERSTRING(INT(D118*10000),2)&amp;"元整"</f>
        <v>壹拾捌亿叁仟柒佰玖拾壹万元整</v>
      </c>
      <c r="E119" s="3598"/>
      <c r="F119" s="3597" t="str">
        <f ca="1">NUMBERSTRING(INT(F118*10000),2)&amp;"元整"</f>
        <v>伍亿柒仟零捌拾玖万元整</v>
      </c>
      <c r="G119" s="3598"/>
      <c r="H119" s="3597" t="str">
        <f ca="1">NUMBERSTRING(INT(H118*10000),2)&amp;"元整"</f>
        <v>贰拾肆亿零捌佰捌拾万元整</v>
      </c>
      <c r="I119" s="3598"/>
    </row>
    <row r="120" spans="1:27" ht="18.75" customHeight="1">
      <c r="A120" s="3592" t="str">
        <f>IF(项目基本情况!B9="房地产市场价值","",MID(E103,3,LEN(E103)-2))</f>
        <v>估价师知悉的法定优先受偿款</v>
      </c>
      <c r="B120" s="3593"/>
      <c r="C120" s="3594"/>
      <c r="D120" s="3592">
        <f>H103</f>
        <v>0</v>
      </c>
      <c r="E120" s="3593"/>
      <c r="F120" s="3593"/>
      <c r="G120" s="3593"/>
      <c r="H120" s="3593"/>
      <c r="I120" s="359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97" t="s">
        <v>1452</v>
      </c>
      <c r="B121" s="3599"/>
      <c r="C121" s="3598"/>
      <c r="D121" s="3597" t="str">
        <f>IF(D120=0,"零元整",NUMBERSTRING(INT(D120*10000),2)&amp;"元整")</f>
        <v>零元整</v>
      </c>
      <c r="E121" s="3599"/>
      <c r="F121" s="3599"/>
      <c r="G121" s="3599"/>
      <c r="H121" s="3599"/>
      <c r="I121" s="3598"/>
      <c r="AA121" s="725"/>
    </row>
    <row r="122" spans="1:27" ht="18.75" customHeight="1">
      <c r="A122" s="3603" t="str">
        <f>IF(项目基本情况!B9="房地产市场价值","",MID(E107,3,LEN(E107)-2))</f>
        <v>房地产抵押价值</v>
      </c>
      <c r="B122" s="3603"/>
      <c r="C122" s="3603"/>
      <c r="D122" s="3592">
        <f ca="1">H107</f>
        <v>240880</v>
      </c>
      <c r="E122" s="3593"/>
      <c r="F122" s="3593"/>
      <c r="G122" s="3593"/>
      <c r="H122" s="3593"/>
      <c r="I122" s="3594"/>
      <c r="AA122" s="725"/>
    </row>
    <row r="123" spans="1:27" ht="18.75" customHeight="1">
      <c r="A123" s="3591" t="s">
        <v>1452</v>
      </c>
      <c r="B123" s="3591"/>
      <c r="C123" s="3591"/>
      <c r="D123" s="3597" t="str">
        <f ca="1">NUMBERSTRING(INT(D122*10000),2)&amp;"元整"</f>
        <v>贰拾肆亿零捌佰捌拾万元整</v>
      </c>
      <c r="E123" s="3599"/>
      <c r="F123" s="3599"/>
      <c r="G123" s="3599"/>
      <c r="H123" s="3599"/>
      <c r="I123" s="3598"/>
      <c r="AA123" s="725"/>
    </row>
    <row r="124" spans="1:27" ht="18.75" customHeight="1">
      <c r="A124" s="3603" t="str">
        <f>IF(项目基本情况!B9="房地产市场价值","",MID(E109,3,LEN(E109)-2))</f>
        <v/>
      </c>
      <c r="B124" s="3603"/>
      <c r="C124" s="3603"/>
      <c r="D124" s="3592" t="str">
        <f>H109</f>
        <v>——</v>
      </c>
      <c r="E124" s="3593"/>
      <c r="F124" s="3593"/>
      <c r="G124" s="3593"/>
      <c r="H124" s="3593"/>
      <c r="I124" s="3594"/>
      <c r="AA124" s="725"/>
    </row>
    <row r="125" spans="1:27" ht="18.75" customHeight="1">
      <c r="A125" s="3591" t="s">
        <v>1452</v>
      </c>
      <c r="B125" s="3591"/>
      <c r="C125" s="3591"/>
      <c r="D125" s="3597" t="e">
        <f>NUMBERSTRING(INT(D124*10000),2)&amp;"元整"</f>
        <v>#VALUE!</v>
      </c>
      <c r="E125" s="3599"/>
      <c r="F125" s="3599"/>
      <c r="G125" s="3599"/>
      <c r="H125" s="3599"/>
      <c r="I125" s="3598"/>
      <c r="AA125" s="725"/>
    </row>
    <row r="126" spans="1:27" ht="18.75" customHeight="1">
      <c r="A126" s="3603" t="str">
        <f>IF(项目基本情况!B9="房地产市场价值","",MID(E111,3,LEN(E111)-2))</f>
        <v/>
      </c>
      <c r="B126" s="3603"/>
      <c r="C126" s="3603"/>
      <c r="D126" s="3592" t="str">
        <f>H111</f>
        <v>——</v>
      </c>
      <c r="E126" s="3593"/>
      <c r="F126" s="3593"/>
      <c r="G126" s="3593"/>
      <c r="H126" s="3593"/>
      <c r="I126" s="3594"/>
      <c r="AA126" s="725"/>
    </row>
    <row r="127" spans="1:27" ht="18.75" customHeight="1">
      <c r="A127" s="3591" t="s">
        <v>1452</v>
      </c>
      <c r="B127" s="3591"/>
      <c r="C127" s="3591"/>
      <c r="D127" s="3597" t="e">
        <f>NUMBERSTRING(INT(D126*10000),2)&amp;"元整"</f>
        <v>#VALUE!</v>
      </c>
      <c r="E127" s="3599"/>
      <c r="F127" s="3599"/>
      <c r="G127" s="3599"/>
      <c r="H127" s="3599"/>
      <c r="I127" s="3598"/>
      <c r="AA127" s="725"/>
    </row>
    <row r="128" spans="1:27" ht="21.75" customHeight="1">
      <c r="A128" s="3600" t="s">
        <v>1453</v>
      </c>
      <c r="B128" s="3600"/>
      <c r="C128" s="3600"/>
      <c r="D128" s="3600"/>
      <c r="E128" s="3600"/>
      <c r="F128" s="3600"/>
      <c r="G128" s="3600"/>
      <c r="H128" s="3600"/>
      <c r="I128" s="360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86" priority="21" stopIfTrue="1" operator="equal">
      <formula>25</formula>
    </cfRule>
  </conditionalFormatting>
  <conditionalFormatting sqref="C8:C9">
    <cfRule type="cellIs" dxfId="185" priority="19" stopIfTrue="1" operator="equal">
      <formula>15</formula>
    </cfRule>
  </conditionalFormatting>
  <conditionalFormatting sqref="C14:C16">
    <cfRule type="cellIs" dxfId="184" priority="13" stopIfTrue="1" operator="equal">
      <formula>30</formula>
    </cfRule>
  </conditionalFormatting>
  <conditionalFormatting sqref="D5:D7">
    <cfRule type="cellIs" dxfId="183" priority="10" stopIfTrue="1" operator="equal">
      <formula>25</formula>
    </cfRule>
  </conditionalFormatting>
  <conditionalFormatting sqref="D8:D9">
    <cfRule type="cellIs" dxfId="182" priority="9" stopIfTrue="1" operator="equal">
      <formula>15</formula>
    </cfRule>
  </conditionalFormatting>
  <conditionalFormatting sqref="C10:D13">
    <cfRule type="cellIs" dxfId="181" priority="8" stopIfTrue="1" operator="equal">
      <formula>15</formula>
    </cfRule>
  </conditionalFormatting>
  <conditionalFormatting sqref="D14:D16">
    <cfRule type="cellIs" dxfId="180" priority="6" stopIfTrue="1" operator="equal">
      <formula>30</formula>
    </cfRule>
  </conditionalFormatting>
  <conditionalFormatting sqref="C90">
    <cfRule type="expression" dxfId="179" priority="3" stopIfTrue="1">
      <formula>$H$88&lt;&gt;"仅含出让金"</formula>
    </cfRule>
  </conditionalFormatting>
  <conditionalFormatting sqref="C91">
    <cfRule type="expression" dxfId="178" priority="2" stopIfTrue="1">
      <formula>$H$91="由企业提供"</formula>
    </cfRule>
  </conditionalFormatting>
  <conditionalFormatting sqref="E36">
    <cfRule type="expression" dxfId="17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B1" zoomScale="85" zoomScaleNormal="70" zoomScaleSheetLayoutView="85" workbookViewId="0">
      <selection activeCell="L10" sqref="L10"/>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t="s">
        <v>3472</v>
      </c>
      <c r="F1" s="1879" t="s">
        <v>3473</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286713</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41670</v>
      </c>
      <c r="C3" s="354" t="s">
        <v>1768</v>
      </c>
      <c r="D3" s="353">
        <f>IF(D1="",'数据-汇总表'!E3,SUMIF('数据-汇总表'!$C19:$C33,D1,'数据-汇总表'!$E19:$E33))</f>
        <v>68805.62</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91" t="s">
        <v>1770</v>
      </c>
      <c r="D4" s="3692"/>
      <c r="E4" s="3693" t="s">
        <v>1771</v>
      </c>
      <c r="F4" s="3694"/>
      <c r="G4" s="3691" t="s">
        <v>1772</v>
      </c>
      <c r="H4" s="3692"/>
      <c r="I4" s="3691" t="s">
        <v>1773</v>
      </c>
      <c r="J4" s="3692"/>
      <c r="K4" s="559" t="s">
        <v>1774</v>
      </c>
      <c r="L4" s="2715"/>
      <c r="M4" s="2716">
        <f>B2/'数据-汇总表'!F31</f>
        <v>7.5393014616167831</v>
      </c>
      <c r="N4" s="2716"/>
      <c r="O4" s="2716"/>
      <c r="P4" s="3695" t="s">
        <v>1775</v>
      </c>
      <c r="Q4" s="3696"/>
      <c r="R4" s="3675" t="s">
        <v>1771</v>
      </c>
      <c r="S4" s="3676"/>
      <c r="T4" s="3675" t="s">
        <v>1772</v>
      </c>
      <c r="U4" s="3676"/>
      <c r="V4" s="3703" t="s">
        <v>1773</v>
      </c>
      <c r="W4" s="3703"/>
      <c r="X4" s="1958"/>
      <c r="Y4" s="3675" t="s">
        <v>1775</v>
      </c>
      <c r="Z4" s="3676"/>
      <c r="AA4" s="3670" t="s">
        <v>1771</v>
      </c>
      <c r="AB4" s="3670" t="s">
        <v>1772</v>
      </c>
      <c r="AC4" s="3688" t="s">
        <v>1773</v>
      </c>
    </row>
    <row r="5" spans="1:29" ht="15">
      <c r="A5" s="358"/>
      <c r="B5" s="359"/>
      <c r="C5" s="3681" t="s">
        <v>1673</v>
      </c>
      <c r="D5" s="3682"/>
      <c r="E5" s="3679" t="str">
        <f>案例!B2</f>
        <v>德胜国际中心</v>
      </c>
      <c r="F5" s="3680"/>
      <c r="G5" s="3681" t="str">
        <f>案例!B3</f>
        <v>北京来福士中心</v>
      </c>
      <c r="H5" s="3682"/>
      <c r="I5" s="3681" t="str">
        <f>案例!B4</f>
        <v>哈银国际中心</v>
      </c>
      <c r="J5" s="3682"/>
      <c r="K5" s="559"/>
      <c r="L5" s="2715"/>
      <c r="M5" s="2716"/>
      <c r="N5" s="2716"/>
      <c r="O5" s="2716"/>
      <c r="P5" s="3697"/>
      <c r="Q5" s="3698"/>
      <c r="R5" s="3677"/>
      <c r="S5" s="3678"/>
      <c r="T5" s="3677"/>
      <c r="U5" s="3678"/>
      <c r="V5" s="3704"/>
      <c r="W5" s="3704"/>
      <c r="X5" s="1355"/>
      <c r="Y5" s="3677"/>
      <c r="Z5" s="3678"/>
      <c r="AA5" s="3671"/>
      <c r="AB5" s="3671"/>
      <c r="AC5" s="3689"/>
    </row>
    <row r="6" spans="1:29" ht="15.75" thickBot="1">
      <c r="A6" s="360"/>
      <c r="B6" s="361"/>
      <c r="C6" s="3683" t="s">
        <v>1677</v>
      </c>
      <c r="D6" s="3684"/>
      <c r="E6" s="3685" t="s">
        <v>1677</v>
      </c>
      <c r="F6" s="3686"/>
      <c r="G6" s="3683" t="s">
        <v>1677</v>
      </c>
      <c r="H6" s="3684"/>
      <c r="I6" s="3683" t="s">
        <v>1677</v>
      </c>
      <c r="J6" s="3684"/>
      <c r="K6" s="559" t="s">
        <v>1678</v>
      </c>
      <c r="L6" s="2715"/>
      <c r="M6" s="2716"/>
      <c r="N6" s="2716"/>
      <c r="O6" s="2716"/>
      <c r="P6" s="3699"/>
      <c r="Q6" s="3700"/>
      <c r="R6" s="3677"/>
      <c r="S6" s="3678"/>
      <c r="T6" s="3701"/>
      <c r="U6" s="3702"/>
      <c r="V6" s="3704"/>
      <c r="W6" s="3704"/>
      <c r="X6" s="1355"/>
      <c r="Y6" s="3701"/>
      <c r="Z6" s="3702"/>
      <c r="AA6" s="3672"/>
      <c r="AB6" s="3672"/>
      <c r="AC6" s="3690"/>
    </row>
    <row r="7" spans="1:29" s="108" customFormat="1" ht="15.75" thickBot="1">
      <c r="A7" s="362" t="s">
        <v>1679</v>
      </c>
      <c r="B7" s="363"/>
      <c r="C7" s="364">
        <f>'数据-取费表'!B2</f>
        <v>45321</v>
      </c>
      <c r="D7" s="365">
        <v>100</v>
      </c>
      <c r="E7" s="366">
        <v>44440</v>
      </c>
      <c r="F7" s="367">
        <f>SUMIF(59:59,YEAR(E7)&amp;"-"&amp;MONTH(E7),60:60)</f>
        <v>100</v>
      </c>
      <c r="G7" s="366">
        <v>44317</v>
      </c>
      <c r="H7" s="365">
        <f>SUMIF(59:59,YEAR(G7)&amp;"-"&amp;MONTH(G7),60:60)</f>
        <v>100</v>
      </c>
      <c r="I7" s="366">
        <v>44682</v>
      </c>
      <c r="J7" s="365">
        <f>SUMIF(59:59,YEAR(I7)&amp;"-"&amp;MONTH(I7),60:60)</f>
        <v>100</v>
      </c>
      <c r="K7" s="560"/>
      <c r="L7" s="2717"/>
      <c r="M7" s="2718"/>
      <c r="N7" s="2718"/>
      <c r="O7" s="2718"/>
      <c r="P7" s="3705" t="s">
        <v>1680</v>
      </c>
      <c r="Q7" s="3706"/>
      <c r="R7" s="701" t="s">
        <v>14</v>
      </c>
      <c r="S7" s="702">
        <f t="shared" ref="S7:S15" si="0">F7</f>
        <v>100</v>
      </c>
      <c r="T7" s="701" t="s">
        <v>14</v>
      </c>
      <c r="U7" s="702">
        <f t="shared" ref="U7:U15" si="1">H7</f>
        <v>100</v>
      </c>
      <c r="V7" s="701" t="s">
        <v>14</v>
      </c>
      <c r="W7" s="702">
        <f t="shared" ref="W7:W15" si="2">J7</f>
        <v>100</v>
      </c>
      <c r="X7" s="703"/>
      <c r="Y7" s="3673" t="s">
        <v>1680</v>
      </c>
      <c r="Z7" s="3674"/>
      <c r="AA7" s="704">
        <f>D7/F7</f>
        <v>1</v>
      </c>
      <c r="AB7" s="704">
        <f>D7/H7</f>
        <v>1</v>
      </c>
      <c r="AC7" s="1959">
        <f>D7/J7</f>
        <v>1</v>
      </c>
    </row>
    <row r="8" spans="1:29" s="108" customFormat="1" ht="15.75" thickBot="1">
      <c r="A8" s="362" t="s">
        <v>1681</v>
      </c>
      <c r="B8" s="363"/>
      <c r="C8" s="368" t="s">
        <v>3474</v>
      </c>
      <c r="D8" s="365">
        <v>100</v>
      </c>
      <c r="E8" s="368" t="s">
        <v>3474</v>
      </c>
      <c r="F8" s="367">
        <f>SUMIF(62:62,E8,63:63)-SUMIF(62:62,C8,63:63)+100</f>
        <v>100</v>
      </c>
      <c r="G8" s="368" t="s">
        <v>3474</v>
      </c>
      <c r="H8" s="365">
        <f>SUMIF(62:62,G8,63:63)-SUMIF(62:62,C8,63:63)+100</f>
        <v>100</v>
      </c>
      <c r="I8" s="368" t="s">
        <v>3474</v>
      </c>
      <c r="J8" s="365">
        <f>SUMIF(62:62,I8,63:63)-SUMIF(62:62,C8,63:63)+100</f>
        <v>100</v>
      </c>
      <c r="K8" s="560"/>
      <c r="L8" s="2717"/>
      <c r="M8" s="2718"/>
      <c r="N8" s="2718"/>
      <c r="O8" s="2718"/>
      <c r="P8" s="3705" t="s">
        <v>1683</v>
      </c>
      <c r="Q8" s="3674"/>
      <c r="R8" s="701" t="s">
        <v>14</v>
      </c>
      <c r="S8" s="702">
        <f t="shared" si="0"/>
        <v>100</v>
      </c>
      <c r="T8" s="701" t="s">
        <v>14</v>
      </c>
      <c r="U8" s="702">
        <f t="shared" si="1"/>
        <v>100</v>
      </c>
      <c r="V8" s="701" t="s">
        <v>14</v>
      </c>
      <c r="W8" s="702">
        <f t="shared" si="2"/>
        <v>100</v>
      </c>
      <c r="X8" s="703"/>
      <c r="Y8" s="3673" t="s">
        <v>1683</v>
      </c>
      <c r="Z8" s="3674"/>
      <c r="AA8" s="704">
        <f t="shared" ref="AA8:AA47" si="3">D8/F8</f>
        <v>1</v>
      </c>
      <c r="AB8" s="704">
        <f t="shared" ref="AB8:AB47" si="4">D8/H8</f>
        <v>1</v>
      </c>
      <c r="AC8" s="1959">
        <f t="shared" ref="AC8:AC47" si="5">D8/J8</f>
        <v>1</v>
      </c>
    </row>
    <row r="9" spans="1:29" s="108" customFormat="1">
      <c r="A9" s="369" t="s">
        <v>1684</v>
      </c>
      <c r="B9" s="63" t="s">
        <v>1685</v>
      </c>
      <c r="C9" s="3464" t="s">
        <v>3520</v>
      </c>
      <c r="D9" s="126">
        <v>100</v>
      </c>
      <c r="E9" s="373" t="s">
        <v>3498</v>
      </c>
      <c r="F9" s="126">
        <f>SUMIF(64:64,E9,65:65)-SUMIF(64:64,C9,65:65)+100</f>
        <v>100</v>
      </c>
      <c r="G9" s="373" t="s">
        <v>3498</v>
      </c>
      <c r="H9" s="126">
        <f>SUMIF(64:64,G9,65:65)-SUMIF(64:64,C9,65:65)+100</f>
        <v>100</v>
      </c>
      <c r="I9" s="373" t="s">
        <v>3498</v>
      </c>
      <c r="J9" s="126">
        <f>SUMIF(64:64,I9,65:65)-SUMIF(64:64,C9,65:65)+100</f>
        <v>100</v>
      </c>
      <c r="K9" s="560"/>
      <c r="L9" s="2717"/>
      <c r="M9" s="2718"/>
      <c r="N9" s="2718"/>
      <c r="O9" s="2718"/>
      <c r="P9" s="3687"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1959">
        <f t="shared" si="5"/>
        <v>1</v>
      </c>
    </row>
    <row r="10" spans="1:29" s="378" customFormat="1" ht="27">
      <c r="A10" s="374"/>
      <c r="B10" s="375" t="s">
        <v>1688</v>
      </c>
      <c r="C10" s="3434">
        <f>项目基本情况!D15</f>
        <v>24.72</v>
      </c>
      <c r="D10" s="127">
        <v>100</v>
      </c>
      <c r="E10" s="3434">
        <v>31</v>
      </c>
      <c r="F10" s="127">
        <f>SUMIF(66:66,E10,67:67)-SUMIF(66:66,C10,67:67)+100</f>
        <v>101</v>
      </c>
      <c r="G10" s="3435">
        <v>33</v>
      </c>
      <c r="H10" s="127">
        <f>SUMIF(66:66,G10,67:67)-SUMIF(66:66,C10,67:67)+100</f>
        <v>101</v>
      </c>
      <c r="I10" s="3434">
        <v>39</v>
      </c>
      <c r="J10" s="127">
        <f>SUMIF(66:66,I10,67:67)-SUMIF(66:66,C10,67:67)+100</f>
        <v>101</v>
      </c>
      <c r="K10" s="560"/>
      <c r="L10" s="2719"/>
      <c r="M10" s="2720"/>
      <c r="N10" s="2720"/>
      <c r="O10" s="2720"/>
      <c r="P10" s="3687"/>
      <c r="Q10" s="1343" t="str">
        <f t="shared" si="6"/>
        <v>土地使用年限（年）</v>
      </c>
      <c r="R10" s="701" t="s">
        <v>14</v>
      </c>
      <c r="S10" s="702">
        <f t="shared" si="0"/>
        <v>101</v>
      </c>
      <c r="T10" s="701" t="s">
        <v>14</v>
      </c>
      <c r="U10" s="702">
        <f t="shared" si="1"/>
        <v>101</v>
      </c>
      <c r="V10" s="701" t="s">
        <v>14</v>
      </c>
      <c r="W10" s="702">
        <f t="shared" si="2"/>
        <v>101</v>
      </c>
      <c r="X10" s="703"/>
      <c r="Y10" s="3646"/>
      <c r="Z10" s="52" t="str">
        <f t="shared" si="7"/>
        <v>土地使用年限（年）</v>
      </c>
      <c r="AA10" s="704">
        <f t="shared" si="3"/>
        <v>0.99009900990099009</v>
      </c>
      <c r="AB10" s="704">
        <f t="shared" si="4"/>
        <v>0.99009900990099009</v>
      </c>
      <c r="AC10" s="1959">
        <f t="shared" si="5"/>
        <v>0.99009900990099009</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87"/>
      <c r="Q11" s="1343" t="str">
        <f t="shared" si="6"/>
        <v>容积率</v>
      </c>
      <c r="R11" s="701" t="s">
        <v>14</v>
      </c>
      <c r="S11" s="702">
        <f t="shared" si="0"/>
        <v>100</v>
      </c>
      <c r="T11" s="701" t="s">
        <v>14</v>
      </c>
      <c r="U11" s="702">
        <f t="shared" si="1"/>
        <v>100</v>
      </c>
      <c r="V11" s="701" t="s">
        <v>14</v>
      </c>
      <c r="W11" s="702">
        <f t="shared" si="2"/>
        <v>100</v>
      </c>
      <c r="X11" s="703"/>
      <c r="Y11" s="3646"/>
      <c r="Z11" s="52" t="str">
        <f t="shared" si="7"/>
        <v>容积率</v>
      </c>
      <c r="AA11" s="704">
        <f t="shared" si="3"/>
        <v>1</v>
      </c>
      <c r="AB11" s="704">
        <f t="shared" si="4"/>
        <v>1</v>
      </c>
      <c r="AC11" s="1959">
        <f t="shared" si="5"/>
        <v>1</v>
      </c>
    </row>
    <row r="12" spans="1:29" s="108" customFormat="1" ht="15.75" thickBot="1">
      <c r="A12" s="382"/>
      <c r="B12" s="3471" t="s">
        <v>3521</v>
      </c>
      <c r="C12" s="3472">
        <f>ROUND('数据-汇总表'!G31/'数据-汇总表'!E3,3)</f>
        <v>0.44700000000000001</v>
      </c>
      <c r="D12" s="384">
        <v>100</v>
      </c>
      <c r="E12" s="3472">
        <f>ROUND(案例!K2/案例!I2,3)</f>
        <v>0.30299999999999999</v>
      </c>
      <c r="F12" s="127">
        <f>SUMIF(71:71,E12,72:72)-SUMIF(71:71,C12,72:72)+100</f>
        <v>105</v>
      </c>
      <c r="G12" s="3473">
        <f>ROUND(案例!K3/案例!I3,3)</f>
        <v>0.247</v>
      </c>
      <c r="H12" s="127">
        <f>SUMIF(71:71,G12,72:72)-SUMIF(71:71,C12,72:72)+100</f>
        <v>110</v>
      </c>
      <c r="I12" s="3472">
        <f>ROUND((案例!I4-案例!J4)/案例!I4,3)</f>
        <v>0.40899999999999997</v>
      </c>
      <c r="J12" s="127">
        <f>SUMIF(71:71,I12,72:72)-SUMIF(71:71,C12,72:72)+100</f>
        <v>100</v>
      </c>
      <c r="K12" s="562"/>
      <c r="L12" s="2717"/>
      <c r="M12" s="2718"/>
      <c r="N12" s="2718"/>
      <c r="O12" s="2718"/>
      <c r="P12" s="3687"/>
      <c r="Q12" s="1343" t="str">
        <f t="shared" si="6"/>
        <v>地下占比</v>
      </c>
      <c r="R12" s="701" t="s">
        <v>14</v>
      </c>
      <c r="S12" s="702">
        <f t="shared" si="0"/>
        <v>105</v>
      </c>
      <c r="T12" s="701" t="s">
        <v>14</v>
      </c>
      <c r="U12" s="702">
        <f t="shared" si="1"/>
        <v>110</v>
      </c>
      <c r="V12" s="701" t="s">
        <v>14</v>
      </c>
      <c r="W12" s="702">
        <f t="shared" si="2"/>
        <v>100</v>
      </c>
      <c r="X12" s="703"/>
      <c r="Y12" s="3646"/>
      <c r="Z12" s="52" t="str">
        <f t="shared" si="7"/>
        <v>地下占比</v>
      </c>
      <c r="AA12" s="704">
        <f>D12/F12</f>
        <v>0.95238095238095233</v>
      </c>
      <c r="AB12" s="704">
        <f>D12/H12</f>
        <v>0.90909090909090906</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87"/>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87"/>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2"/>
      <c r="M15" s="2716"/>
      <c r="N15" s="2716"/>
      <c r="O15" s="2716"/>
      <c r="P15" s="3707" t="s">
        <v>1691</v>
      </c>
      <c r="Q15" s="1352" t="str">
        <f t="shared" si="6"/>
        <v>办公集聚程度</v>
      </c>
      <c r="R15" s="705" t="s">
        <v>14</v>
      </c>
      <c r="S15" s="706">
        <f t="shared" si="0"/>
        <v>100</v>
      </c>
      <c r="T15" s="705" t="s">
        <v>14</v>
      </c>
      <c r="U15" s="706">
        <f t="shared" si="1"/>
        <v>100</v>
      </c>
      <c r="V15" s="705" t="s">
        <v>14</v>
      </c>
      <c r="W15" s="706">
        <f t="shared" si="2"/>
        <v>100</v>
      </c>
      <c r="X15" s="1355"/>
      <c r="Y15" s="3709" t="s">
        <v>1691</v>
      </c>
      <c r="Z15" s="1356" t="str">
        <f t="shared" si="7"/>
        <v>办公集聚程度</v>
      </c>
      <c r="AA15" s="1353">
        <f t="shared" si="3"/>
        <v>1</v>
      </c>
      <c r="AB15" s="1353">
        <f t="shared" si="4"/>
        <v>1</v>
      </c>
      <c r="AC15" s="1962">
        <f t="shared" si="5"/>
        <v>1</v>
      </c>
    </row>
    <row r="16" spans="1:29" ht="15">
      <c r="A16" s="379"/>
      <c r="B16" s="578"/>
      <c r="C16" s="1904" t="s">
        <v>3466</v>
      </c>
      <c r="D16" s="399"/>
      <c r="E16" s="398" t="s">
        <v>3466</v>
      </c>
      <c r="F16" s="399"/>
      <c r="G16" s="1904" t="s">
        <v>3466</v>
      </c>
      <c r="H16" s="401"/>
      <c r="I16" s="398" t="s">
        <v>3466</v>
      </c>
      <c r="J16" s="399"/>
      <c r="K16" s="564"/>
      <c r="L16" s="2722"/>
      <c r="M16" s="2716"/>
      <c r="N16" s="2716"/>
      <c r="O16" s="2716"/>
      <c r="P16" s="3708"/>
      <c r="Q16" s="1352"/>
      <c r="R16" s="705"/>
      <c r="S16" s="706"/>
      <c r="T16" s="705"/>
      <c r="U16" s="706"/>
      <c r="V16" s="705"/>
      <c r="W16" s="706"/>
      <c r="X16" s="1355"/>
      <c r="Y16" s="3710"/>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2"/>
      <c r="M17" s="2716"/>
      <c r="N17" s="2716"/>
      <c r="O17" s="2716"/>
      <c r="P17" s="3708"/>
      <c r="Q17" s="1352" t="str">
        <f>B17</f>
        <v>交通便捷度</v>
      </c>
      <c r="R17" s="705" t="s">
        <v>14</v>
      </c>
      <c r="S17" s="706">
        <f>F17</f>
        <v>100</v>
      </c>
      <c r="T17" s="705" t="s">
        <v>14</v>
      </c>
      <c r="U17" s="706">
        <f>H17</f>
        <v>100</v>
      </c>
      <c r="V17" s="705" t="s">
        <v>14</v>
      </c>
      <c r="W17" s="706">
        <f>J17</f>
        <v>100</v>
      </c>
      <c r="X17" s="1355"/>
      <c r="Y17" s="3710"/>
      <c r="Z17" s="1356" t="str">
        <f>Q17</f>
        <v>交通便捷度</v>
      </c>
      <c r="AA17" s="1353">
        <f t="shared" si="3"/>
        <v>1</v>
      </c>
      <c r="AB17" s="1353">
        <f t="shared" si="4"/>
        <v>1</v>
      </c>
      <c r="AC17" s="1962">
        <f t="shared" si="5"/>
        <v>1</v>
      </c>
    </row>
    <row r="18" spans="1:29" ht="15">
      <c r="A18" s="379"/>
      <c r="B18" s="580"/>
      <c r="C18" s="1964" t="s">
        <v>3466</v>
      </c>
      <c r="D18" s="401"/>
      <c r="E18" s="1964" t="s">
        <v>3466</v>
      </c>
      <c r="F18" s="401"/>
      <c r="G18" s="1964" t="s">
        <v>3466</v>
      </c>
      <c r="H18" s="399"/>
      <c r="I18" s="1964" t="s">
        <v>3466</v>
      </c>
      <c r="J18" s="399"/>
      <c r="K18" s="564"/>
      <c r="L18" s="2722"/>
      <c r="M18" s="2716"/>
      <c r="N18" s="2716"/>
      <c r="O18" s="2716"/>
      <c r="P18" s="3708"/>
      <c r="Q18" s="1352"/>
      <c r="R18" s="705"/>
      <c r="S18" s="706"/>
      <c r="T18" s="705"/>
      <c r="U18" s="706"/>
      <c r="V18" s="705"/>
      <c r="W18" s="706"/>
      <c r="X18" s="1355"/>
      <c r="Y18" s="3710"/>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97</v>
      </c>
      <c r="G19" s="408"/>
      <c r="H19" s="401">
        <f>SUMIF(81:81,G20,82:82)-SUMIF(81:81,C20,82:82)+100</f>
        <v>100</v>
      </c>
      <c r="I19" s="408"/>
      <c r="J19" s="401">
        <f>SUMIF(81:81,I20,82:82)-SUMIF(81:81,C20,82:82)+100</f>
        <v>97</v>
      </c>
      <c r="K19" s="563">
        <v>3</v>
      </c>
      <c r="L19" s="2722"/>
      <c r="M19" s="2716"/>
      <c r="N19" s="2716"/>
      <c r="O19" s="2716"/>
      <c r="P19" s="3708"/>
      <c r="Q19" s="1352" t="str">
        <f>B19</f>
        <v>公共配套设施</v>
      </c>
      <c r="R19" s="705" t="s">
        <v>14</v>
      </c>
      <c r="S19" s="706">
        <f>F19</f>
        <v>97</v>
      </c>
      <c r="T19" s="705" t="s">
        <v>14</v>
      </c>
      <c r="U19" s="706">
        <f>H19</f>
        <v>100</v>
      </c>
      <c r="V19" s="705" t="s">
        <v>14</v>
      </c>
      <c r="W19" s="706">
        <f>J19</f>
        <v>97</v>
      </c>
      <c r="X19" s="1355"/>
      <c r="Y19" s="3710"/>
      <c r="Z19" s="1356" t="str">
        <f>Q19</f>
        <v>公共配套设施</v>
      </c>
      <c r="AA19" s="1353">
        <f t="shared" si="3"/>
        <v>1.0309278350515463</v>
      </c>
      <c r="AB19" s="1353">
        <f t="shared" si="4"/>
        <v>1</v>
      </c>
      <c r="AC19" s="1962">
        <f t="shared" si="5"/>
        <v>1.0309278350515463</v>
      </c>
    </row>
    <row r="20" spans="1:29" ht="15">
      <c r="A20" s="379"/>
      <c r="B20" s="580"/>
      <c r="C20" s="1904" t="s">
        <v>3468</v>
      </c>
      <c r="D20" s="399"/>
      <c r="E20" s="1904" t="s">
        <v>3466</v>
      </c>
      <c r="F20" s="399"/>
      <c r="G20" s="1904" t="s">
        <v>3468</v>
      </c>
      <c r="H20" s="399"/>
      <c r="I20" s="1904" t="s">
        <v>3466</v>
      </c>
      <c r="J20" s="399"/>
      <c r="K20" s="564"/>
      <c r="L20" s="2722"/>
      <c r="M20" s="2716"/>
      <c r="N20" s="2716"/>
      <c r="O20" s="2716"/>
      <c r="P20" s="3708"/>
      <c r="Q20" s="1352"/>
      <c r="R20" s="705"/>
      <c r="S20" s="706"/>
      <c r="T20" s="705"/>
      <c r="U20" s="706"/>
      <c r="V20" s="705"/>
      <c r="W20" s="706"/>
      <c r="X20" s="1355"/>
      <c r="Y20" s="3710"/>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2"/>
      <c r="M21" s="2716"/>
      <c r="N21" s="2716"/>
      <c r="O21" s="2716"/>
      <c r="P21" s="3708"/>
      <c r="Q21" s="1352" t="str">
        <f>B21</f>
        <v>基础设施水平</v>
      </c>
      <c r="R21" s="705" t="s">
        <v>14</v>
      </c>
      <c r="S21" s="706">
        <f>F21</f>
        <v>100</v>
      </c>
      <c r="T21" s="705" t="s">
        <v>14</v>
      </c>
      <c r="U21" s="706">
        <f>H21</f>
        <v>100</v>
      </c>
      <c r="V21" s="705" t="s">
        <v>14</v>
      </c>
      <c r="W21" s="706">
        <f>J21</f>
        <v>100</v>
      </c>
      <c r="X21" s="1355"/>
      <c r="Y21" s="3710"/>
      <c r="Z21" s="1356" t="str">
        <f>Q21</f>
        <v>基础设施水平</v>
      </c>
      <c r="AA21" s="1353">
        <f t="shared" ref="AA21" si="8">D21/F21</f>
        <v>1</v>
      </c>
      <c r="AB21" s="1353">
        <f t="shared" ref="AB21" si="9">D21/H21</f>
        <v>1</v>
      </c>
      <c r="AC21" s="1962">
        <f t="shared" ref="AC21" si="10">D21/J21</f>
        <v>1</v>
      </c>
    </row>
    <row r="22" spans="1:29" ht="15">
      <c r="A22" s="379"/>
      <c r="B22" s="581"/>
      <c r="C22" s="1964" t="s">
        <v>3529</v>
      </c>
      <c r="D22" s="399"/>
      <c r="E22" s="1964" t="s">
        <v>3529</v>
      </c>
      <c r="F22" s="399"/>
      <c r="G22" s="1964" t="s">
        <v>3529</v>
      </c>
      <c r="H22" s="399"/>
      <c r="I22" s="1964" t="s">
        <v>3529</v>
      </c>
      <c r="J22" s="399"/>
      <c r="K22" s="1130"/>
      <c r="L22" s="2722"/>
      <c r="M22" s="2716"/>
      <c r="N22" s="2716"/>
      <c r="O22" s="2716"/>
      <c r="P22" s="3708"/>
      <c r="Q22" s="1352"/>
      <c r="R22" s="705"/>
      <c r="S22" s="706"/>
      <c r="T22" s="705"/>
      <c r="U22" s="706"/>
      <c r="V22" s="705"/>
      <c r="W22" s="706"/>
      <c r="X22" s="1355"/>
      <c r="Y22" s="3710"/>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97</v>
      </c>
      <c r="G23" s="403"/>
      <c r="H23" s="401">
        <f>SUMIF(85:85,G24,86:86)-SUMIF(85:85,C24,86:86)+100</f>
        <v>97</v>
      </c>
      <c r="I23" s="403"/>
      <c r="J23" s="401">
        <f>SUMIF(85:85,I24,86:86)-SUMIF(85:85,C24,86:86)+100</f>
        <v>97</v>
      </c>
      <c r="K23" s="563">
        <v>3</v>
      </c>
      <c r="L23" s="2722"/>
      <c r="M23" s="2716"/>
      <c r="N23" s="2716"/>
      <c r="O23" s="2716"/>
      <c r="P23" s="3708"/>
      <c r="Q23" s="1352" t="str">
        <f>B23</f>
        <v>环境质量</v>
      </c>
      <c r="R23" s="705" t="s">
        <v>14</v>
      </c>
      <c r="S23" s="706">
        <f>F23</f>
        <v>97</v>
      </c>
      <c r="T23" s="705" t="s">
        <v>14</v>
      </c>
      <c r="U23" s="706">
        <f>H23</f>
        <v>97</v>
      </c>
      <c r="V23" s="705" t="s">
        <v>14</v>
      </c>
      <c r="W23" s="706">
        <f>J23</f>
        <v>97</v>
      </c>
      <c r="X23" s="1355"/>
      <c r="Y23" s="3710"/>
      <c r="Z23" s="1356" t="str">
        <f>Q23</f>
        <v>环境质量</v>
      </c>
      <c r="AA23" s="1353">
        <f t="shared" si="3"/>
        <v>1.0309278350515463</v>
      </c>
      <c r="AB23" s="1353">
        <f t="shared" si="4"/>
        <v>1.0309278350515463</v>
      </c>
      <c r="AC23" s="1962">
        <f t="shared" si="5"/>
        <v>1.0309278350515463</v>
      </c>
    </row>
    <row r="24" spans="1:29" ht="15">
      <c r="A24" s="379"/>
      <c r="B24" s="581"/>
      <c r="C24" s="1904" t="s">
        <v>3468</v>
      </c>
      <c r="D24" s="399"/>
      <c r="E24" s="1897" t="s">
        <v>3466</v>
      </c>
      <c r="F24" s="399"/>
      <c r="G24" s="1897" t="s">
        <v>3466</v>
      </c>
      <c r="H24" s="399"/>
      <c r="I24" s="1897" t="s">
        <v>3466</v>
      </c>
      <c r="J24" s="399"/>
      <c r="K24" s="564"/>
      <c r="L24" s="2722"/>
      <c r="M24" s="2716"/>
      <c r="N24" s="2716"/>
      <c r="O24" s="2716"/>
      <c r="P24" s="3708"/>
      <c r="Q24" s="1352"/>
      <c r="R24" s="705"/>
      <c r="S24" s="706"/>
      <c r="T24" s="705"/>
      <c r="U24" s="706"/>
      <c r="V24" s="705"/>
      <c r="W24" s="706"/>
      <c r="X24" s="1355"/>
      <c r="Y24" s="3710"/>
      <c r="Z24" s="1356"/>
      <c r="AA24" s="1353">
        <v>1</v>
      </c>
      <c r="AB24" s="1353">
        <v>1</v>
      </c>
      <c r="AC24" s="1962">
        <v>1</v>
      </c>
    </row>
    <row r="25" spans="1:29" ht="27">
      <c r="A25" s="358"/>
      <c r="B25" s="579" t="s">
        <v>1815</v>
      </c>
      <c r="C25" s="1908"/>
      <c r="D25" s="386">
        <v>100</v>
      </c>
      <c r="E25" s="385"/>
      <c r="F25" s="386">
        <f>SUMIF(87:87,E26,88:88)-SUMIF(87:87,C26,88:88)+100</f>
        <v>102</v>
      </c>
      <c r="G25" s="1908"/>
      <c r="H25" s="386">
        <f>SUMIF(87:87,G26,88:88)-SUMIF(87:87,C26,88:88)+100</f>
        <v>102</v>
      </c>
      <c r="I25" s="385"/>
      <c r="J25" s="386">
        <f>SUMIF(87:87,I26,88:88)-SUMIF(87:87,C26,88:88)+100</f>
        <v>102</v>
      </c>
      <c r="K25" s="563">
        <v>1</v>
      </c>
      <c r="L25" s="2722"/>
      <c r="M25" s="2716"/>
      <c r="N25" s="2716"/>
      <c r="O25" s="2716"/>
      <c r="P25" s="3708"/>
      <c r="Q25" s="1352" t="str">
        <f>B25</f>
        <v>毗邻道路的类型与等级</v>
      </c>
      <c r="R25" s="705" t="s">
        <v>14</v>
      </c>
      <c r="S25" s="706">
        <f>F25</f>
        <v>102</v>
      </c>
      <c r="T25" s="705" t="s">
        <v>14</v>
      </c>
      <c r="U25" s="706">
        <f>H25</f>
        <v>102</v>
      </c>
      <c r="V25" s="705" t="s">
        <v>14</v>
      </c>
      <c r="W25" s="706">
        <f>J25</f>
        <v>102</v>
      </c>
      <c r="X25" s="1355"/>
      <c r="Y25" s="3710"/>
      <c r="Z25" s="1356" t="str">
        <f>Q25</f>
        <v>毗邻道路的类型与等级</v>
      </c>
      <c r="AA25" s="1353">
        <f t="shared" si="3"/>
        <v>0.98039215686274506</v>
      </c>
      <c r="AB25" s="1353">
        <f t="shared" si="4"/>
        <v>0.98039215686274506</v>
      </c>
      <c r="AC25" s="1962">
        <f t="shared" si="5"/>
        <v>0.98039215686274506</v>
      </c>
    </row>
    <row r="26" spans="1:29" ht="15">
      <c r="A26" s="358"/>
      <c r="B26" s="580"/>
      <c r="C26" s="582" t="s">
        <v>3534</v>
      </c>
      <c r="D26" s="386"/>
      <c r="E26" s="565" t="s">
        <v>3535</v>
      </c>
      <c r="F26" s="386"/>
      <c r="G26" s="565" t="s">
        <v>3535</v>
      </c>
      <c r="H26" s="386"/>
      <c r="I26" s="565" t="s">
        <v>3535</v>
      </c>
      <c r="J26" s="386"/>
      <c r="K26" s="564"/>
      <c r="L26" s="2722"/>
      <c r="M26" s="2716"/>
      <c r="N26" s="2716"/>
      <c r="O26" s="2716"/>
      <c r="P26" s="3708"/>
      <c r="Q26" s="1352"/>
      <c r="R26" s="705"/>
      <c r="S26" s="706"/>
      <c r="T26" s="705"/>
      <c r="U26" s="706"/>
      <c r="V26" s="705"/>
      <c r="W26" s="706"/>
      <c r="X26" s="1355"/>
      <c r="Y26" s="3710"/>
      <c r="Z26" s="1356"/>
      <c r="AA26" s="1353">
        <v>1</v>
      </c>
      <c r="AB26" s="1353">
        <v>1</v>
      </c>
      <c r="AC26" s="1962">
        <v>1</v>
      </c>
    </row>
    <row r="27" spans="1:29" ht="15" hidden="1">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708"/>
      <c r="Q27" s="1352" t="str">
        <f t="shared" ref="Q27:Q47" si="11">B27</f>
        <v>楼层</v>
      </c>
      <c r="R27" s="705" t="s">
        <v>14</v>
      </c>
      <c r="S27" s="706">
        <f>F27</f>
        <v>100</v>
      </c>
      <c r="T27" s="705" t="s">
        <v>14</v>
      </c>
      <c r="U27" s="706">
        <f>H27</f>
        <v>100</v>
      </c>
      <c r="V27" s="705" t="s">
        <v>14</v>
      </c>
      <c r="W27" s="706">
        <f>J27</f>
        <v>100</v>
      </c>
      <c r="X27" s="1355"/>
      <c r="Y27" s="3710"/>
      <c r="Z27" s="1356" t="str">
        <f>Q27</f>
        <v>楼层</v>
      </c>
      <c r="AA27" s="1353">
        <f t="shared" si="3"/>
        <v>1</v>
      </c>
      <c r="AB27" s="1353">
        <f t="shared" si="4"/>
        <v>1</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708"/>
      <c r="Q28" s="1343" t="str">
        <f t="shared" si="11"/>
        <v>朝向</v>
      </c>
      <c r="R28" s="701" t="s">
        <v>14</v>
      </c>
      <c r="S28" s="702">
        <f>F28</f>
        <v>100</v>
      </c>
      <c r="T28" s="701" t="s">
        <v>14</v>
      </c>
      <c r="U28" s="702">
        <f>H28</f>
        <v>100</v>
      </c>
      <c r="V28" s="701" t="s">
        <v>14</v>
      </c>
      <c r="W28" s="702">
        <f>J28</f>
        <v>100</v>
      </c>
      <c r="X28" s="703"/>
      <c r="Y28" s="3710"/>
      <c r="Z28" s="52" t="str">
        <f>Q28</f>
        <v>朝向</v>
      </c>
      <c r="AA28" s="1353">
        <f>D28/F28</f>
        <v>1</v>
      </c>
      <c r="AB28" s="1353">
        <f>D28/H28</f>
        <v>1</v>
      </c>
      <c r="AC28" s="1962">
        <f>D28/J28</f>
        <v>1</v>
      </c>
    </row>
    <row r="29" spans="1:29" ht="15.75" thickBot="1">
      <c r="A29" s="379"/>
      <c r="B29" s="3477" t="s">
        <v>3525</v>
      </c>
      <c r="C29" s="3478" t="s">
        <v>3555</v>
      </c>
      <c r="D29" s="386">
        <v>100</v>
      </c>
      <c r="E29" s="3479" t="s">
        <v>3527</v>
      </c>
      <c r="F29" s="386">
        <f>SUMIF(93:93,E29,94:94)-SUMIF(93:93,C29,94:94)+100</f>
        <v>97</v>
      </c>
      <c r="G29" s="3480" t="s">
        <v>3555</v>
      </c>
      <c r="H29" s="386">
        <f>SUMIF(93:93,G29,94:94)-SUMIF(93:93,C29,94:94)+100</f>
        <v>100</v>
      </c>
      <c r="I29" s="3479" t="s">
        <v>3526</v>
      </c>
      <c r="J29" s="386">
        <f>SUMIF(93:93,I29,94:94)-SUMIF(93:93,C29,94:94)+100</f>
        <v>97</v>
      </c>
      <c r="K29" s="562"/>
      <c r="L29" s="2722"/>
      <c r="M29" s="2716"/>
      <c r="N29" s="2716"/>
      <c r="O29" s="2716"/>
      <c r="P29" s="3708"/>
      <c r="Q29" s="1352" t="str">
        <f t="shared" si="11"/>
        <v>商业繁华度</v>
      </c>
      <c r="R29" s="705" t="s">
        <v>14</v>
      </c>
      <c r="S29" s="706">
        <f t="shared" ref="S29:S47" si="12">F29</f>
        <v>97</v>
      </c>
      <c r="T29" s="705" t="s">
        <v>14</v>
      </c>
      <c r="U29" s="706">
        <f t="shared" ref="U29:U47" si="13">H29</f>
        <v>100</v>
      </c>
      <c r="V29" s="705" t="s">
        <v>14</v>
      </c>
      <c r="W29" s="706">
        <f t="shared" ref="W29:W47" si="14">J29</f>
        <v>97</v>
      </c>
      <c r="X29" s="1355"/>
      <c r="Y29" s="3710"/>
      <c r="Z29" s="1356" t="str">
        <f t="shared" ref="Z29:Z47" si="15">Q29</f>
        <v>商业繁华度</v>
      </c>
      <c r="AA29" s="1353">
        <f t="shared" si="3"/>
        <v>1.0309278350515463</v>
      </c>
      <c r="AB29" s="1353">
        <f t="shared" si="4"/>
        <v>1</v>
      </c>
      <c r="AC29" s="1962">
        <f t="shared" si="5"/>
        <v>1.0309278350515463</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708"/>
      <c r="Q30" s="1352">
        <f t="shared" si="11"/>
        <v>111</v>
      </c>
      <c r="R30" s="705" t="s">
        <v>14</v>
      </c>
      <c r="S30" s="706">
        <f t="shared" si="12"/>
        <v>100</v>
      </c>
      <c r="T30" s="705" t="s">
        <v>14</v>
      </c>
      <c r="U30" s="706">
        <f t="shared" si="13"/>
        <v>100</v>
      </c>
      <c r="V30" s="705" t="s">
        <v>14</v>
      </c>
      <c r="W30" s="706">
        <f t="shared" si="14"/>
        <v>100</v>
      </c>
      <c r="X30" s="1355"/>
      <c r="Y30" s="3710"/>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708"/>
      <c r="Q31" s="1352">
        <f t="shared" si="11"/>
        <v>111</v>
      </c>
      <c r="R31" s="705" t="s">
        <v>14</v>
      </c>
      <c r="S31" s="706">
        <f t="shared" si="12"/>
        <v>100</v>
      </c>
      <c r="T31" s="705" t="s">
        <v>14</v>
      </c>
      <c r="U31" s="706">
        <f t="shared" si="13"/>
        <v>100</v>
      </c>
      <c r="V31" s="705" t="s">
        <v>14</v>
      </c>
      <c r="W31" s="706">
        <f t="shared" si="14"/>
        <v>100</v>
      </c>
      <c r="X31" s="1355"/>
      <c r="Y31" s="3710"/>
      <c r="Z31" s="1356">
        <f t="shared" si="15"/>
        <v>111</v>
      </c>
      <c r="AA31" s="1353">
        <f t="shared" si="3"/>
        <v>1</v>
      </c>
      <c r="AB31" s="13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708"/>
      <c r="Q32" s="1352">
        <f t="shared" si="11"/>
        <v>111</v>
      </c>
      <c r="R32" s="705" t="s">
        <v>14</v>
      </c>
      <c r="S32" s="706">
        <f t="shared" si="12"/>
        <v>100</v>
      </c>
      <c r="T32" s="705" t="s">
        <v>14</v>
      </c>
      <c r="U32" s="706">
        <f t="shared" si="13"/>
        <v>100</v>
      </c>
      <c r="V32" s="705" t="s">
        <v>14</v>
      </c>
      <c r="W32" s="706">
        <f t="shared" si="14"/>
        <v>100</v>
      </c>
      <c r="X32" s="1355"/>
      <c r="Y32" s="3710"/>
      <c r="Z32" s="1356">
        <f t="shared" si="15"/>
        <v>111</v>
      </c>
      <c r="AA32" s="1353">
        <f t="shared" si="3"/>
        <v>1</v>
      </c>
      <c r="AB32" s="1353">
        <f t="shared" si="4"/>
        <v>1</v>
      </c>
      <c r="AC32" s="1962">
        <f t="shared" si="5"/>
        <v>1</v>
      </c>
    </row>
    <row r="33" spans="1:29" ht="15">
      <c r="A33" s="391" t="s">
        <v>1694</v>
      </c>
      <c r="B33" s="63" t="s">
        <v>1817</v>
      </c>
      <c r="C33" s="1967" t="s">
        <v>3539</v>
      </c>
      <c r="D33" s="418">
        <v>100</v>
      </c>
      <c r="E33" s="1967" t="s">
        <v>3540</v>
      </c>
      <c r="F33" s="412">
        <f>SUMIF(101:101,E33,102:102)-SUMIF(101:101,C33,102:102)+100</f>
        <v>102</v>
      </c>
      <c r="G33" s="1967" t="s">
        <v>3541</v>
      </c>
      <c r="H33" s="386">
        <f>SUMIF(101:101,G33,102:102)-SUMIF(101:101,C33,102:102)+100</f>
        <v>98</v>
      </c>
      <c r="I33" s="1967" t="s">
        <v>3540</v>
      </c>
      <c r="J33" s="418">
        <f>SUMIF(101:101,I33,102:102)-SUMIF(101:101,C33,102:102)+100</f>
        <v>102</v>
      </c>
      <c r="K33" s="561">
        <v>2</v>
      </c>
      <c r="L33" s="2722"/>
      <c r="M33" s="2716"/>
      <c r="N33" s="2716"/>
      <c r="O33" s="2716"/>
      <c r="P33" s="3711" t="s">
        <v>1696</v>
      </c>
      <c r="Q33" s="1352" t="str">
        <f t="shared" si="11"/>
        <v>建筑类型</v>
      </c>
      <c r="R33" s="705" t="s">
        <v>14</v>
      </c>
      <c r="S33" s="706">
        <f t="shared" si="12"/>
        <v>102</v>
      </c>
      <c r="T33" s="705" t="s">
        <v>14</v>
      </c>
      <c r="U33" s="706">
        <f t="shared" si="13"/>
        <v>98</v>
      </c>
      <c r="V33" s="705" t="s">
        <v>14</v>
      </c>
      <c r="W33" s="706">
        <f t="shared" si="14"/>
        <v>102</v>
      </c>
      <c r="X33" s="1355"/>
      <c r="Y33" s="3714" t="s">
        <v>1696</v>
      </c>
      <c r="Z33" s="1356" t="str">
        <f t="shared" si="15"/>
        <v>建筑类型</v>
      </c>
      <c r="AA33" s="1353">
        <f t="shared" si="3"/>
        <v>0.98039215686274506</v>
      </c>
      <c r="AB33" s="1353">
        <f t="shared" si="4"/>
        <v>1.0204081632653061</v>
      </c>
      <c r="AC33" s="1962">
        <f t="shared" si="5"/>
        <v>0.98039215686274506</v>
      </c>
    </row>
    <row r="34" spans="1:29" s="422" customFormat="1" ht="15">
      <c r="A34" s="419"/>
      <c r="B34" s="375" t="s">
        <v>1697</v>
      </c>
      <c r="C34" s="420">
        <f>'数据-汇总表'!E3</f>
        <v>68805.62</v>
      </c>
      <c r="D34" s="127">
        <v>100</v>
      </c>
      <c r="E34" s="381">
        <f>案例!I2</f>
        <v>38000</v>
      </c>
      <c r="F34" s="376">
        <f>LOOKUP(E34,104:104,105:105)-LOOKUP(C34,104:104,105:105)+100</f>
        <v>102</v>
      </c>
      <c r="G34" s="380">
        <f>案例!I3</f>
        <v>138490</v>
      </c>
      <c r="H34" s="127">
        <f>LOOKUP(G34,104:104,105:105)-LOOKUP(C34,104:104,105:105)+100</f>
        <v>97</v>
      </c>
      <c r="I34" s="380">
        <f>案例!I4</f>
        <v>67666.289999999994</v>
      </c>
      <c r="J34" s="127">
        <f>LOOKUP(I34,104:104,105:105)-LOOKUP(C34,104:104,105:105)+100</f>
        <v>100</v>
      </c>
      <c r="K34" s="562"/>
      <c r="L34" s="2721"/>
      <c r="M34" s="2723"/>
      <c r="N34" s="2723"/>
      <c r="O34" s="2723"/>
      <c r="P34" s="3712"/>
      <c r="Q34" s="707" t="str">
        <f t="shared" si="11"/>
        <v>项目建筑规模</v>
      </c>
      <c r="R34" s="708" t="s">
        <v>14</v>
      </c>
      <c r="S34" s="709">
        <f t="shared" si="12"/>
        <v>102</v>
      </c>
      <c r="T34" s="708" t="s">
        <v>14</v>
      </c>
      <c r="U34" s="709">
        <f t="shared" si="13"/>
        <v>97</v>
      </c>
      <c r="V34" s="708" t="s">
        <v>14</v>
      </c>
      <c r="W34" s="709">
        <f t="shared" si="14"/>
        <v>100</v>
      </c>
      <c r="X34" s="710"/>
      <c r="Y34" s="3714"/>
      <c r="Z34" s="711" t="str">
        <f t="shared" si="15"/>
        <v>项目建筑规模</v>
      </c>
      <c r="AA34" s="1353">
        <f t="shared" si="3"/>
        <v>0.98039215686274506</v>
      </c>
      <c r="AB34" s="1353">
        <f t="shared" si="4"/>
        <v>1.0309278350515463</v>
      </c>
      <c r="AC34" s="1962">
        <f t="shared" si="5"/>
        <v>1</v>
      </c>
    </row>
    <row r="35" spans="1:29" ht="15">
      <c r="A35" s="423"/>
      <c r="B35" s="375" t="s">
        <v>1698</v>
      </c>
      <c r="C35" s="411" t="s">
        <v>3542</v>
      </c>
      <c r="D35" s="386">
        <v>100</v>
      </c>
      <c r="E35" s="411" t="s">
        <v>3542</v>
      </c>
      <c r="F35" s="412">
        <f>SUMIF(106:106,E35,107:107)-SUMIF(106:106,C35,107:107)+100</f>
        <v>100</v>
      </c>
      <c r="G35" s="411" t="s">
        <v>3542</v>
      </c>
      <c r="H35" s="386">
        <f>SUMIF(106:106,G35,107:107)-SUMIF(106:106,C35,107:107)+100</f>
        <v>100</v>
      </c>
      <c r="I35" s="411" t="s">
        <v>3542</v>
      </c>
      <c r="J35" s="386">
        <f>SUMIF(106:106,I35,107:107)-SUMIF(106:106,C35,107:107)+100</f>
        <v>100</v>
      </c>
      <c r="K35" s="561">
        <v>2</v>
      </c>
      <c r="L35" s="2722"/>
      <c r="M35" s="2716"/>
      <c r="N35" s="2716"/>
      <c r="O35" s="2716"/>
      <c r="P35" s="3712"/>
      <c r="Q35" s="1352" t="str">
        <f t="shared" si="11"/>
        <v>建筑结构</v>
      </c>
      <c r="R35" s="705" t="s">
        <v>14</v>
      </c>
      <c r="S35" s="706">
        <f t="shared" si="12"/>
        <v>100</v>
      </c>
      <c r="T35" s="705" t="s">
        <v>14</v>
      </c>
      <c r="U35" s="706">
        <f t="shared" si="13"/>
        <v>100</v>
      </c>
      <c r="V35" s="705" t="s">
        <v>14</v>
      </c>
      <c r="W35" s="706">
        <f t="shared" si="14"/>
        <v>100</v>
      </c>
      <c r="X35" s="1355"/>
      <c r="Y35" s="3714"/>
      <c r="Z35" s="1356" t="str">
        <f t="shared" si="15"/>
        <v>建筑结构</v>
      </c>
      <c r="AA35" s="1353">
        <f t="shared" si="3"/>
        <v>1</v>
      </c>
      <c r="AB35" s="1353">
        <f t="shared" si="4"/>
        <v>1</v>
      </c>
      <c r="AC35" s="1962">
        <f t="shared" si="5"/>
        <v>1</v>
      </c>
    </row>
    <row r="36" spans="1:29" ht="15">
      <c r="A36" s="423"/>
      <c r="B36" s="375" t="s">
        <v>1785</v>
      </c>
      <c r="C36" s="411" t="s">
        <v>3544</v>
      </c>
      <c r="D36" s="386">
        <v>100</v>
      </c>
      <c r="E36" s="411" t="s">
        <v>3544</v>
      </c>
      <c r="F36" s="412">
        <f>SUMIF(108:108,E36,109:109)-SUMIF(108:108,C36,109:109)+100</f>
        <v>100</v>
      </c>
      <c r="G36" s="411" t="s">
        <v>3544</v>
      </c>
      <c r="H36" s="386">
        <f>SUMIF(108:108,G36,109:109)-SUMIF(108:108,C36,109:109)+100</f>
        <v>100</v>
      </c>
      <c r="I36" s="411" t="s">
        <v>3544</v>
      </c>
      <c r="J36" s="386">
        <f>SUMIF(108:108,I36,109:109)-SUMIF(108:108,C36,109:109)+100</f>
        <v>100</v>
      </c>
      <c r="K36" s="561">
        <v>1</v>
      </c>
      <c r="L36" s="2722"/>
      <c r="M36" s="2716"/>
      <c r="N36" s="2716"/>
      <c r="O36" s="2716"/>
      <c r="P36" s="3712"/>
      <c r="Q36" s="1352" t="str">
        <f t="shared" si="11"/>
        <v>公共部分装修</v>
      </c>
      <c r="R36" s="705" t="s">
        <v>14</v>
      </c>
      <c r="S36" s="706">
        <f t="shared" si="12"/>
        <v>100</v>
      </c>
      <c r="T36" s="705" t="s">
        <v>14</v>
      </c>
      <c r="U36" s="706">
        <f t="shared" si="13"/>
        <v>100</v>
      </c>
      <c r="V36" s="705" t="s">
        <v>14</v>
      </c>
      <c r="W36" s="706">
        <f t="shared" si="14"/>
        <v>100</v>
      </c>
      <c r="X36" s="1355"/>
      <c r="Y36" s="3714"/>
      <c r="Z36" s="1356" t="str">
        <f t="shared" si="15"/>
        <v>公共部分装修</v>
      </c>
      <c r="AA36" s="1353">
        <f t="shared" si="3"/>
        <v>1</v>
      </c>
      <c r="AB36" s="1353">
        <f t="shared" si="4"/>
        <v>1</v>
      </c>
      <c r="AC36" s="1962">
        <f t="shared" si="5"/>
        <v>1</v>
      </c>
    </row>
    <row r="37" spans="1:29" ht="15">
      <c r="A37" s="423"/>
      <c r="B37" s="375" t="s">
        <v>1786</v>
      </c>
      <c r="C37" s="425">
        <f>'数据-取费表'!N6</f>
        <v>0.82</v>
      </c>
      <c r="D37" s="386">
        <v>100</v>
      </c>
      <c r="E37" s="425">
        <f>ROUND((1-(2024-2008)/60+87%)/2,2)</f>
        <v>0.8</v>
      </c>
      <c r="F37" s="412">
        <f>LOOKUP(E37,111:111,112:112)-LOOKUP(C37,111:111,112:112)+100</f>
        <v>100</v>
      </c>
      <c r="G37" s="425">
        <f>ROUND((1-(2024-2009)/60+85%)/2,2)</f>
        <v>0.8</v>
      </c>
      <c r="H37" s="412">
        <f>LOOKUP(G37,111:111,112:112)-LOOKUP(C37,111:111,112:112)+100</f>
        <v>100</v>
      </c>
      <c r="I37" s="425">
        <f>ROUND(1-(2024-2020)/60,2)</f>
        <v>0.93</v>
      </c>
      <c r="J37" s="386">
        <f>LOOKUP(I37,111:111,112:112)-LOOKUP(C37,111:111,112:112)+100</f>
        <v>101</v>
      </c>
      <c r="K37" s="561">
        <v>1</v>
      </c>
      <c r="L37" s="2722"/>
      <c r="M37" s="2716"/>
      <c r="N37" s="2716"/>
      <c r="O37" s="2716"/>
      <c r="P37" s="3712"/>
      <c r="Q37" s="1352" t="str">
        <f t="shared" si="11"/>
        <v>成新度</v>
      </c>
      <c r="R37" s="705" t="s">
        <v>14</v>
      </c>
      <c r="S37" s="706">
        <f t="shared" si="12"/>
        <v>100</v>
      </c>
      <c r="T37" s="705" t="s">
        <v>14</v>
      </c>
      <c r="U37" s="706">
        <f t="shared" si="13"/>
        <v>100</v>
      </c>
      <c r="V37" s="705" t="s">
        <v>14</v>
      </c>
      <c r="W37" s="706">
        <f t="shared" si="14"/>
        <v>101</v>
      </c>
      <c r="X37" s="1355"/>
      <c r="Y37" s="3714"/>
      <c r="Z37" s="1356" t="str">
        <f t="shared" si="15"/>
        <v>成新度</v>
      </c>
      <c r="AA37" s="1353">
        <f t="shared" si="3"/>
        <v>1</v>
      </c>
      <c r="AB37" s="1353">
        <f t="shared" si="4"/>
        <v>1</v>
      </c>
      <c r="AC37" s="1962">
        <f t="shared" si="5"/>
        <v>0.99009900990099009</v>
      </c>
    </row>
    <row r="38" spans="1:29" s="108" customFormat="1" ht="15" hidden="1">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712"/>
      <c r="Q38" s="1343" t="str">
        <f t="shared" si="11"/>
        <v>写字楼等级</v>
      </c>
      <c r="R38" s="701" t="s">
        <v>14</v>
      </c>
      <c r="S38" s="702">
        <f t="shared" si="12"/>
        <v>100</v>
      </c>
      <c r="T38" s="701" t="s">
        <v>14</v>
      </c>
      <c r="U38" s="702">
        <f t="shared" si="13"/>
        <v>100</v>
      </c>
      <c r="V38" s="701" t="s">
        <v>14</v>
      </c>
      <c r="W38" s="702">
        <f t="shared" si="14"/>
        <v>100</v>
      </c>
      <c r="X38" s="703"/>
      <c r="Y38" s="3714"/>
      <c r="Z38" s="52" t="str">
        <f t="shared" si="15"/>
        <v>写字楼等级</v>
      </c>
      <c r="AA38" s="704">
        <f t="shared" si="3"/>
        <v>1</v>
      </c>
      <c r="AB38" s="704">
        <f t="shared" si="4"/>
        <v>1</v>
      </c>
      <c r="AC38" s="1959">
        <f t="shared" si="5"/>
        <v>1</v>
      </c>
    </row>
    <row r="39" spans="1:29" ht="15">
      <c r="A39" s="423"/>
      <c r="B39" s="375" t="s">
        <v>1819</v>
      </c>
      <c r="C39" s="411" t="s">
        <v>3546</v>
      </c>
      <c r="D39" s="386">
        <v>100</v>
      </c>
      <c r="E39" s="411" t="s">
        <v>3546</v>
      </c>
      <c r="F39" s="412">
        <f>SUMIF(115:115,E39,116:116)-SUMIF(115:115,C39,116:116)+100</f>
        <v>100</v>
      </c>
      <c r="G39" s="411" t="s">
        <v>3546</v>
      </c>
      <c r="H39" s="386">
        <f>SUMIF(115:115,G39,116:116)-SUMIF(115:115,C39,116:116)+100</f>
        <v>100</v>
      </c>
      <c r="I39" s="411" t="s">
        <v>3546</v>
      </c>
      <c r="J39" s="386">
        <f>SUMIF(115:115,I39,116:116)-SUMIF(115:115,C39,116:116)+100</f>
        <v>100</v>
      </c>
      <c r="K39" s="561">
        <v>1</v>
      </c>
      <c r="L39" s="2722"/>
      <c r="M39" s="2716"/>
      <c r="N39" s="2716"/>
      <c r="O39" s="2716"/>
      <c r="P39" s="3712" t="s">
        <v>1696</v>
      </c>
      <c r="Q39" s="1352" t="str">
        <f t="shared" si="11"/>
        <v>物业管理</v>
      </c>
      <c r="R39" s="705" t="s">
        <v>14</v>
      </c>
      <c r="S39" s="706">
        <f t="shared" si="12"/>
        <v>100</v>
      </c>
      <c r="T39" s="705" t="s">
        <v>14</v>
      </c>
      <c r="U39" s="706">
        <f t="shared" si="13"/>
        <v>100</v>
      </c>
      <c r="V39" s="705" t="s">
        <v>14</v>
      </c>
      <c r="W39" s="706">
        <f t="shared" si="14"/>
        <v>100</v>
      </c>
      <c r="X39" s="1355"/>
      <c r="Y39" s="3714" t="s">
        <v>1696</v>
      </c>
      <c r="Z39" s="1356" t="str">
        <f t="shared" si="15"/>
        <v>物业管理</v>
      </c>
      <c r="AA39" s="1353">
        <f t="shared" si="3"/>
        <v>1</v>
      </c>
      <c r="AB39" s="1353">
        <f t="shared" si="4"/>
        <v>1</v>
      </c>
      <c r="AC39" s="1962">
        <f t="shared" si="5"/>
        <v>1</v>
      </c>
    </row>
    <row r="40" spans="1:29" ht="15">
      <c r="A40" s="423"/>
      <c r="B40" s="375" t="s">
        <v>1787</v>
      </c>
      <c r="C40" s="411" t="s">
        <v>3548</v>
      </c>
      <c r="D40" s="386">
        <v>100</v>
      </c>
      <c r="E40" s="411" t="s">
        <v>3551</v>
      </c>
      <c r="F40" s="412">
        <f>SUMIF(117:117,E40,118:118)-SUMIF(117:117,C40,118:118)+100</f>
        <v>99</v>
      </c>
      <c r="G40" s="411" t="s">
        <v>3548</v>
      </c>
      <c r="H40" s="386">
        <f>SUMIF(117:117,G40,118:118)-SUMIF(117:117,C40,118:118)+100</f>
        <v>100</v>
      </c>
      <c r="I40" s="411" t="s">
        <v>3551</v>
      </c>
      <c r="J40" s="386">
        <f>SUMIF(117:117,I40,118:118)-SUMIF(117:117,C40,118:118)+100</f>
        <v>99</v>
      </c>
      <c r="K40" s="561">
        <v>1</v>
      </c>
      <c r="L40" s="2722"/>
      <c r="M40" s="2716"/>
      <c r="N40" s="2716"/>
      <c r="O40" s="2716"/>
      <c r="P40" s="3712"/>
      <c r="Q40" s="1352" t="str">
        <f t="shared" si="11"/>
        <v>市政基础设施</v>
      </c>
      <c r="R40" s="705" t="s">
        <v>14</v>
      </c>
      <c r="S40" s="706">
        <f t="shared" si="12"/>
        <v>99</v>
      </c>
      <c r="T40" s="705" t="s">
        <v>14</v>
      </c>
      <c r="U40" s="706">
        <f t="shared" si="13"/>
        <v>100</v>
      </c>
      <c r="V40" s="705" t="s">
        <v>14</v>
      </c>
      <c r="W40" s="706">
        <f t="shared" si="14"/>
        <v>99</v>
      </c>
      <c r="X40" s="1355"/>
      <c r="Y40" s="3714"/>
      <c r="Z40" s="1356" t="str">
        <f t="shared" si="15"/>
        <v>市政基础设施</v>
      </c>
      <c r="AA40" s="1353">
        <f t="shared" si="3"/>
        <v>1.0101010101010102</v>
      </c>
      <c r="AB40" s="1353">
        <f t="shared" si="4"/>
        <v>1</v>
      </c>
      <c r="AC40" s="1962">
        <f t="shared" si="5"/>
        <v>1.0101010101010102</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712"/>
      <c r="Q41" s="1352" t="str">
        <f t="shared" si="11"/>
        <v>层高</v>
      </c>
      <c r="R41" s="705" t="s">
        <v>14</v>
      </c>
      <c r="S41" s="706">
        <f t="shared" si="12"/>
        <v>100</v>
      </c>
      <c r="T41" s="705" t="s">
        <v>14</v>
      </c>
      <c r="U41" s="706">
        <f t="shared" si="13"/>
        <v>100</v>
      </c>
      <c r="V41" s="705" t="s">
        <v>14</v>
      </c>
      <c r="W41" s="706">
        <f t="shared" si="14"/>
        <v>100</v>
      </c>
      <c r="X41" s="1355"/>
      <c r="Y41" s="3714"/>
      <c r="Z41" s="1356" t="str">
        <f t="shared" si="15"/>
        <v>层高</v>
      </c>
      <c r="AA41" s="1353">
        <f t="shared" si="3"/>
        <v>1</v>
      </c>
      <c r="AB41" s="1353">
        <f t="shared" si="4"/>
        <v>1</v>
      </c>
      <c r="AC41" s="1962">
        <f t="shared" si="5"/>
        <v>1</v>
      </c>
    </row>
    <row r="42" spans="1:29" s="422" customFormat="1" ht="15" hidden="1">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712"/>
      <c r="Q42" s="707" t="str">
        <f t="shared" si="11"/>
        <v>单套建筑面积</v>
      </c>
      <c r="R42" s="708" t="s">
        <v>14</v>
      </c>
      <c r="S42" s="709">
        <f t="shared" si="12"/>
        <v>100</v>
      </c>
      <c r="T42" s="708" t="s">
        <v>14</v>
      </c>
      <c r="U42" s="709">
        <f t="shared" si="13"/>
        <v>100</v>
      </c>
      <c r="V42" s="708" t="s">
        <v>14</v>
      </c>
      <c r="W42" s="709">
        <f t="shared" si="14"/>
        <v>100</v>
      </c>
      <c r="X42" s="710"/>
      <c r="Y42" s="3714"/>
      <c r="Z42" s="711" t="str">
        <f t="shared" si="15"/>
        <v>单套建筑面积</v>
      </c>
      <c r="AA42" s="1353">
        <f t="shared" si="3"/>
        <v>1</v>
      </c>
      <c r="AB42" s="1353">
        <f t="shared" si="4"/>
        <v>1</v>
      </c>
      <c r="AC42" s="1962">
        <f t="shared" si="5"/>
        <v>1</v>
      </c>
    </row>
    <row r="43" spans="1:29" ht="15">
      <c r="A43" s="423"/>
      <c r="B43" s="375" t="s">
        <v>1792</v>
      </c>
      <c r="C43" s="411" t="s">
        <v>3553</v>
      </c>
      <c r="D43" s="386">
        <v>100</v>
      </c>
      <c r="E43" s="411" t="s">
        <v>3553</v>
      </c>
      <c r="F43" s="412">
        <f>SUMIF(123:123,E43,124:124)-SUMIF(123:123,C43,124:124)+100</f>
        <v>100</v>
      </c>
      <c r="G43" s="411" t="s">
        <v>3553</v>
      </c>
      <c r="H43" s="386">
        <f>SUMIF(123:123,G43,124:124)-SUMIF(123:123,C43,124:124)+100</f>
        <v>100</v>
      </c>
      <c r="I43" s="411" t="s">
        <v>3553</v>
      </c>
      <c r="J43" s="386">
        <f>SUMIF(123:123,I43,124:124)-SUMIF(123:123,C43,124:124)+100</f>
        <v>100</v>
      </c>
      <c r="K43" s="561">
        <v>1</v>
      </c>
      <c r="L43" s="2722"/>
      <c r="M43" s="2716"/>
      <c r="N43" s="2716"/>
      <c r="O43" s="2716"/>
      <c r="P43" s="3712"/>
      <c r="Q43" s="1352" t="str">
        <f t="shared" si="11"/>
        <v>内部装修</v>
      </c>
      <c r="R43" s="705" t="s">
        <v>14</v>
      </c>
      <c r="S43" s="706">
        <f t="shared" si="12"/>
        <v>100</v>
      </c>
      <c r="T43" s="705" t="s">
        <v>14</v>
      </c>
      <c r="U43" s="706">
        <f t="shared" si="13"/>
        <v>100</v>
      </c>
      <c r="V43" s="705" t="s">
        <v>14</v>
      </c>
      <c r="W43" s="706">
        <f t="shared" si="14"/>
        <v>100</v>
      </c>
      <c r="X43" s="1355"/>
      <c r="Y43" s="3714"/>
      <c r="Z43" s="1356" t="str">
        <f t="shared" si="15"/>
        <v>内部装修</v>
      </c>
      <c r="AA43" s="1353">
        <f t="shared" si="3"/>
        <v>1</v>
      </c>
      <c r="AB43" s="1353">
        <f t="shared" si="4"/>
        <v>1</v>
      </c>
      <c r="AC43" s="1962">
        <f t="shared" si="5"/>
        <v>1</v>
      </c>
    </row>
    <row r="44" spans="1:29" ht="15.75" thickBot="1">
      <c r="A44" s="423"/>
      <c r="B44" s="375" t="s">
        <v>1707</v>
      </c>
      <c r="C44" s="411" t="s">
        <v>3466</v>
      </c>
      <c r="D44" s="386">
        <v>100</v>
      </c>
      <c r="E44" s="411" t="s">
        <v>3466</v>
      </c>
      <c r="F44" s="412">
        <f>SUMIF(125:125,E44,126:126)-SUMIF(125:125,C44,126:126)+100</f>
        <v>100</v>
      </c>
      <c r="G44" s="411" t="s">
        <v>3466</v>
      </c>
      <c r="H44" s="386">
        <f>SUMIF(125:125,G44,126:126)-SUMIF(125:125,C44,126:126)+100</f>
        <v>100</v>
      </c>
      <c r="I44" s="411" t="s">
        <v>3466</v>
      </c>
      <c r="J44" s="386">
        <f>SUMIF(125:125,I44,126:126)-SUMIF(125:125,C44,126:126)+100</f>
        <v>100</v>
      </c>
      <c r="K44" s="561">
        <v>1</v>
      </c>
      <c r="L44" s="2722"/>
      <c r="M44" s="2716"/>
      <c r="N44" s="2716"/>
      <c r="O44" s="2716"/>
      <c r="P44" s="3712"/>
      <c r="Q44" s="1352" t="str">
        <f t="shared" si="11"/>
        <v>内部装修维护情况</v>
      </c>
      <c r="R44" s="705" t="s">
        <v>14</v>
      </c>
      <c r="S44" s="706">
        <f t="shared" si="12"/>
        <v>100</v>
      </c>
      <c r="T44" s="705" t="s">
        <v>14</v>
      </c>
      <c r="U44" s="706">
        <f t="shared" si="13"/>
        <v>100</v>
      </c>
      <c r="V44" s="705" t="s">
        <v>14</v>
      </c>
      <c r="W44" s="706">
        <f t="shared" si="14"/>
        <v>100</v>
      </c>
      <c r="X44" s="1355"/>
      <c r="Y44" s="3714"/>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712"/>
      <c r="Q45" s="1343">
        <f t="shared" si="11"/>
        <v>111</v>
      </c>
      <c r="R45" s="701" t="s">
        <v>14</v>
      </c>
      <c r="S45" s="702">
        <f t="shared" si="12"/>
        <v>100</v>
      </c>
      <c r="T45" s="701" t="s">
        <v>14</v>
      </c>
      <c r="U45" s="702">
        <f t="shared" si="13"/>
        <v>100</v>
      </c>
      <c r="V45" s="701" t="s">
        <v>14</v>
      </c>
      <c r="W45" s="702">
        <f t="shared" si="14"/>
        <v>100</v>
      </c>
      <c r="X45" s="703"/>
      <c r="Y45" s="3714"/>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712"/>
      <c r="Q46" s="1352">
        <f t="shared" si="11"/>
        <v>111</v>
      </c>
      <c r="R46" s="705" t="s">
        <v>14</v>
      </c>
      <c r="S46" s="706">
        <f t="shared" si="12"/>
        <v>100</v>
      </c>
      <c r="T46" s="705" t="s">
        <v>14</v>
      </c>
      <c r="U46" s="706">
        <f t="shared" si="13"/>
        <v>100</v>
      </c>
      <c r="V46" s="705" t="s">
        <v>14</v>
      </c>
      <c r="W46" s="706">
        <f t="shared" si="14"/>
        <v>100</v>
      </c>
      <c r="X46" s="1355"/>
      <c r="Y46" s="3714"/>
      <c r="Z46" s="1356">
        <f t="shared" si="15"/>
        <v>111</v>
      </c>
      <c r="AA46" s="1353">
        <f t="shared" si="3"/>
        <v>1</v>
      </c>
      <c r="AB46" s="1353">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713"/>
      <c r="Q47" s="1352">
        <f t="shared" si="11"/>
        <v>111</v>
      </c>
      <c r="R47" s="705" t="s">
        <v>14</v>
      </c>
      <c r="S47" s="706">
        <f t="shared" si="12"/>
        <v>100</v>
      </c>
      <c r="T47" s="705" t="s">
        <v>14</v>
      </c>
      <c r="U47" s="706">
        <f t="shared" si="13"/>
        <v>100</v>
      </c>
      <c r="V47" s="705" t="s">
        <v>14</v>
      </c>
      <c r="W47" s="706">
        <f t="shared" si="14"/>
        <v>100</v>
      </c>
      <c r="X47" s="1355"/>
      <c r="Y47" s="3715"/>
      <c r="Z47" s="1356">
        <f t="shared" si="15"/>
        <v>111</v>
      </c>
      <c r="AA47" s="1353">
        <f t="shared" si="3"/>
        <v>1</v>
      </c>
      <c r="AB47" s="1353">
        <f t="shared" si="4"/>
        <v>1</v>
      </c>
      <c r="AC47" s="1962">
        <f t="shared" si="5"/>
        <v>1</v>
      </c>
    </row>
    <row r="48" spans="1:29" ht="15">
      <c r="A48" s="430" t="s">
        <v>1708</v>
      </c>
      <c r="B48" s="431"/>
      <c r="C48" s="1154" t="s">
        <v>0</v>
      </c>
      <c r="D48" s="1155"/>
      <c r="E48" s="1156">
        <f>案例!M2</f>
        <v>41447</v>
      </c>
      <c r="F48" s="1157"/>
      <c r="G48" s="1158">
        <f>案例!M3</f>
        <v>44665</v>
      </c>
      <c r="H48" s="1159"/>
      <c r="I48" s="1156">
        <f>案例!M4</f>
        <v>39800</v>
      </c>
      <c r="J48" s="436"/>
      <c r="K48" s="714"/>
      <c r="L48" s="2724"/>
      <c r="M48" s="2716"/>
      <c r="N48" s="2716"/>
      <c r="O48" s="2716"/>
      <c r="P48" s="3687" t="str">
        <f>A48</f>
        <v>成交单价（元/平方米）</v>
      </c>
      <c r="Q48" s="3716"/>
      <c r="R48" s="3717">
        <f>E48</f>
        <v>41447</v>
      </c>
      <c r="S48" s="3717"/>
      <c r="T48" s="3717">
        <f>G48</f>
        <v>44665</v>
      </c>
      <c r="U48" s="3717"/>
      <c r="V48" s="3717">
        <f>I48</f>
        <v>39800</v>
      </c>
      <c r="W48" s="3717"/>
      <c r="X48" s="397"/>
      <c r="Y48" s="712"/>
      <c r="Z48" s="397"/>
      <c r="AA48" s="397"/>
      <c r="AB48" s="397"/>
      <c r="AC48" s="578"/>
    </row>
    <row r="49" spans="1:29" ht="15.75" thickBot="1">
      <c r="A49" s="437" t="s">
        <v>1793</v>
      </c>
      <c r="B49" s="438"/>
      <c r="C49" s="1160">
        <f>R50</f>
        <v>41670</v>
      </c>
      <c r="D49" s="2317" t="s">
        <v>2138</v>
      </c>
      <c r="E49" s="1161">
        <f>R49</f>
        <v>40760</v>
      </c>
      <c r="F49" s="2318"/>
      <c r="G49" s="1160">
        <f>T49</f>
        <v>42745</v>
      </c>
      <c r="H49" s="2318"/>
      <c r="I49" s="1161">
        <f>V49</f>
        <v>41504</v>
      </c>
      <c r="J49" s="2318"/>
      <c r="K49" s="2320">
        <f>F49+H49+J49</f>
        <v>0</v>
      </c>
      <c r="L49" s="2724"/>
      <c r="M49" s="2716"/>
      <c r="N49" s="2716"/>
      <c r="O49" s="2716"/>
      <c r="P49" s="3687" t="str">
        <f>A49</f>
        <v>比较价值（元/平方米）</v>
      </c>
      <c r="Q49" s="3716"/>
      <c r="R49" s="3717">
        <f>IF(F1="售价",ROUND(PRODUCT(R48,AA7:AA47),0),ROUND(PRODUCT(R48,AA7:AA47),1))</f>
        <v>40760</v>
      </c>
      <c r="S49" s="3717"/>
      <c r="T49" s="3717">
        <f>IF(F1="售价",ROUND(PRODUCT(T48,AB7:AB47),0),ROUND(PRODUCT(T48,AB7:AB47),1))</f>
        <v>42745</v>
      </c>
      <c r="U49" s="3717"/>
      <c r="V49" s="3717">
        <f>IF(F1="售价",ROUND(PRODUCT(V48,AC7:AC47),0),ROUND(PRODUCT(V48,AC7:AC47),1))</f>
        <v>41504</v>
      </c>
      <c r="W49" s="3717"/>
      <c r="X49" s="397"/>
      <c r="Y49" s="397"/>
      <c r="Z49" s="397"/>
      <c r="AA49" s="397"/>
      <c r="AB49" s="397"/>
      <c r="AC49" s="578"/>
    </row>
    <row r="50" spans="1:29" ht="15.75" thickBot="1">
      <c r="A50" s="441" t="s">
        <v>1794</v>
      </c>
      <c r="B50" s="442"/>
      <c r="C50" s="1163">
        <f>R50</f>
        <v>41670</v>
      </c>
      <c r="D50" s="1163"/>
      <c r="E50" s="1163"/>
      <c r="F50" s="1163"/>
      <c r="G50" s="1163"/>
      <c r="H50" s="1163"/>
      <c r="I50" s="1163"/>
      <c r="J50" s="443"/>
      <c r="K50" s="715"/>
      <c r="L50" s="2724"/>
      <c r="M50" s="2716"/>
      <c r="N50" s="2716"/>
      <c r="O50" s="2716"/>
      <c r="P50" s="3718" t="str">
        <f>A50</f>
        <v>估价对象XX用房的比较价值（楼面单价，元/平方米）</v>
      </c>
      <c r="Q50" s="3719"/>
      <c r="R50" s="3720">
        <f>IF(F1="售价",ROUND(IF(D49="简单平均",AVERAGE(R49:V49),R49*F49+T49*H49+V49*J49),0),ROUND(IF(D49="简单平均",AVERAGE(R49:V49),R49*F49+T49*H49+V49*J49),1))</f>
        <v>41670</v>
      </c>
      <c r="S50" s="3720"/>
      <c r="T50" s="3720"/>
      <c r="U50" s="3720"/>
      <c r="V50" s="3720"/>
      <c r="W50" s="3720"/>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1.6854759568204036E-2</v>
      </c>
      <c r="F53" s="449" t="str">
        <f>IF(OR(E53&gt;=0.3,E53&lt;=-0.3),"超过30%","")</f>
        <v/>
      </c>
      <c r="G53" s="448">
        <f>IF(G48&lt;G49,G49/G48-1,G48/G49-1)</f>
        <v>4.4917534214528043E-2</v>
      </c>
      <c r="H53" s="449" t="str">
        <f>IF(OR(G53&gt;=0.3,G53&lt;=-0.3),"超过30%","")</f>
        <v/>
      </c>
      <c r="I53" s="448">
        <f>IF(I48&lt;I49,I49/I48-1,I48/I49-1)</f>
        <v>4.2814070351758771E-2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4.8699705593719278E-2</v>
      </c>
      <c r="F54" s="449" t="str">
        <f>IF(OR(E54&gt;=0.2,E54&lt;=-0.2),"超过20%","")</f>
        <v/>
      </c>
      <c r="G54" s="448">
        <f>IF(G49&lt;I49,I49/G49-1,G49/I49-1)</f>
        <v>2.9900732459521961E-2</v>
      </c>
      <c r="H54" s="449" t="str">
        <f>IF(OR(G54&gt;=0.2,G54&lt;=-0.2),"超过20%","")</f>
        <v/>
      </c>
      <c r="I54" s="448">
        <f>IF(I49&lt;E49,E49/I49-1,I49/E49-1)</f>
        <v>1.8253189401373993E-2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7.7641325065746614E-2</v>
      </c>
      <c r="F55" s="449" t="str">
        <f>IF(OR(E55&gt;=0.3,E55&lt;=-0.3),"超过30%","")</f>
        <v/>
      </c>
      <c r="G55" s="448">
        <f>IF(G48&lt;I48,I48/G48-1,G48/I48-1)</f>
        <v>0.12223618090452271</v>
      </c>
      <c r="H55" s="449" t="str">
        <f>IF(OR(G55&gt;=0.3,G55&lt;=-0.3),"超过30%","")</f>
        <v/>
      </c>
      <c r="I55" s="448">
        <f>IF(I48&lt;E48,E48/I48-1,I48/E48-1)</f>
        <v>4.1381909547738793E-2</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75" thickBot="1">
      <c r="A59" s="454" t="s">
        <v>1679</v>
      </c>
      <c r="B59" s="455"/>
      <c r="C59" s="1184" t="str">
        <f>YEAR(C7)&amp;"-"&amp;MONTH(C7)</f>
        <v>2024-1</v>
      </c>
      <c r="D59" s="1185">
        <f>EDATE(C59,-1)</f>
        <v>45261</v>
      </c>
      <c r="E59" s="1185">
        <f>EDATE(D59,-1)</f>
        <v>45231</v>
      </c>
      <c r="F59" s="1185">
        <f t="shared" ref="F59:O59" si="16">EDATE(E59,-1)</f>
        <v>45200</v>
      </c>
      <c r="G59" s="1185">
        <f t="shared" si="16"/>
        <v>45170</v>
      </c>
      <c r="H59" s="1185">
        <f t="shared" si="16"/>
        <v>45139</v>
      </c>
      <c r="I59" s="1185">
        <f t="shared" si="16"/>
        <v>45108</v>
      </c>
      <c r="J59" s="1185">
        <f t="shared" si="16"/>
        <v>45078</v>
      </c>
      <c r="K59" s="1185">
        <f t="shared" si="16"/>
        <v>45047</v>
      </c>
      <c r="L59" s="1185">
        <f t="shared" si="16"/>
        <v>45017</v>
      </c>
      <c r="M59" s="1185">
        <f t="shared" si="16"/>
        <v>44986</v>
      </c>
      <c r="N59" s="1185">
        <f t="shared" si="16"/>
        <v>44958</v>
      </c>
      <c r="O59" s="1185">
        <f t="shared" si="16"/>
        <v>44927</v>
      </c>
      <c r="P59" s="366">
        <v>44440</v>
      </c>
      <c r="Q59" s="2741" t="s">
        <v>3558</v>
      </c>
      <c r="R59" s="2741" t="s">
        <v>3559</v>
      </c>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1"/>
      <c r="N60" s="461"/>
      <c r="O60" s="461"/>
      <c r="P60" s="461">
        <v>100</v>
      </c>
      <c r="Q60" s="461">
        <v>100</v>
      </c>
      <c r="R60" s="461">
        <v>100</v>
      </c>
      <c r="S60" s="461">
        <v>100</v>
      </c>
      <c r="T60" s="461">
        <v>100</v>
      </c>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商业、办公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3474">
        <f>C10</f>
        <v>24.72</v>
      </c>
      <c r="D66" s="3474">
        <f>E10</f>
        <v>31</v>
      </c>
      <c r="E66" s="3474">
        <f>G10</f>
        <v>33</v>
      </c>
      <c r="F66" s="3474">
        <f>I10</f>
        <v>39</v>
      </c>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v>100</v>
      </c>
      <c r="D67" s="485">
        <v>101</v>
      </c>
      <c r="E67" s="485">
        <v>101</v>
      </c>
      <c r="F67" s="485">
        <v>101</v>
      </c>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t="str">
        <f>B12</f>
        <v>地下占比</v>
      </c>
      <c r="C71" s="3475">
        <f>C12</f>
        <v>0.44700000000000001</v>
      </c>
      <c r="D71" s="3475">
        <f>E12</f>
        <v>0.30299999999999999</v>
      </c>
      <c r="E71" s="3475">
        <f>G12</f>
        <v>0.247</v>
      </c>
      <c r="F71" s="3476">
        <f>I12</f>
        <v>0.40899999999999997</v>
      </c>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v>100</v>
      </c>
      <c r="D72" s="485">
        <v>105</v>
      </c>
      <c r="E72" s="485">
        <v>110</v>
      </c>
      <c r="F72" s="485">
        <v>100</v>
      </c>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t="s">
        <v>3522</v>
      </c>
      <c r="D73" s="503" t="s">
        <v>3523</v>
      </c>
      <c r="E73" s="503" t="s">
        <v>3524</v>
      </c>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v>100</v>
      </c>
      <c r="D74" s="509">
        <v>105</v>
      </c>
      <c r="E74" s="509">
        <v>110</v>
      </c>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97</v>
      </c>
      <c r="E78" s="493">
        <f>D78-$K15</f>
        <v>94</v>
      </c>
      <c r="F78" s="493">
        <f>E78-$K15</f>
        <v>91</v>
      </c>
      <c r="G78" s="493">
        <f>F78-$K15</f>
        <v>88</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97</v>
      </c>
      <c r="E80" s="493">
        <f>D80-$K17</f>
        <v>94</v>
      </c>
      <c r="F80" s="493">
        <f>E80-$K17</f>
        <v>91</v>
      </c>
      <c r="G80" s="493">
        <f>F80-$K17</f>
        <v>88</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97</v>
      </c>
      <c r="E82" s="493">
        <f>D82-$K19</f>
        <v>94</v>
      </c>
      <c r="F82" s="493">
        <f>E82-$K19</f>
        <v>91</v>
      </c>
      <c r="G82" s="493">
        <f>F82-$K19</f>
        <v>88</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99</v>
      </c>
      <c r="E84" s="493">
        <f>D84-$K21</f>
        <v>98</v>
      </c>
      <c r="F84" s="493">
        <f>E84-$K21</f>
        <v>97</v>
      </c>
      <c r="G84" s="493">
        <f>F84-$K21</f>
        <v>96</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97</v>
      </c>
      <c r="E86" s="493">
        <f>D86-$K23</f>
        <v>94</v>
      </c>
      <c r="F86" s="493">
        <f>E86-$K23</f>
        <v>91</v>
      </c>
      <c r="G86" s="493">
        <f>F86-$K23</f>
        <v>88</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3481" t="s">
        <v>3530</v>
      </c>
      <c r="D87" s="3481" t="s">
        <v>3531</v>
      </c>
      <c r="E87" s="3481" t="s">
        <v>3532</v>
      </c>
      <c r="F87" s="3481" t="s">
        <v>3533</v>
      </c>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99</v>
      </c>
      <c r="E88" s="493">
        <f t="shared" si="19"/>
        <v>98</v>
      </c>
      <c r="F88" s="493">
        <f t="shared" si="19"/>
        <v>97</v>
      </c>
      <c r="G88" s="493">
        <f t="shared" si="19"/>
        <v>96</v>
      </c>
      <c r="H88" s="493">
        <f t="shared" si="19"/>
        <v>95</v>
      </c>
      <c r="I88" s="493">
        <f t="shared" si="19"/>
        <v>94</v>
      </c>
      <c r="J88" s="493">
        <f t="shared" si="19"/>
        <v>93</v>
      </c>
      <c r="K88" s="493">
        <f t="shared" si="19"/>
        <v>92</v>
      </c>
      <c r="L88" s="493">
        <f t="shared" si="19"/>
        <v>91</v>
      </c>
      <c r="M88" s="493">
        <f t="shared" si="19"/>
        <v>90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t="str">
        <f>B29</f>
        <v>商业繁华度</v>
      </c>
      <c r="C93" s="3481" t="s">
        <v>3528</v>
      </c>
      <c r="D93" s="3481" t="s">
        <v>3526</v>
      </c>
      <c r="E93" s="3481" t="s">
        <v>3556</v>
      </c>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v>100</v>
      </c>
      <c r="D94" s="485">
        <v>103</v>
      </c>
      <c r="E94" s="485">
        <v>106</v>
      </c>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82" t="s">
        <v>3536</v>
      </c>
      <c r="D101" s="3482" t="s">
        <v>3537</v>
      </c>
      <c r="E101" s="3482" t="s">
        <v>3538</v>
      </c>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98</v>
      </c>
      <c r="E102" s="493">
        <f t="shared" si="22"/>
        <v>96</v>
      </c>
      <c r="F102" s="493">
        <f t="shared" si="22"/>
        <v>94</v>
      </c>
      <c r="G102" s="493">
        <f t="shared" si="22"/>
        <v>92</v>
      </c>
      <c r="H102" s="493">
        <f t="shared" si="22"/>
        <v>90</v>
      </c>
      <c r="I102" s="493">
        <f t="shared" si="22"/>
        <v>88</v>
      </c>
      <c r="J102" s="493">
        <f t="shared" si="22"/>
        <v>86</v>
      </c>
      <c r="K102" s="493">
        <f t="shared" si="22"/>
        <v>84</v>
      </c>
      <c r="L102" s="493">
        <f t="shared" si="22"/>
        <v>82</v>
      </c>
      <c r="M102" s="494">
        <f t="shared" si="22"/>
        <v>80</v>
      </c>
      <c r="N102" s="2754"/>
      <c r="O102" s="2754"/>
      <c r="P102" s="2762"/>
      <c r="Q102" s="2739"/>
      <c r="R102" s="2725"/>
      <c r="S102" s="2725"/>
      <c r="T102" s="2725"/>
      <c r="U102" s="2725"/>
      <c r="V102" s="2725"/>
      <c r="W102" s="2725"/>
      <c r="X102" s="2725"/>
      <c r="Y102" s="2725"/>
      <c r="Z102" s="2725"/>
      <c r="AA102" s="2725"/>
      <c r="AB102" s="2725"/>
      <c r="AC102" s="2725"/>
    </row>
    <row r="103" spans="1:29" ht="29.25" thickTop="1">
      <c r="A103" s="483"/>
      <c r="B103" s="487" t="s">
        <v>1737</v>
      </c>
      <c r="C103" s="527" t="str">
        <f>C104&amp;"(含)"&amp;"-"&amp;D104</f>
        <v>0(含)-20000</v>
      </c>
      <c r="D103" s="527" t="str">
        <f t="shared" ref="D103:L103" si="23">D104&amp;"(含)"&amp;"-"&amp;E104</f>
        <v>20000(含)-40000</v>
      </c>
      <c r="E103" s="527" t="str">
        <f t="shared" si="23"/>
        <v>40000(含)-60000</v>
      </c>
      <c r="F103" s="527" t="str">
        <f t="shared" si="23"/>
        <v>60000(含)-80000</v>
      </c>
      <c r="G103" s="527" t="str">
        <f t="shared" si="23"/>
        <v>80000(含)-100000</v>
      </c>
      <c r="H103" s="527" t="str">
        <f t="shared" si="23"/>
        <v>100000(含)-120000</v>
      </c>
      <c r="I103" s="527" t="str">
        <f t="shared" si="23"/>
        <v>120000(含)-140000</v>
      </c>
      <c r="J103" s="527" t="str">
        <f t="shared" si="23"/>
        <v>140000(含)-160000</v>
      </c>
      <c r="K103" s="527" t="str">
        <f t="shared" si="23"/>
        <v>160000(含)-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20000</v>
      </c>
      <c r="E104" s="544">
        <v>40000</v>
      </c>
      <c r="F104" s="544">
        <v>60000</v>
      </c>
      <c r="G104" s="544">
        <v>80000</v>
      </c>
      <c r="H104" s="544">
        <v>100000</v>
      </c>
      <c r="I104" s="544">
        <v>120000</v>
      </c>
      <c r="J104" s="545">
        <v>140000</v>
      </c>
      <c r="K104" s="545">
        <v>160000</v>
      </c>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v>100</v>
      </c>
      <c r="D105" s="485">
        <v>99</v>
      </c>
      <c r="E105" s="485">
        <v>98</v>
      </c>
      <c r="F105" s="485">
        <v>97</v>
      </c>
      <c r="G105" s="485">
        <v>96</v>
      </c>
      <c r="H105" s="485">
        <v>95</v>
      </c>
      <c r="I105" s="485">
        <v>94</v>
      </c>
      <c r="J105" s="485">
        <v>93</v>
      </c>
      <c r="K105" s="485">
        <v>92</v>
      </c>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81" t="s">
        <v>3543</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81" t="s">
        <v>3545</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481" t="s">
        <v>3547</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3481" t="s">
        <v>3549</v>
      </c>
      <c r="D117" s="3481" t="s">
        <v>3550</v>
      </c>
      <c r="E117" s="3481" t="s">
        <v>3552</v>
      </c>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81" t="s">
        <v>3554</v>
      </c>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76" priority="20" stopIfTrue="1" operator="containsText" text="超过">
      <formula>NOT(ISERROR(SEARCH("超过",F53)))</formula>
    </cfRule>
  </conditionalFormatting>
  <conditionalFormatting sqref="H55">
    <cfRule type="containsText" dxfId="175" priority="19" stopIfTrue="1" operator="containsText" text="超过">
      <formula>NOT(ISERROR(SEARCH("超过",H55)))</formula>
    </cfRule>
  </conditionalFormatting>
  <conditionalFormatting sqref="F55">
    <cfRule type="containsText" dxfId="174" priority="18" stopIfTrue="1" operator="containsText" text="超过">
      <formula>NOT(ISERROR(SEARCH("超过",F55)))</formula>
    </cfRule>
  </conditionalFormatting>
  <conditionalFormatting sqref="F54 H54">
    <cfRule type="containsText" dxfId="173" priority="17" stopIfTrue="1" operator="containsText" text="超过">
      <formula>NOT(ISERROR(SEARCH("超过",F54)))</formula>
    </cfRule>
  </conditionalFormatting>
  <conditionalFormatting sqref="E53">
    <cfRule type="expression" dxfId="172" priority="16" stopIfTrue="1">
      <formula>$F$53="超过30%"</formula>
    </cfRule>
  </conditionalFormatting>
  <conditionalFormatting sqref="E54">
    <cfRule type="expression" dxfId="171" priority="15" stopIfTrue="1">
      <formula>$F$54="超过20%"</formula>
    </cfRule>
  </conditionalFormatting>
  <conditionalFormatting sqref="E55">
    <cfRule type="expression" dxfId="170" priority="14" stopIfTrue="1">
      <formula>$F$55="超过30%"</formula>
    </cfRule>
  </conditionalFormatting>
  <conditionalFormatting sqref="G55">
    <cfRule type="expression" dxfId="169" priority="13" stopIfTrue="1">
      <formula>$H$55="超过30%"</formula>
    </cfRule>
  </conditionalFormatting>
  <conditionalFormatting sqref="G53">
    <cfRule type="expression" dxfId="168" priority="12" stopIfTrue="1">
      <formula>$H$53="超过30%"</formula>
    </cfRule>
  </conditionalFormatting>
  <conditionalFormatting sqref="G54">
    <cfRule type="expression" dxfId="167" priority="11" stopIfTrue="1">
      <formula>$H$54="超过20%"</formula>
    </cfRule>
  </conditionalFormatting>
  <conditionalFormatting sqref="J53">
    <cfRule type="containsText" dxfId="166" priority="10" stopIfTrue="1" operator="containsText" text="超过">
      <formula>NOT(ISERROR(SEARCH("超过",J53)))</formula>
    </cfRule>
  </conditionalFormatting>
  <conditionalFormatting sqref="J55">
    <cfRule type="containsText" dxfId="165" priority="9" stopIfTrue="1" operator="containsText" text="超过">
      <formula>NOT(ISERROR(SEARCH("超过",J55)))</formula>
    </cfRule>
  </conditionalFormatting>
  <conditionalFormatting sqref="J54">
    <cfRule type="containsText" dxfId="164" priority="8" stopIfTrue="1" operator="containsText" text="超过">
      <formula>NOT(ISERROR(SEARCH("超过",J54)))</formula>
    </cfRule>
  </conditionalFormatting>
  <conditionalFormatting sqref="I53">
    <cfRule type="expression" dxfId="163" priority="7" stopIfTrue="1">
      <formula>$J$53="超过30%"</formula>
    </cfRule>
  </conditionalFormatting>
  <conditionalFormatting sqref="I54">
    <cfRule type="expression" dxfId="162" priority="6" stopIfTrue="1">
      <formula>$J$53+$J$54="超过20%"</formula>
    </cfRule>
  </conditionalFormatting>
  <conditionalFormatting sqref="I55">
    <cfRule type="expression" dxfId="161" priority="5" stopIfTrue="1">
      <formula>$J$55="超过30%"</formula>
    </cfRule>
  </conditionalFormatting>
  <conditionalFormatting sqref="F49">
    <cfRule type="expression" dxfId="160" priority="4">
      <formula>$D$49="简单平均"</formula>
    </cfRule>
  </conditionalFormatting>
  <conditionalFormatting sqref="H49">
    <cfRule type="expression" dxfId="159" priority="3">
      <formula>$D$49="简单平均"</formula>
    </cfRule>
  </conditionalFormatting>
  <conditionalFormatting sqref="J49">
    <cfRule type="expression" dxfId="158" priority="2">
      <formula>$D$49="简单平均"</formula>
    </cfRule>
  </conditionalFormatting>
  <conditionalFormatting sqref="F7:F47 H7:H47 J7:J47">
    <cfRule type="cellIs" dxfId="15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9</v>
      </c>
      <c r="H1" s="1061" t="str">
        <f>IF(ISERROR(FIND("住宅",B1)),"非住宅","住宅")</f>
        <v>非住宅</v>
      </c>
    </row>
    <row r="2" spans="1:8" s="200" customFormat="1" ht="18" customHeight="1">
      <c r="A2" s="201" t="s">
        <v>1462</v>
      </c>
      <c r="B2" s="3424">
        <f ca="1">ROUND(IF(D2="——",C52/10000,C52/10000-E2),4)</f>
        <v>38643.277600000001</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5616</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13761124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13761124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13761124</v>
      </c>
      <c r="D10" s="845">
        <f ca="1">IF(B1="",'数据-汇总表'!E6,IF(INDIRECT("'数据-取费表'!c"&amp;$G$1)="住宅",INDIRECT("'数据-取费表'!s"&amp;$G$1),INDIRECT("'数据-取费表'!k"&amp;$G$1)+INDIRECT("'数据-取费表'!s"&amp;$G$1)))</f>
        <v>68805.62</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13761124</v>
      </c>
      <c r="D19" s="849">
        <f ca="1">D9+D10</f>
        <v>68805.62</v>
      </c>
      <c r="E19" s="211">
        <f>'数据-取费表'!B31</f>
        <v>200</v>
      </c>
      <c r="F19" s="231"/>
      <c r="G19" s="1856"/>
    </row>
    <row r="20" spans="1:7" s="214" customFormat="1" ht="13.5" customHeight="1">
      <c r="A20" s="255" t="s">
        <v>1574</v>
      </c>
      <c r="B20" s="210" t="s">
        <v>1575</v>
      </c>
      <c r="C20" s="232">
        <f ca="1">ROUND((C5+C19)*F20,0)</f>
        <v>550445</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1950784</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965897</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965897</v>
      </c>
      <c r="D24" s="238"/>
      <c r="E24" s="238"/>
      <c r="F24" s="239"/>
      <c r="G24" s="240" t="s">
        <v>1586</v>
      </c>
    </row>
    <row r="25" spans="1:7" s="214" customFormat="1" ht="24">
      <c r="A25" s="780" t="s">
        <v>1476</v>
      </c>
      <c r="B25" s="215" t="s">
        <v>1587</v>
      </c>
      <c r="C25" s="1128">
        <f ca="1">ROUND(IF('数据-取费表'!B22&lt;=1,C20*F22*'数据-取费表'!B22/2,C20*(POWER((1+F22),'数据-取费表'!B22/2)-1)),0)</f>
        <v>18990</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3649450</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ROUND((C5+C19+C20)*F27,0)</f>
        <v>3649450</v>
      </c>
      <c r="D28" s="235"/>
      <c r="E28" s="236"/>
      <c r="F28" s="246"/>
      <c r="G28" s="247"/>
    </row>
    <row r="29" spans="1:7" s="214" customFormat="1" ht="13.5" customHeight="1">
      <c r="A29" s="780" t="s">
        <v>347</v>
      </c>
      <c r="B29" s="248" t="s">
        <v>1517</v>
      </c>
      <c r="C29" s="238">
        <f ca="1">ROUND(C21*F27,4)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36466241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331789677</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298618360</v>
      </c>
      <c r="D34" s="217"/>
      <c r="E34" s="220"/>
      <c r="F34" s="257"/>
      <c r="G34" s="219"/>
    </row>
    <row r="35" spans="1:7" ht="13.5" customHeight="1">
      <c r="A35" s="780" t="s">
        <v>351</v>
      </c>
      <c r="B35" s="215" t="s">
        <v>1527</v>
      </c>
      <c r="C35" s="220">
        <f ca="1">ROUND(C34*F35,0)</f>
        <v>14930918</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13761124</v>
      </c>
      <c r="D37" s="217">
        <f ca="1">D19</f>
        <v>68805.62</v>
      </c>
      <c r="E37" s="249">
        <f>'数据-取费表'!B35</f>
        <v>200</v>
      </c>
      <c r="F37" s="259"/>
      <c r="G37" s="261"/>
    </row>
    <row r="38" spans="1:7" ht="13.5" customHeight="1">
      <c r="A38" s="780" t="s">
        <v>354</v>
      </c>
      <c r="B38" s="215" t="s">
        <v>1533</v>
      </c>
      <c r="C38" s="220">
        <f ca="1">ROUND(C34*F38,0)</f>
        <v>4479275</v>
      </c>
      <c r="D38" s="220"/>
      <c r="E38" s="220"/>
      <c r="F38" s="259">
        <f>'数据-取费表'!B36</f>
        <v>1.4999999999999999E-2</v>
      </c>
      <c r="G38" s="219" t="s">
        <v>1528</v>
      </c>
    </row>
    <row r="39" spans="1:7" s="214" customFormat="1" ht="13.5" customHeight="1">
      <c r="A39" s="255" t="s">
        <v>1534</v>
      </c>
      <c r="B39" s="210" t="s">
        <v>1535</v>
      </c>
      <c r="C39" s="232">
        <f ca="1">ROUND(C33*F20,0)</f>
        <v>6635794</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11675679</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11446744</v>
      </c>
      <c r="D42" s="238"/>
      <c r="E42" s="238"/>
      <c r="F42" s="239"/>
      <c r="G42" s="3721" t="s">
        <v>1591</v>
      </c>
    </row>
    <row r="43" spans="1:7" ht="13.5" customHeight="1">
      <c r="A43" s="780" t="s">
        <v>347</v>
      </c>
      <c r="B43" s="215" t="s">
        <v>1545</v>
      </c>
      <c r="C43" s="238">
        <f ca="1">ROUND(IF('数据-取费表'!B22&lt;=1,C39*F22*'数据-取费表'!B20/2,C39*(POWER((1+F22),'数据-取费表'!B20/2)-1)),0)</f>
        <v>228935</v>
      </c>
      <c r="D43" s="238"/>
      <c r="E43" s="238"/>
      <c r="F43" s="239"/>
      <c r="G43" s="3722"/>
    </row>
    <row r="44" spans="1:7" ht="13.5" customHeight="1">
      <c r="A44" s="780" t="s">
        <v>348</v>
      </c>
      <c r="B44" s="215" t="s">
        <v>1546</v>
      </c>
      <c r="C44" s="238">
        <f ca="1">ROUND(IF('数据-取费表'!B22&lt;=1,C40*F22*'数据-取费表'!B20/2,C40*(POWER((1+F22),'数据-取费表'!B20/2)-1)),4)</f>
        <v>6.9999999999999999E-4</v>
      </c>
      <c r="D44" s="238"/>
      <c r="E44" s="238"/>
      <c r="F44" s="239"/>
      <c r="G44" s="3723"/>
    </row>
    <row r="45" spans="1:7" s="214" customFormat="1" ht="13.5" customHeight="1">
      <c r="A45" s="255" t="s">
        <v>1547</v>
      </c>
      <c r="B45" s="244" t="s">
        <v>1513</v>
      </c>
      <c r="C45" s="245">
        <f ca="1">C46</f>
        <v>43995311</v>
      </c>
      <c r="D45" s="235">
        <f ca="1">C47</f>
        <v>2.5999999999999999E-3</v>
      </c>
      <c r="E45" s="236" t="s">
        <v>1539</v>
      </c>
      <c r="F45" s="246">
        <f ca="1">F27</f>
        <v>0.13</v>
      </c>
      <c r="G45" s="247" t="s">
        <v>1548</v>
      </c>
    </row>
    <row r="46" spans="1:7" s="214" customFormat="1" ht="13.5" customHeight="1">
      <c r="A46" s="780" t="s">
        <v>346</v>
      </c>
      <c r="B46" s="248" t="s">
        <v>1549</v>
      </c>
      <c r="C46" s="249">
        <f ca="1">ROUND((C33+C39)*F27,0)</f>
        <v>43995311</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426788457</v>
      </c>
      <c r="D49" s="232"/>
      <c r="E49" s="232"/>
      <c r="F49" s="264"/>
      <c r="G49" s="234" t="s">
        <v>1554</v>
      </c>
    </row>
    <row r="50" spans="1:7" s="258" customFormat="1">
      <c r="A50" s="255" t="s">
        <v>1555</v>
      </c>
      <c r="B50" s="210" t="s">
        <v>1556</v>
      </c>
      <c r="C50" s="232"/>
      <c r="D50" s="232"/>
      <c r="E50" s="232"/>
      <c r="F50" s="264">
        <f>IF('数据-取费表'!B24=0,'数据-取费表'!N16,1)</f>
        <v>0.82</v>
      </c>
      <c r="G50" s="247"/>
    </row>
    <row r="51" spans="1:7" ht="16.5" customHeight="1">
      <c r="A51" s="255" t="s">
        <v>1558</v>
      </c>
      <c r="B51" s="210" t="s">
        <v>1593</v>
      </c>
      <c r="C51" s="232">
        <f ca="1">ROUND(C49*F50,0)</f>
        <v>349966535</v>
      </c>
      <c r="D51" s="232"/>
      <c r="E51" s="232"/>
      <c r="F51" s="264"/>
      <c r="G51" s="234" t="s">
        <v>1560</v>
      </c>
    </row>
    <row r="52" spans="1:7" s="208" customFormat="1" ht="16.5" thickBot="1">
      <c r="A52" s="265" t="s">
        <v>1561</v>
      </c>
      <c r="B52" s="266"/>
      <c r="C52" s="267">
        <f ca="1">C31+C51</f>
        <v>386432776</v>
      </c>
      <c r="D52" s="266"/>
      <c r="E52" s="266"/>
      <c r="F52" s="266"/>
      <c r="G52" s="268"/>
    </row>
    <row r="55" spans="1:7" ht="15">
      <c r="B55" s="270" t="s">
        <v>1562</v>
      </c>
      <c r="C55" s="271"/>
    </row>
    <row r="56" spans="1:7">
      <c r="B56" s="273" t="s">
        <v>802</v>
      </c>
      <c r="C56" s="275">
        <f ca="1">1-C57</f>
        <v>9.3999999999999972E-2</v>
      </c>
    </row>
    <row r="57" spans="1:7">
      <c r="B57" s="273" t="s">
        <v>803</v>
      </c>
      <c r="C57" s="274">
        <f ca="1">ROUND(C51/C52,3)</f>
        <v>0.90600000000000003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9</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68805.62</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68805.62</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1376</v>
      </c>
      <c r="D20" s="846">
        <f ca="1">IF(C1="",'数据-汇总表'!E6,IF(INDIRECT("'数据-取费表'!c"&amp;$K$1)="住宅",INDIRECT("'数据-取费表'!s"&amp;$K$1),INDIRECT("'数据-取费表'!k"&amp;$K$1)+INDIRECT("'数据-取费表'!s"&amp;$K$1)))</f>
        <v>68805.62</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0.13</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abSelected="1" view="pageBreakPreview" topLeftCell="A10" zoomScale="70" zoomScaleNormal="70" zoomScaleSheetLayoutView="70" workbookViewId="0">
      <selection activeCell="C11" sqref="C1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3453</v>
      </c>
      <c r="D1" s="1362" t="s">
        <v>43</v>
      </c>
      <c r="E1" s="1363" t="s">
        <v>678</v>
      </c>
      <c r="F1" s="1062">
        <f ca="1">J53</f>
        <v>24.72</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77827</v>
      </c>
      <c r="C2" s="1387" t="s">
        <v>805</v>
      </c>
      <c r="D2" s="1387"/>
      <c r="E2" s="1388"/>
      <c r="F2" s="1389"/>
      <c r="G2" s="2706"/>
      <c r="H2" s="2695"/>
      <c r="I2" s="2695"/>
      <c r="J2" s="2695"/>
      <c r="K2" s="2696"/>
      <c r="L2" s="2695"/>
      <c r="M2" s="2695"/>
    </row>
    <row r="3" spans="1:37" ht="18" customHeight="1" thickBot="1">
      <c r="A3" s="1390" t="s">
        <v>806</v>
      </c>
      <c r="B3" s="1391">
        <f ca="1">IF(ISERROR(B2*10000/F43),0,ROUND(B2*10000/F43,0))</f>
        <v>24829</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6257</v>
      </c>
      <c r="D5" s="1364" t="s">
        <v>693</v>
      </c>
      <c r="E5" s="1071"/>
      <c r="F5" s="1072"/>
      <c r="G5" s="1384"/>
      <c r="H5" s="299">
        <v>1</v>
      </c>
      <c r="I5" s="300" t="s">
        <v>692</v>
      </c>
      <c r="J5" s="1070">
        <f ca="1">J6+J10+J12</f>
        <v>11013</v>
      </c>
      <c r="K5" s="1364" t="s">
        <v>693</v>
      </c>
      <c r="L5" s="1071"/>
      <c r="M5" s="1072"/>
    </row>
    <row r="6" spans="1:37" ht="18" customHeight="1">
      <c r="A6" s="1069" t="s">
        <v>398</v>
      </c>
      <c r="B6" s="3726" t="s">
        <v>694</v>
      </c>
      <c r="C6" s="1074">
        <f ca="1">ROUND(F6*F8*F7*(1-F9)/10000,0)</f>
        <v>6235</v>
      </c>
      <c r="D6" s="155" t="s">
        <v>2109</v>
      </c>
      <c r="E6" s="302" t="s">
        <v>696</v>
      </c>
      <c r="F6" s="303">
        <f ca="1">INDIRECT("'数据-取费表'!u"&amp;$G$1)</f>
        <v>5.45</v>
      </c>
      <c r="G6" s="1384"/>
      <c r="H6" s="1069" t="s">
        <v>398</v>
      </c>
      <c r="I6" s="3726" t="s">
        <v>694</v>
      </c>
      <c r="J6" s="301">
        <f ca="1">ROUND(M6*M8*M7*(1-M9)/10000,0)</f>
        <v>10999</v>
      </c>
      <c r="K6" s="155" t="s">
        <v>2108</v>
      </c>
      <c r="L6" s="302" t="s">
        <v>696</v>
      </c>
      <c r="M6" s="303">
        <f ca="1">INDIRECT("'数据-取费表'!z"&amp;$G$1)</f>
        <v>10.119999999999999</v>
      </c>
    </row>
    <row r="7" spans="1:37" ht="18" customHeight="1">
      <c r="A7" s="1073"/>
      <c r="B7" s="3727"/>
      <c r="C7" s="1075"/>
      <c r="D7" s="307"/>
      <c r="E7" s="1076" t="s">
        <v>697</v>
      </c>
      <c r="F7" s="303">
        <f ca="1">IF(INDIRECT("'数据-取费表'!ah"&amp;$G$1)="",INDIRECT("'数据-取费表'!k"&amp;$G$1),INDIRECT("'数据-取费表'!ah"&amp;$G$1))</f>
        <v>31345.27</v>
      </c>
      <c r="G7" s="1384"/>
      <c r="H7" s="304"/>
      <c r="I7" s="3727"/>
      <c r="J7" s="306"/>
      <c r="K7" s="307"/>
      <c r="L7" s="302" t="s">
        <v>697</v>
      </c>
      <c r="M7" s="303">
        <f ca="1">F7</f>
        <v>31345.27</v>
      </c>
    </row>
    <row r="8" spans="1:37" ht="18" customHeight="1">
      <c r="A8" s="304"/>
      <c r="B8" s="3727"/>
      <c r="C8" s="306"/>
      <c r="D8" s="307"/>
      <c r="E8" s="302" t="s">
        <v>698</v>
      </c>
      <c r="F8" s="303">
        <f ca="1">INDIRECT("'数据-取费表'!ai"&amp;$G$1)</f>
        <v>365</v>
      </c>
      <c r="G8" s="1384"/>
      <c r="H8" s="304"/>
      <c r="I8" s="3727"/>
      <c r="J8" s="306"/>
      <c r="K8" s="307"/>
      <c r="L8" s="302" t="s">
        <v>698</v>
      </c>
      <c r="M8" s="303">
        <f ca="1">INDIRECT("'数据-取费表'!ai"&amp;$G$1)</f>
        <v>365</v>
      </c>
    </row>
    <row r="9" spans="1:37" ht="18" customHeight="1">
      <c r="A9" s="304"/>
      <c r="B9" s="3728"/>
      <c r="C9" s="306"/>
      <c r="D9" s="307"/>
      <c r="E9" s="302" t="s">
        <v>699</v>
      </c>
      <c r="F9" s="312">
        <f ca="1">INDIRECT("'数据-取费表'!w"&amp;$G$1)</f>
        <v>0</v>
      </c>
      <c r="G9" s="1384"/>
      <c r="H9" s="304"/>
      <c r="I9" s="3728"/>
      <c r="J9" s="306"/>
      <c r="K9" s="307"/>
      <c r="L9" s="313" t="s">
        <v>699</v>
      </c>
      <c r="M9" s="314">
        <f ca="1">INDIRECT("'数据-取费表'!ab"&amp;$G$1)</f>
        <v>0.05</v>
      </c>
    </row>
    <row r="10" spans="1:37" ht="18" customHeight="1">
      <c r="A10" s="1069" t="s">
        <v>402</v>
      </c>
      <c r="B10" s="1365" t="s">
        <v>700</v>
      </c>
      <c r="C10" s="316">
        <f ca="1">ROUND(IF(F10="押一",C6/12*F11,IF(F10="押二",C6/12*2*F11,IF(F10="押三",C6/12*3*F11,C11*F11))),0)</f>
        <v>22</v>
      </c>
      <c r="D10" s="1366" t="s">
        <v>2117</v>
      </c>
      <c r="E10" s="313" t="s">
        <v>701</v>
      </c>
      <c r="F10" s="1116" t="s">
        <v>3561</v>
      </c>
      <c r="G10" s="1384"/>
      <c r="H10" s="1069" t="s">
        <v>402</v>
      </c>
      <c r="I10" s="1365" t="s">
        <v>700</v>
      </c>
      <c r="J10" s="301">
        <f ca="1">ROUND(IF(M10="押一",J6/12*M11,IF(M10="押二",J6/12*2*M11,IF(M10="押三",J6/12*3*M11,J11*M11))),0)</f>
        <v>14</v>
      </c>
      <c r="K10" s="1366" t="s">
        <v>2116</v>
      </c>
      <c r="L10" s="313" t="s">
        <v>701</v>
      </c>
      <c r="M10" s="1116" t="s">
        <v>3560</v>
      </c>
    </row>
    <row r="11" spans="1:37" ht="18" customHeight="1">
      <c r="A11" s="308"/>
      <c r="B11" s="1367" t="s">
        <v>679</v>
      </c>
      <c r="C11" s="959">
        <v>1476.3186000000001</v>
      </c>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16934</v>
      </c>
      <c r="D13" s="1081" t="s">
        <v>705</v>
      </c>
      <c r="E13" s="1081" t="s">
        <v>706</v>
      </c>
      <c r="F13" s="1082">
        <f ca="1">INDIRECT("'数据-取费表'!y"&amp;$G$1)</f>
        <v>0.82</v>
      </c>
      <c r="G13" s="1384"/>
      <c r="H13" s="1079">
        <v>2</v>
      </c>
      <c r="I13" s="1080" t="s">
        <v>704</v>
      </c>
      <c r="J13" s="1068">
        <f ca="1">ROUND(J14*J15,0)</f>
        <v>13423</v>
      </c>
      <c r="K13" s="1087" t="s">
        <v>705</v>
      </c>
      <c r="L13" s="1392"/>
      <c r="M13" s="1393"/>
    </row>
    <row r="14" spans="1:37" ht="18" customHeight="1">
      <c r="A14" s="982" t="s">
        <v>397</v>
      </c>
      <c r="B14" s="302" t="s">
        <v>707</v>
      </c>
      <c r="C14" s="318">
        <f ca="1">INDIRECT("'数据-取费表'!m"&amp;$G$1)+INDIRECT("'数据-取费表'!t"&amp;$G$1)</f>
        <v>14219</v>
      </c>
      <c r="D14" s="1345" t="s">
        <v>708</v>
      </c>
      <c r="E14" s="1342"/>
      <c r="F14" s="319"/>
      <c r="G14" s="1384"/>
      <c r="H14" s="982" t="s">
        <v>398</v>
      </c>
      <c r="I14" s="302" t="s">
        <v>709</v>
      </c>
      <c r="J14" s="21">
        <f ca="1">C29</f>
        <v>20651</v>
      </c>
      <c r="K14" s="12"/>
      <c r="L14" s="807"/>
      <c r="M14" s="808"/>
    </row>
    <row r="15" spans="1:37" s="1397" customFormat="1" ht="18" customHeight="1" thickBot="1">
      <c r="A15" s="982" t="s">
        <v>399</v>
      </c>
      <c r="B15" s="302" t="s">
        <v>710</v>
      </c>
      <c r="C15" s="21">
        <f ca="1">ROUND(C14*F15,0)</f>
        <v>711</v>
      </c>
      <c r="D15" s="320" t="s">
        <v>711</v>
      </c>
      <c r="E15" s="320" t="s">
        <v>712</v>
      </c>
      <c r="F15" s="321">
        <f>'数据-取费表'!B33</f>
        <v>0.05</v>
      </c>
      <c r="G15" s="1396"/>
      <c r="H15" s="1089" t="s">
        <v>402</v>
      </c>
      <c r="I15" s="1090" t="s">
        <v>706</v>
      </c>
      <c r="J15" s="1099">
        <f ca="1">INDIRECT("'数据-取费表'!ad"&amp;$G$1)</f>
        <v>0.65</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2072</v>
      </c>
      <c r="K16" s="1087" t="s">
        <v>715</v>
      </c>
      <c r="L16" s="1088"/>
      <c r="M16" s="1072"/>
    </row>
    <row r="17" spans="1:37" s="1397" customFormat="1" ht="18" customHeight="1">
      <c r="A17" s="982" t="s">
        <v>681</v>
      </c>
      <c r="B17" s="302" t="s">
        <v>716</v>
      </c>
      <c r="C17" s="21">
        <f ca="1">ROUND(F17*(F43+INDIRECT("'数据-取费表'!S"&amp;$G$1))/10000,0)</f>
        <v>633</v>
      </c>
      <c r="D17" s="302" t="s">
        <v>717</v>
      </c>
      <c r="E17" s="302" t="s">
        <v>718</v>
      </c>
      <c r="F17" s="23">
        <f>'数据-取费表'!B35</f>
        <v>200</v>
      </c>
      <c r="G17" s="1396"/>
      <c r="H17" s="982" t="s">
        <v>398</v>
      </c>
      <c r="I17" s="302" t="s">
        <v>719</v>
      </c>
      <c r="J17" s="2316">
        <f ca="1">ROUND(IF(AND(项目基本情况!B11="自然人",项目基本情况!B10="北京市"),J6*M17/(1+'数据-取费表'!C42),J18+J19+J20),2)</f>
        <v>1859.23</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213</v>
      </c>
      <c r="D18" s="302" t="s">
        <v>711</v>
      </c>
      <c r="E18" s="302" t="s">
        <v>712</v>
      </c>
      <c r="F18" s="322">
        <f>'数据-取费表'!B36</f>
        <v>1.4999999999999999E-2</v>
      </c>
      <c r="G18" s="1396"/>
      <c r="H18" s="982" t="s">
        <v>397</v>
      </c>
      <c r="I18" s="302" t="s">
        <v>723</v>
      </c>
      <c r="J18" s="21">
        <f ca="1">ROUND(J6*M18/(1+'数据-取费表'!C42),2)</f>
        <v>586.61</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15776</v>
      </c>
      <c r="D19" s="131" t="s">
        <v>726</v>
      </c>
      <c r="E19" s="1360"/>
      <c r="F19" s="23"/>
      <c r="G19" s="1384"/>
      <c r="H19" s="982" t="s">
        <v>399</v>
      </c>
      <c r="I19" s="302" t="s">
        <v>727</v>
      </c>
      <c r="J19" s="21">
        <f ca="1">IF(K19="按租金收入计税",ROUND(J6*M19/(1+'数据-取费表'!C42),2),ROUND(C29*M19*0.7,2))</f>
        <v>1257.03</v>
      </c>
      <c r="K19" s="1370" t="s">
        <v>3340</v>
      </c>
      <c r="L19" s="302" t="s">
        <v>712</v>
      </c>
      <c r="M19" s="322">
        <f>IF(K19="按租金收入计税",'数据-取费表'!B51,'数据-取费表'!B50)</f>
        <v>0.12</v>
      </c>
    </row>
    <row r="20" spans="1:37" s="1397" customFormat="1" ht="18" customHeight="1">
      <c r="A20" s="982" t="s">
        <v>402</v>
      </c>
      <c r="B20" s="302" t="s">
        <v>728</v>
      </c>
      <c r="C20" s="21">
        <f ca="1">ROUND(C19*F20,0)</f>
        <v>316</v>
      </c>
      <c r="D20" s="323" t="s">
        <v>729</v>
      </c>
      <c r="E20" s="302" t="s">
        <v>712</v>
      </c>
      <c r="F20" s="322">
        <f>'数据-取费表'!B37</f>
        <v>0.02</v>
      </c>
      <c r="G20" s="1396"/>
      <c r="H20" s="982" t="s">
        <v>680</v>
      </c>
      <c r="I20" s="155" t="s">
        <v>730</v>
      </c>
      <c r="J20" s="22">
        <f ca="1">ROUND(M20*M21/10000,2)</f>
        <v>15.59</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5197.1899999999996</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144.56</v>
      </c>
      <c r="K22" s="1344" t="s">
        <v>739</v>
      </c>
      <c r="L22" s="302" t="s">
        <v>712</v>
      </c>
      <c r="M22" s="328">
        <f ca="1">INDIRECT("'数据-取费表'!Ak"&amp;$G$1)</f>
        <v>7.0000000000000001E-3</v>
      </c>
    </row>
    <row r="23" spans="1:37" s="1397" customFormat="1" ht="18" customHeight="1">
      <c r="A23" s="982" t="s">
        <v>397</v>
      </c>
      <c r="B23" s="302" t="s">
        <v>740</v>
      </c>
      <c r="C23" s="21">
        <f ca="1">IF('数据-取费表'!B22&lt;=1,ROUND(C19*F24*F23/2,0)+ROUND(C20*F24*F23/2,0),ROUND(C19*(POWER((1+F24),F23/2)-1),0)+ROUND(C20*(POWER((1+F24),F23/2)-1),0))</f>
        <v>555</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13.42</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55.07</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8941</v>
      </c>
      <c r="K25" s="1095" t="s">
        <v>753</v>
      </c>
      <c r="L25" s="1096"/>
      <c r="M25" s="1097"/>
    </row>
    <row r="26" spans="1:37">
      <c r="A26" s="982" t="s">
        <v>397</v>
      </c>
      <c r="B26" s="302" t="s">
        <v>754</v>
      </c>
      <c r="C26" s="21">
        <f ca="1">ROUND((C19+C20)*F26,0)</f>
        <v>2414</v>
      </c>
      <c r="D26" s="323" t="s">
        <v>755</v>
      </c>
      <c r="E26" s="313" t="s">
        <v>756</v>
      </c>
      <c r="F26" s="312">
        <f ca="1">INDIRECT("'数据-取费表'!q"&amp;$G$1)</f>
        <v>0.15</v>
      </c>
      <c r="G26" s="1384"/>
      <c r="H26" s="299" t="s">
        <v>395</v>
      </c>
      <c r="I26" s="300" t="s">
        <v>757</v>
      </c>
      <c r="J26" s="301">
        <f ca="1">IF(J5&lt;&gt;0,ROUND(J25*(1-((1+M28)/(1+M26))^M27)/(M26-M28),0),0)</f>
        <v>53017</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6.7899999999999991</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2.5000000000000001E-2</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20651</v>
      </c>
      <c r="D29" s="1092"/>
      <c r="E29" s="1090"/>
      <c r="F29" s="1093"/>
      <c r="G29" s="1396"/>
      <c r="H29" s="334" t="s">
        <v>396</v>
      </c>
      <c r="I29" s="335" t="s">
        <v>768</v>
      </c>
      <c r="J29" s="336">
        <f ca="1">ROUND(J26/(1+F40)^F41,0)</f>
        <v>20300</v>
      </c>
      <c r="K29" s="337" t="s">
        <v>769</v>
      </c>
      <c r="L29" s="338"/>
      <c r="M29" s="339">
        <f ca="1">INDIRECT("'数据-取费表'!k"&amp;$G$1)</f>
        <v>31345.27</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1253</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1060.69</v>
      </c>
      <c r="D31" s="1345" t="s">
        <v>720</v>
      </c>
      <c r="E31" s="1344"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IF(项目基本情况!B11="自然人","——",ROUND(C6*F32/(1+'数据-取费表'!C42),2))</f>
        <v>332.53</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712.57</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15.59</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5197.1899999999996</v>
      </c>
      <c r="G35" s="1384"/>
      <c r="H35" s="2697"/>
      <c r="I35" s="1398"/>
      <c r="J35" s="1399"/>
      <c r="K35" s="2701"/>
      <c r="L35" s="2700"/>
      <c r="M35" s="2700"/>
    </row>
    <row r="36" spans="1:18" ht="18" customHeight="1">
      <c r="A36" s="1102" t="s">
        <v>402</v>
      </c>
      <c r="B36" s="302" t="s">
        <v>738</v>
      </c>
      <c r="C36" s="21">
        <f ca="1">ROUND(C29*F36,2)</f>
        <v>144.56</v>
      </c>
      <c r="D36" s="1344" t="s">
        <v>771</v>
      </c>
      <c r="E36" s="302" t="s">
        <v>712</v>
      </c>
      <c r="F36" s="328">
        <f ca="1">INDIRECT("'数据-取费表'!Ak"&amp;$G$1)</f>
        <v>7.0000000000000001E-3</v>
      </c>
      <c r="G36" s="1384"/>
      <c r="H36" s="2700"/>
      <c r="I36" s="1398"/>
      <c r="J36" s="1399"/>
      <c r="K36" s="2544"/>
      <c r="L36" s="2700"/>
      <c r="M36" s="2700"/>
    </row>
    <row r="37" spans="1:18" ht="18" customHeight="1">
      <c r="A37" s="982" t="s">
        <v>437</v>
      </c>
      <c r="B37" s="302" t="s">
        <v>742</v>
      </c>
      <c r="C37" s="21">
        <f ca="1">ROUND(C13*F37,2)</f>
        <v>16.93</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ROUND(C5*F38,2)</f>
        <v>31.29</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5004</v>
      </c>
      <c r="D39" s="1095" t="s">
        <v>773</v>
      </c>
      <c r="E39" s="1096"/>
      <c r="F39" s="1097"/>
      <c r="G39" s="1384"/>
      <c r="H39" s="2700"/>
      <c r="I39" s="1398"/>
      <c r="J39" s="1399"/>
      <c r="K39" s="2704"/>
      <c r="L39" s="2700"/>
      <c r="M39" s="2700"/>
    </row>
    <row r="40" spans="1:18" ht="18" customHeight="1">
      <c r="A40" s="299" t="s">
        <v>395</v>
      </c>
      <c r="B40" s="300" t="s">
        <v>774</v>
      </c>
      <c r="C40" s="301">
        <f ca="1">ROUND(C39*(1-((1+F42)/(1+F40))^F41)/(F40-F42),0)</f>
        <v>56145</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17.93</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f ca="1">ROUND(C40*10000/F43,0)</f>
        <v>17912</v>
      </c>
      <c r="D43" s="337" t="s">
        <v>777</v>
      </c>
      <c r="E43" s="338" t="s">
        <v>778</v>
      </c>
      <c r="F43" s="339">
        <f ca="1">INDIRECT("'数据-取费表'!k"&amp;$G$1)</f>
        <v>31345.27</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-58131</v>
      </c>
      <c r="D46" s="1406" t="str">
        <f>C2</f>
        <v>万元</v>
      </c>
      <c r="E46" s="1400"/>
      <c r="F46" s="1400"/>
      <c r="I46" s="1407" t="s">
        <v>810</v>
      </c>
      <c r="J46" s="1408"/>
      <c r="K46" s="1409"/>
      <c r="L46" s="1410">
        <f ca="1">IF(M47="住宅",0,IF(L48&gt;J51,L60,J60))</f>
        <v>1382</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3542</v>
      </c>
      <c r="K47" s="1416" t="s">
        <v>816</v>
      </c>
      <c r="L47" s="1417">
        <f ca="1">INDIRECT("'数据-取费表'!d"&amp;$G$1)</f>
        <v>40</v>
      </c>
      <c r="M47" s="1380" t="str">
        <f>IF(ISNUMBER(FIND("住宅",C1)),"住宅","非住宅")</f>
        <v>非住宅</v>
      </c>
      <c r="O47" s="1418" t="s">
        <v>403</v>
      </c>
      <c r="P47" s="1419" t="s">
        <v>817</v>
      </c>
      <c r="Q47" s="1420">
        <f ca="1">C40+J29</f>
        <v>76445</v>
      </c>
      <c r="R47" s="1420" t="s">
        <v>818</v>
      </c>
    </row>
    <row r="48" spans="1:18" s="1384" customFormat="1" ht="28.5" thickBot="1">
      <c r="A48" s="1110" t="s">
        <v>438</v>
      </c>
      <c r="B48" s="300" t="s">
        <v>692</v>
      </c>
      <c r="C48" s="1359">
        <f ca="1">C49+C53+C55</f>
        <v>0</v>
      </c>
      <c r="D48" s="1112"/>
      <c r="E48" s="1113"/>
      <c r="F48" s="962"/>
      <c r="G48" s="722"/>
      <c r="H48" s="723"/>
      <c r="I48" s="1421" t="s">
        <v>819</v>
      </c>
      <c r="J48" s="1422" t="s">
        <v>3563</v>
      </c>
      <c r="K48" s="1423" t="s">
        <v>820</v>
      </c>
      <c r="L48" s="1424">
        <f ca="1">INDIRECT("'数据-取费表'!f"&amp;$G$1)</f>
        <v>24.72</v>
      </c>
      <c r="O48" s="1418" t="s">
        <v>404</v>
      </c>
      <c r="P48" s="1419" t="s">
        <v>821</v>
      </c>
      <c r="Q48" s="1420">
        <f ca="1">J60</f>
        <v>1382</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2011</v>
      </c>
      <c r="K49" s="1423" t="s">
        <v>824</v>
      </c>
      <c r="L49" s="1427"/>
      <c r="O49" s="1428" t="s">
        <v>405</v>
      </c>
      <c r="P49" s="1419" t="s">
        <v>825</v>
      </c>
      <c r="Q49" s="1420">
        <f ca="1">C29</f>
        <v>20651</v>
      </c>
      <c r="R49" s="1420" t="s">
        <v>818</v>
      </c>
    </row>
    <row r="50" spans="1:18" s="1384" customFormat="1" ht="13.5" thickBot="1">
      <c r="A50" s="976"/>
      <c r="B50" s="979"/>
      <c r="C50" s="1118"/>
      <c r="D50" s="953"/>
      <c r="E50" s="1056" t="s">
        <v>697</v>
      </c>
      <c r="F50" s="1057">
        <f ca="1">F7</f>
        <v>31345.27</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47</v>
      </c>
      <c r="K51" s="1434" t="s">
        <v>830</v>
      </c>
      <c r="L51" s="1435">
        <f ca="1">ROUND(-PV(INDIRECT("'数据-取费表'!h"&amp;$G$1),J51,(C39-C13*C76),0),0)</f>
        <v>68663</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24.72</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24.72</v>
      </c>
      <c r="K53" s="3724" t="s">
        <v>837</v>
      </c>
      <c r="L53" s="3725"/>
      <c r="O53" s="1418" t="s">
        <v>409</v>
      </c>
      <c r="P53" s="1419" t="s">
        <v>838</v>
      </c>
      <c r="Q53" s="1420">
        <f ca="1">Q47+Q48</f>
        <v>77827</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0.371</v>
      </c>
      <c r="K55" s="1445" t="s">
        <v>841</v>
      </c>
      <c r="L55" s="1446"/>
      <c r="O55" s="1411" t="s">
        <v>811</v>
      </c>
      <c r="P55" s="1412" t="s">
        <v>812</v>
      </c>
      <c r="Q55" s="1413" t="s">
        <v>813</v>
      </c>
      <c r="R55" s="1413" t="s">
        <v>814</v>
      </c>
    </row>
    <row r="56" spans="1:18" s="1384" customFormat="1" ht="25.5" thickTop="1" thickBot="1">
      <c r="A56" s="957">
        <v>2</v>
      </c>
      <c r="B56" s="958" t="s">
        <v>704</v>
      </c>
      <c r="C56" s="232">
        <f ca="1">C13</f>
        <v>16934</v>
      </c>
      <c r="D56" s="1447"/>
      <c r="E56" s="1448"/>
      <c r="F56" s="1440"/>
      <c r="I56" s="1449" t="s">
        <v>842</v>
      </c>
      <c r="J56" s="1450" t="s">
        <v>3564</v>
      </c>
      <c r="K56" s="1421" t="s">
        <v>843</v>
      </c>
      <c r="L56" s="1424" t="str">
        <f ca="1">IF(L48&lt;J51,"——",L48-J53)</f>
        <v>——</v>
      </c>
      <c r="O56" s="1418" t="s">
        <v>403</v>
      </c>
      <c r="P56" s="1419" t="s">
        <v>817</v>
      </c>
      <c r="Q56" s="1420">
        <f ca="1">C40+J29</f>
        <v>76445</v>
      </c>
      <c r="R56" s="1420" t="s">
        <v>818</v>
      </c>
    </row>
    <row r="57" spans="1:18" s="1384" customFormat="1" ht="24.75" thickBot="1">
      <c r="A57" s="1451"/>
      <c r="B57" s="950" t="s">
        <v>767</v>
      </c>
      <c r="C57" s="238">
        <f ca="1">C29</f>
        <v>20651</v>
      </c>
      <c r="D57" s="1452"/>
      <c r="E57" s="1453"/>
      <c r="F57" s="1454"/>
      <c r="I57" s="1455" t="s">
        <v>844</v>
      </c>
      <c r="J57" s="1456">
        <f ca="1">IF(OR(M47="住宅",J51&lt;L48,J56="是"),"——",J51-L48)</f>
        <v>22.28</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177</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16</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8260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1382</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15.59</v>
      </c>
      <c r="D62" s="965" t="s">
        <v>786</v>
      </c>
      <c r="E62" s="950" t="s">
        <v>787</v>
      </c>
      <c r="F62" s="325">
        <f t="shared" si="0"/>
        <v>30</v>
      </c>
      <c r="I62" s="1462" t="s">
        <v>858</v>
      </c>
      <c r="J62" s="1463" t="s">
        <v>859</v>
      </c>
      <c r="K62" s="1463" t="s">
        <v>860</v>
      </c>
      <c r="L62" s="1463" t="s">
        <v>861</v>
      </c>
      <c r="M62" s="1464" t="s">
        <v>862</v>
      </c>
      <c r="O62" s="1418" t="s">
        <v>409</v>
      </c>
      <c r="P62" s="1419" t="s">
        <v>863</v>
      </c>
      <c r="Q62" s="1420">
        <f ca="1">Q56+Q57</f>
        <v>76445</v>
      </c>
      <c r="R62" s="1420" t="s">
        <v>410</v>
      </c>
    </row>
    <row r="63" spans="1:18" s="1384" customFormat="1" ht="13.5" thickBot="1">
      <c r="A63" s="326"/>
      <c r="B63" s="956"/>
      <c r="C63" s="26"/>
      <c r="D63" s="966"/>
      <c r="E63" s="950" t="s">
        <v>788</v>
      </c>
      <c r="F63" s="303">
        <f t="shared" ca="1" si="0"/>
        <v>5197.1899999999996</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144.56</v>
      </c>
      <c r="D64" s="964" t="s">
        <v>791</v>
      </c>
      <c r="E64" s="950" t="s">
        <v>783</v>
      </c>
      <c r="F64" s="328">
        <f t="shared" ca="1" si="0"/>
        <v>7.0000000000000001E-3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16.93</v>
      </c>
      <c r="D65" s="964" t="s">
        <v>743</v>
      </c>
      <c r="E65" s="950" t="s">
        <v>744</v>
      </c>
      <c r="F65" s="330">
        <f t="shared" ca="1" si="0"/>
        <v>1E-3</v>
      </c>
      <c r="I65" s="1462" t="s">
        <v>867</v>
      </c>
      <c r="J65" s="1463">
        <v>40</v>
      </c>
      <c r="K65" s="1463">
        <v>30</v>
      </c>
      <c r="L65" s="1463">
        <v>50</v>
      </c>
      <c r="M65" s="1465">
        <v>0.02</v>
      </c>
      <c r="O65" s="1418" t="s">
        <v>403</v>
      </c>
      <c r="P65" s="1419" t="s">
        <v>868</v>
      </c>
      <c r="Q65" s="1420">
        <f ca="1">C40+J29</f>
        <v>76445</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-177</v>
      </c>
      <c r="D67" s="963" t="s">
        <v>753</v>
      </c>
      <c r="E67" s="968"/>
      <c r="F67" s="969"/>
      <c r="O67" s="1428" t="s">
        <v>405</v>
      </c>
      <c r="P67" s="1419" t="s">
        <v>850</v>
      </c>
      <c r="Q67" s="1466">
        <f ca="1">L51</f>
        <v>68663</v>
      </c>
      <c r="R67" s="1420" t="s">
        <v>870</v>
      </c>
    </row>
    <row r="68" spans="1:18" s="1384" customFormat="1" ht="16.5" thickBot="1">
      <c r="A68" s="947" t="s">
        <v>395</v>
      </c>
      <c r="B68" s="948" t="s">
        <v>774</v>
      </c>
      <c r="C68" s="301">
        <f ca="1">ROUND(C67*(1-((1+F70)/(1+F68))^F69)/(F68-F70),0)</f>
        <v>-1986</v>
      </c>
      <c r="D68" s="965" t="s">
        <v>758</v>
      </c>
      <c r="E68" s="950" t="s">
        <v>759</v>
      </c>
      <c r="F68" s="312">
        <f ca="1">F40</f>
        <v>5.5E-2</v>
      </c>
      <c r="O68" s="1428" t="s">
        <v>406</v>
      </c>
      <c r="P68" s="1467" t="s">
        <v>871</v>
      </c>
      <c r="Q68" s="1420">
        <f ca="1">ROUND(Q69-Q70*Q71,0)</f>
        <v>3819</v>
      </c>
      <c r="R68" s="1420" t="s">
        <v>414</v>
      </c>
    </row>
    <row r="69" spans="1:18" s="1384" customFormat="1" ht="13.5" thickBot="1">
      <c r="A69" s="951"/>
      <c r="B69" s="952"/>
      <c r="C69" s="306"/>
      <c r="D69" s="970" t="s">
        <v>762</v>
      </c>
      <c r="E69" s="950" t="s">
        <v>763</v>
      </c>
      <c r="F69" s="333">
        <f ca="1">F41</f>
        <v>17.93</v>
      </c>
      <c r="O69" s="1428" t="s">
        <v>411</v>
      </c>
      <c r="P69" s="1467" t="s">
        <v>872</v>
      </c>
      <c r="Q69" s="1420">
        <f ca="1">C39</f>
        <v>5004</v>
      </c>
      <c r="R69" s="1420" t="s">
        <v>818</v>
      </c>
    </row>
    <row r="70" spans="1:18" s="1384" customFormat="1" ht="13.5" thickBot="1">
      <c r="A70" s="954"/>
      <c r="B70" s="955"/>
      <c r="C70" s="310"/>
      <c r="D70" s="966"/>
      <c r="E70" s="950" t="s">
        <v>766</v>
      </c>
      <c r="F70" s="1054"/>
      <c r="O70" s="1428" t="s">
        <v>412</v>
      </c>
      <c r="P70" s="1467" t="s">
        <v>873</v>
      </c>
      <c r="Q70" s="1420">
        <f ca="1">C13</f>
        <v>16934</v>
      </c>
      <c r="R70" s="1420" t="s">
        <v>818</v>
      </c>
    </row>
    <row r="71" spans="1:18" s="1384" customFormat="1" ht="13.5" thickBot="1">
      <c r="A71" s="971" t="s">
        <v>396</v>
      </c>
      <c r="B71" s="972" t="s">
        <v>776</v>
      </c>
      <c r="C71" s="336">
        <f ca="1">ROUND(C68*10000/F71,0)</f>
        <v>-634</v>
      </c>
      <c r="D71" s="973" t="s">
        <v>777</v>
      </c>
      <c r="E71" s="974" t="s">
        <v>778</v>
      </c>
      <c r="F71" s="339">
        <f ca="1">F43</f>
        <v>31345.27</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1185</v>
      </c>
      <c r="D75" s="1384"/>
      <c r="E75" s="1384"/>
      <c r="F75" s="1384"/>
      <c r="K75" s="1402"/>
      <c r="L75" s="1384"/>
      <c r="O75" s="1418" t="s">
        <v>409</v>
      </c>
      <c r="P75" s="1419" t="s">
        <v>838</v>
      </c>
      <c r="Q75" s="1420">
        <f ca="1">Q65+Q66</f>
        <v>76445</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0.76300000000000001</v>
      </c>
    </row>
    <row r="80" spans="1:18">
      <c r="B80" s="340" t="s">
        <v>800</v>
      </c>
      <c r="C80" s="274">
        <f ca="1">ROUND(C75/C39,3)</f>
        <v>0.23699999999999999</v>
      </c>
    </row>
    <row r="81" spans="2:3">
      <c r="B81" s="270" t="s">
        <v>801</v>
      </c>
      <c r="C81" s="238"/>
    </row>
    <row r="82" spans="2:3">
      <c r="B82" s="273" t="s">
        <v>802</v>
      </c>
      <c r="C82" s="275">
        <f ca="1">1-C83</f>
        <v>0.69799999999999995</v>
      </c>
    </row>
    <row r="83" spans="2:3">
      <c r="B83" s="273" t="s">
        <v>803</v>
      </c>
      <c r="C83" s="274">
        <f ca="1">ROUND(C13/C40,3)</f>
        <v>0.30199999999999999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56" priority="56">
      <formula>$L$48&gt;$J$51</formula>
    </cfRule>
  </conditionalFormatting>
  <conditionalFormatting sqref="I55 I60">
    <cfRule type="expression" dxfId="155" priority="57">
      <formula>$J$51&gt;$L$48</formula>
    </cfRule>
  </conditionalFormatting>
  <conditionalFormatting sqref="C11">
    <cfRule type="expression" dxfId="154" priority="3">
      <formula>$F$10="自定义"</formula>
    </cfRule>
  </conditionalFormatting>
  <conditionalFormatting sqref="J11">
    <cfRule type="expression" dxfId="153" priority="2">
      <formula>$M$10="自定义"</formula>
    </cfRule>
  </conditionalFormatting>
  <conditionalFormatting sqref="C54">
    <cfRule type="expression" dxfId="15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9</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t="e">
        <f ca="1">ROUND(D2/10000,4)</f>
        <v>#DIV/0!</v>
      </c>
      <c r="C2" s="1387" t="s">
        <v>879</v>
      </c>
      <c r="D2" s="1471" t="e">
        <f ca="1">C40+J29+L46</f>
        <v>#DIV/0!</v>
      </c>
      <c r="E2" s="1388" t="s">
        <v>880</v>
      </c>
      <c r="F2" s="1389"/>
      <c r="G2" s="2706"/>
      <c r="H2" s="2695"/>
      <c r="I2" s="2695"/>
      <c r="J2" s="2695"/>
      <c r="K2" s="2696"/>
      <c r="L2" s="2695"/>
      <c r="M2" s="2695"/>
    </row>
    <row r="3" spans="1:37" ht="18" customHeight="1" thickBot="1">
      <c r="A3" s="1390" t="s">
        <v>881</v>
      </c>
      <c r="B3" s="1391">
        <f ca="1">IF(ISERROR(D2/F43),0,ROUND(D2/F43,0))</f>
        <v>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26" t="s">
        <v>694</v>
      </c>
      <c r="C6" s="1074">
        <f ca="1">ROUND(F6*F8*F7*(1-F9),0)</f>
        <v>0</v>
      </c>
      <c r="D6" s="155" t="s">
        <v>2106</v>
      </c>
      <c r="E6" s="302" t="s">
        <v>696</v>
      </c>
      <c r="F6" s="303">
        <f ca="1">INDIRECT("'数据-取费表'!u"&amp;$G$1)</f>
        <v>0</v>
      </c>
      <c r="G6" s="1384"/>
      <c r="H6" s="1069" t="s">
        <v>398</v>
      </c>
      <c r="I6" s="3726" t="s">
        <v>694</v>
      </c>
      <c r="J6" s="301">
        <f ca="1">ROUND(M6*M8*M7*(1-M9),0)</f>
        <v>0</v>
      </c>
      <c r="K6" s="1376" t="s">
        <v>2107</v>
      </c>
      <c r="L6" s="302" t="s">
        <v>696</v>
      </c>
      <c r="M6" s="303">
        <f ca="1">INDIRECT("'数据-取费表'!z"&amp;$G$1)</f>
        <v>0</v>
      </c>
    </row>
    <row r="7" spans="1:37" ht="18" customHeight="1">
      <c r="A7" s="1073"/>
      <c r="B7" s="3727"/>
      <c r="C7" s="1075"/>
      <c r="D7" s="307"/>
      <c r="E7" s="1076" t="s">
        <v>697</v>
      </c>
      <c r="F7" s="303">
        <f ca="1">IF(INDIRECT("'数据-取费表'!ah"&amp;$G$1)="",INDIRECT("'数据-取费表'!k"&amp;$G$1),INDIRECT("'数据-取费表'!ah"&amp;$G$1))</f>
        <v>0</v>
      </c>
      <c r="G7" s="1384"/>
      <c r="H7" s="304"/>
      <c r="I7" s="3727"/>
      <c r="J7" s="306"/>
      <c r="K7" s="307"/>
      <c r="L7" s="302" t="s">
        <v>697</v>
      </c>
      <c r="M7" s="303">
        <f ca="1">F7</f>
        <v>0</v>
      </c>
    </row>
    <row r="8" spans="1:37" ht="18" customHeight="1">
      <c r="A8" s="304"/>
      <c r="B8" s="3727"/>
      <c r="C8" s="306"/>
      <c r="D8" s="307"/>
      <c r="E8" s="302" t="s">
        <v>698</v>
      </c>
      <c r="F8" s="303">
        <f ca="1">INDIRECT("'数据-取费表'!ai"&amp;$G$1)</f>
        <v>0</v>
      </c>
      <c r="G8" s="1384"/>
      <c r="H8" s="304"/>
      <c r="I8" s="3727"/>
      <c r="J8" s="306"/>
      <c r="K8" s="307"/>
      <c r="L8" s="302" t="s">
        <v>698</v>
      </c>
      <c r="M8" s="303">
        <f ca="1">INDIRECT("'数据-取费表'!ai"&amp;$G$1)</f>
        <v>0</v>
      </c>
    </row>
    <row r="9" spans="1:37" ht="18" customHeight="1">
      <c r="A9" s="304"/>
      <c r="B9" s="3728"/>
      <c r="C9" s="306"/>
      <c r="D9" s="307"/>
      <c r="E9" s="302" t="s">
        <v>699</v>
      </c>
      <c r="F9" s="312">
        <f ca="1">INDIRECT("'数据-取费表'!w"&amp;$G$1)</f>
        <v>0</v>
      </c>
      <c r="G9" s="1384"/>
      <c r="H9" s="304"/>
      <c r="I9" s="3728"/>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ROUND(C13*F37,0)</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ROUND(C5*F38,0)</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t="e">
        <f ca="1">ROUND((C68-C40)/10000,4)</f>
        <v>#DIV/0!</v>
      </c>
      <c r="D45" s="3432" t="s">
        <v>3357</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724" t="s">
        <v>837</v>
      </c>
      <c r="L53" s="3725"/>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30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51" priority="4">
      <formula>$L$48&gt;$J$51</formula>
    </cfRule>
  </conditionalFormatting>
  <conditionalFormatting sqref="I55 I60">
    <cfRule type="expression" dxfId="150" priority="5">
      <formula>$J$51&gt;$L$48</formula>
    </cfRule>
  </conditionalFormatting>
  <conditionalFormatting sqref="C11">
    <cfRule type="expression" dxfId="149" priority="3">
      <formula>$F$10="自定义"</formula>
    </cfRule>
  </conditionalFormatting>
  <conditionalFormatting sqref="J11">
    <cfRule type="expression" dxfId="148" priority="2">
      <formula>$M$10="自定义"</formula>
    </cfRule>
  </conditionalFormatting>
  <conditionalFormatting sqref="C54">
    <cfRule type="expression" dxfId="14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2439</v>
      </c>
      <c r="B1" s="2832"/>
      <c r="C1" s="2844"/>
      <c r="D1" s="2844"/>
      <c r="E1" s="2833"/>
      <c r="F1" s="2834"/>
      <c r="G1" s="2835"/>
      <c r="J1" s="2838" t="s">
        <v>2318</v>
      </c>
      <c r="K1" s="2839"/>
      <c r="L1" s="2839"/>
      <c r="M1" s="2839"/>
      <c r="N1" s="2839"/>
      <c r="O1" s="2839"/>
      <c r="P1" s="2839"/>
      <c r="Q1" s="2839"/>
      <c r="R1" s="2840"/>
      <c r="S1" s="2841"/>
      <c r="T1" s="2841"/>
      <c r="U1" s="2841"/>
    </row>
    <row r="2" spans="1:22" s="2853" customFormat="1" ht="13.15" customHeight="1">
      <c r="A2" s="1385" t="s">
        <v>2319</v>
      </c>
      <c r="B2" s="2843" t="e">
        <f>IF(D2="——",C40,C40+E2)</f>
        <v>#DIV/0!</v>
      </c>
      <c r="C2" s="2844" t="s">
        <v>2320</v>
      </c>
      <c r="D2" s="3443" t="s">
        <v>3363</v>
      </c>
      <c r="E2" s="3444"/>
      <c r="F2" s="2846"/>
      <c r="G2" s="2847"/>
      <c r="H2" s="2848"/>
      <c r="I2" s="2849"/>
      <c r="J2" s="3729" t="s">
        <v>2321</v>
      </c>
      <c r="K2" s="3730"/>
      <c r="L2" s="2850" t="s">
        <v>2322</v>
      </c>
      <c r="M2" s="2850" t="s">
        <v>2323</v>
      </c>
      <c r="N2" s="2850" t="s">
        <v>2324</v>
      </c>
      <c r="O2" s="2850" t="s">
        <v>2325</v>
      </c>
      <c r="P2" s="2850" t="s">
        <v>2326</v>
      </c>
      <c r="Q2" s="2851" t="s">
        <v>2327</v>
      </c>
      <c r="R2" s="2852" t="s">
        <v>2328</v>
      </c>
      <c r="S2" s="2841"/>
      <c r="T2" s="2841"/>
      <c r="U2" s="2841"/>
      <c r="V2" s="2849"/>
    </row>
    <row r="3" spans="1:22" s="2853" customFormat="1" ht="13.15" customHeight="1">
      <c r="A3" s="2854" t="s">
        <v>2329</v>
      </c>
      <c r="B3" s="2855" t="e">
        <f>ROUND(B2*10000/B4,0)</f>
        <v>#DIV/0!</v>
      </c>
      <c r="C3" s="2844" t="s">
        <v>2330</v>
      </c>
      <c r="D3" s="2844"/>
      <c r="E3" s="2845"/>
      <c r="F3" s="2846"/>
      <c r="G3" s="2847"/>
      <c r="H3" s="2848"/>
      <c r="I3" s="2849"/>
      <c r="J3" s="3731" t="s">
        <v>2331</v>
      </c>
      <c r="K3" s="3732"/>
      <c r="L3" s="2856"/>
      <c r="M3" s="2856"/>
      <c r="N3" s="2856"/>
      <c r="O3" s="2856"/>
      <c r="P3" s="2856"/>
      <c r="Q3" s="2857"/>
      <c r="R3" s="2858">
        <f>SUM(L3:Q3)</f>
        <v>0</v>
      </c>
      <c r="S3" s="2841"/>
      <c r="T3" s="2841"/>
      <c r="U3" s="2841"/>
      <c r="V3" s="2849"/>
    </row>
    <row r="4" spans="1:22" s="2853" customFormat="1" ht="13.15" customHeight="1">
      <c r="A4" s="2859" t="s">
        <v>2332</v>
      </c>
      <c r="B4" s="2860"/>
      <c r="C4" s="2844"/>
      <c r="D4" s="2844"/>
      <c r="E4" s="2845"/>
      <c r="F4" s="2846"/>
      <c r="G4" s="2847"/>
      <c r="H4" s="2848"/>
      <c r="I4" s="2849"/>
      <c r="J4" s="3731" t="s">
        <v>2333</v>
      </c>
      <c r="K4" s="3732"/>
      <c r="L4" s="2861"/>
      <c r="M4" s="2861"/>
      <c r="N4" s="2861"/>
      <c r="O4" s="2861"/>
      <c r="P4" s="2861"/>
      <c r="Q4" s="2862"/>
      <c r="R4" s="2863">
        <f>SUM(L4:Q4)</f>
        <v>0</v>
      </c>
      <c r="S4" s="2841"/>
      <c r="T4" s="2841"/>
      <c r="U4" s="2841"/>
      <c r="V4" s="2849"/>
    </row>
    <row r="5" spans="1:22" s="2853" customFormat="1" ht="13.15" customHeight="1" thickBot="1">
      <c r="A5" s="2864" t="s">
        <v>2334</v>
      </c>
      <c r="B5" s="2865"/>
      <c r="C5" s="2844"/>
      <c r="D5" s="2866"/>
      <c r="E5" s="2846"/>
      <c r="F5" s="2846"/>
      <c r="G5" s="2847"/>
      <c r="H5" s="2848"/>
      <c r="I5" s="2849"/>
      <c r="J5" s="2867" t="s">
        <v>2335</v>
      </c>
      <c r="K5" s="2868"/>
      <c r="L5" s="2868"/>
      <c r="M5" s="2869"/>
      <c r="N5" s="2869"/>
      <c r="O5" s="2869"/>
      <c r="P5" s="2869"/>
      <c r="Q5" s="2869"/>
      <c r="R5" s="2852">
        <f>SUM(R14,R19,R24,R25,R27,R28)</f>
        <v>0</v>
      </c>
      <c r="S5" s="2841"/>
      <c r="T5" s="2841" t="s">
        <v>2336</v>
      </c>
      <c r="U5" s="2841" t="e">
        <f>ROUND(R5*10000/365/R3,1)</f>
        <v>#DIV/0!</v>
      </c>
      <c r="V5" s="2849"/>
    </row>
    <row r="6" spans="1:22" s="2853" customFormat="1" ht="13.15" customHeight="1" thickBot="1">
      <c r="A6" s="3733" t="s">
        <v>2337</v>
      </c>
      <c r="B6" s="3734"/>
      <c r="C6" s="3735"/>
      <c r="D6" s="2870"/>
      <c r="E6" s="2871"/>
      <c r="F6" s="2872"/>
      <c r="G6" s="2873"/>
      <c r="H6" s="2848"/>
      <c r="I6" s="2849"/>
      <c r="J6" s="3736">
        <v>1</v>
      </c>
      <c r="K6" s="3737" t="s">
        <v>2338</v>
      </c>
      <c r="L6" s="2874" t="s">
        <v>2339</v>
      </c>
      <c r="M6" s="2875" t="s">
        <v>2340</v>
      </c>
      <c r="N6" s="2875" t="s">
        <v>2341</v>
      </c>
      <c r="O6" s="2875" t="s">
        <v>2342</v>
      </c>
      <c r="P6" s="2875" t="s">
        <v>2343</v>
      </c>
      <c r="Q6" s="2875" t="s">
        <v>2344</v>
      </c>
      <c r="R6" s="2858" t="s">
        <v>2345</v>
      </c>
      <c r="S6" s="2841"/>
      <c r="T6" s="2841" t="s">
        <v>2346</v>
      </c>
      <c r="U6" s="2841"/>
      <c r="V6" s="2849"/>
    </row>
    <row r="7" spans="1:22" s="2853" customFormat="1" ht="13.15" customHeight="1">
      <c r="A7" s="2876" t="s">
        <v>2347</v>
      </c>
      <c r="B7" s="2877"/>
      <c r="C7" s="2878"/>
      <c r="D7" s="2879">
        <f>SUM(D9,D10,D11,D17,0)</f>
        <v>0</v>
      </c>
      <c r="E7" s="2880" t="e">
        <f>E9+E10+E11+E17</f>
        <v>#DIV/0!</v>
      </c>
      <c r="F7" s="2881"/>
      <c r="G7" s="2882"/>
      <c r="H7" s="2848"/>
      <c r="I7" s="2849"/>
      <c r="J7" s="3736"/>
      <c r="K7" s="3738"/>
      <c r="L7" s="2883" t="s">
        <v>2348</v>
      </c>
      <c r="M7" s="2884"/>
      <c r="N7" s="2860"/>
      <c r="O7" s="2885"/>
      <c r="P7" s="2885"/>
      <c r="Q7" s="2886">
        <v>365</v>
      </c>
      <c r="R7" s="2887">
        <f>ROUND(M7*N7*O7*P7*Q7/10000,0)</f>
        <v>0</v>
      </c>
      <c r="S7" s="2841"/>
      <c r="T7" s="2841" t="s">
        <v>2349</v>
      </c>
      <c r="U7" s="2841"/>
      <c r="V7" s="2849"/>
    </row>
    <row r="8" spans="1:22" s="2853" customFormat="1" ht="13.15" customHeight="1">
      <c r="A8" s="2888" t="s">
        <v>2350</v>
      </c>
      <c r="B8" s="3740" t="s">
        <v>2351</v>
      </c>
      <c r="C8" s="3741"/>
      <c r="D8" s="2889" t="s">
        <v>2352</v>
      </c>
      <c r="E8" s="2890" t="s">
        <v>2353</v>
      </c>
      <c r="F8" s="2891" t="s">
        <v>2354</v>
      </c>
      <c r="G8" s="2892"/>
      <c r="H8" s="2848"/>
      <c r="I8" s="2849"/>
      <c r="J8" s="3736"/>
      <c r="K8" s="3738"/>
      <c r="L8" s="2883" t="s">
        <v>2355</v>
      </c>
      <c r="M8" s="2884"/>
      <c r="N8" s="2860"/>
      <c r="O8" s="2885"/>
      <c r="P8" s="2885"/>
      <c r="Q8" s="2886">
        <v>365</v>
      </c>
      <c r="R8" s="2887">
        <f t="shared" ref="R8:R13" si="0">ROUND(M8*N8*O8*P8*Q8/10000,0)</f>
        <v>0</v>
      </c>
      <c r="S8" s="2841"/>
      <c r="T8" s="2841" t="s">
        <v>2356</v>
      </c>
      <c r="U8" s="2841"/>
      <c r="V8" s="2849"/>
    </row>
    <row r="9" spans="1:22" s="2853" customFormat="1" ht="13.15" customHeight="1">
      <c r="A9" s="2888">
        <v>1</v>
      </c>
      <c r="B9" s="3740" t="s">
        <v>2357</v>
      </c>
      <c r="C9" s="3741"/>
      <c r="D9" s="2889">
        <f>ROUND(D6*E9,0)</f>
        <v>0</v>
      </c>
      <c r="E9" s="2893"/>
      <c r="F9" s="2894" t="s">
        <v>2358</v>
      </c>
      <c r="G9" s="2873"/>
      <c r="H9" s="2848"/>
      <c r="I9" s="2849"/>
      <c r="J9" s="3736"/>
      <c r="K9" s="3738"/>
      <c r="L9" s="2883" t="s">
        <v>2359</v>
      </c>
      <c r="M9" s="2884"/>
      <c r="N9" s="2860"/>
      <c r="O9" s="2885"/>
      <c r="P9" s="2885"/>
      <c r="Q9" s="2886">
        <v>365</v>
      </c>
      <c r="R9" s="2887">
        <f t="shared" si="0"/>
        <v>0</v>
      </c>
      <c r="S9" s="2841"/>
      <c r="T9" s="2841"/>
      <c r="U9" s="2841"/>
      <c r="V9" s="2849"/>
    </row>
    <row r="10" spans="1:22" s="2853" customFormat="1" ht="13.15" customHeight="1">
      <c r="A10" s="2888">
        <v>2</v>
      </c>
      <c r="B10" s="3740" t="s">
        <v>2360</v>
      </c>
      <c r="C10" s="3741"/>
      <c r="D10" s="2889">
        <f>ROUND(D6*E10,0)</f>
        <v>0</v>
      </c>
      <c r="E10" s="2893"/>
      <c r="F10" s="2894" t="s">
        <v>2361</v>
      </c>
      <c r="G10" s="2873"/>
      <c r="H10" s="2848"/>
      <c r="I10" s="2849"/>
      <c r="J10" s="3736"/>
      <c r="K10" s="3738"/>
      <c r="L10" s="2883" t="s">
        <v>2362</v>
      </c>
      <c r="M10" s="2884"/>
      <c r="N10" s="2860"/>
      <c r="O10" s="2885"/>
      <c r="P10" s="2885"/>
      <c r="Q10" s="2886">
        <v>365</v>
      </c>
      <c r="R10" s="2887">
        <f t="shared" si="0"/>
        <v>0</v>
      </c>
      <c r="S10" s="2841"/>
      <c r="T10" s="2841"/>
      <c r="U10" s="2841"/>
      <c r="V10" s="2849"/>
    </row>
    <row r="11" spans="1:22" s="2853" customFormat="1" ht="13.15" customHeight="1">
      <c r="A11" s="2888">
        <v>3</v>
      </c>
      <c r="B11" s="3740" t="s">
        <v>2363</v>
      </c>
      <c r="C11" s="3741"/>
      <c r="D11" s="2889">
        <f>D12+D14+D15+D16</f>
        <v>0</v>
      </c>
      <c r="E11" s="2895" t="e">
        <f>D11/D6</f>
        <v>#DIV/0!</v>
      </c>
      <c r="F11" s="2891"/>
      <c r="G11" s="2892"/>
      <c r="H11" s="2848"/>
      <c r="I11" s="2849"/>
      <c r="J11" s="3736"/>
      <c r="K11" s="3738"/>
      <c r="L11" s="2883" t="s">
        <v>2364</v>
      </c>
      <c r="M11" s="2884"/>
      <c r="N11" s="2860"/>
      <c r="O11" s="2885"/>
      <c r="P11" s="2885"/>
      <c r="Q11" s="2886">
        <v>365</v>
      </c>
      <c r="R11" s="2887">
        <f t="shared" si="0"/>
        <v>0</v>
      </c>
      <c r="S11" s="2841"/>
      <c r="T11" s="2841"/>
      <c r="U11" s="2841"/>
      <c r="V11" s="2849"/>
    </row>
    <row r="12" spans="1:22" s="2853" customFormat="1" ht="13.15" customHeight="1">
      <c r="A12" s="2896" t="s">
        <v>2365</v>
      </c>
      <c r="B12" s="3742" t="s">
        <v>2366</v>
      </c>
      <c r="C12" s="3743"/>
      <c r="D12" s="2897">
        <f>ROUND(D13*1.2%*(1-30%),0)</f>
        <v>0</v>
      </c>
      <c r="E12" s="2898">
        <v>1.2E-2</v>
      </c>
      <c r="F12" s="2891" t="s">
        <v>2367</v>
      </c>
      <c r="G12" s="2892"/>
      <c r="H12" s="2848"/>
      <c r="I12" s="2849"/>
      <c r="J12" s="3736"/>
      <c r="K12" s="3738"/>
      <c r="L12" s="2883" t="s">
        <v>2368</v>
      </c>
      <c r="M12" s="2884"/>
      <c r="N12" s="2860"/>
      <c r="O12" s="2885"/>
      <c r="P12" s="2885"/>
      <c r="Q12" s="2886">
        <v>365</v>
      </c>
      <c r="R12" s="2887">
        <f t="shared" si="0"/>
        <v>0</v>
      </c>
      <c r="S12" s="2841"/>
      <c r="T12" s="2841"/>
      <c r="U12" s="2841"/>
      <c r="V12" s="2849"/>
    </row>
    <row r="13" spans="1:22" s="2853" customFormat="1" ht="13.15" customHeight="1">
      <c r="A13" s="2896"/>
      <c r="B13" s="2899"/>
      <c r="C13" s="2900" t="s">
        <v>2369</v>
      </c>
      <c r="D13" s="2901"/>
      <c r="E13" s="2902"/>
      <c r="F13" s="2891"/>
      <c r="G13" s="2892"/>
      <c r="H13" s="2848"/>
      <c r="I13" s="2849"/>
      <c r="J13" s="3736"/>
      <c r="K13" s="3738"/>
      <c r="L13" s="2883" t="s">
        <v>2370</v>
      </c>
      <c r="M13" s="2884"/>
      <c r="N13" s="2860"/>
      <c r="O13" s="2885"/>
      <c r="P13" s="2885"/>
      <c r="Q13" s="2886">
        <v>365</v>
      </c>
      <c r="R13" s="2887">
        <f t="shared" si="0"/>
        <v>0</v>
      </c>
      <c r="S13" s="2841"/>
      <c r="T13" s="2841"/>
      <c r="U13" s="2841"/>
      <c r="V13" s="2849"/>
    </row>
    <row r="14" spans="1:22" s="2853" customFormat="1" ht="13.15" customHeight="1">
      <c r="A14" s="2896" t="s">
        <v>2371</v>
      </c>
      <c r="B14" s="3742" t="s">
        <v>2372</v>
      </c>
      <c r="C14" s="3743"/>
      <c r="D14" s="2897">
        <f>ROUND(E14*B5/10000,0)</f>
        <v>0</v>
      </c>
      <c r="E14" s="2886"/>
      <c r="F14" s="2891" t="s">
        <v>2373</v>
      </c>
      <c r="G14" s="2892"/>
      <c r="H14" s="2848"/>
      <c r="I14" s="2849"/>
      <c r="J14" s="3736"/>
      <c r="K14" s="3739"/>
      <c r="L14" s="2903" t="s">
        <v>2374</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2375</v>
      </c>
      <c r="B15" s="3742" t="s">
        <v>2376</v>
      </c>
      <c r="C15" s="3743"/>
      <c r="D15" s="2897">
        <f>ROUND(D6*E15,0)</f>
        <v>0</v>
      </c>
      <c r="E15" s="2898">
        <v>5.5E-2</v>
      </c>
      <c r="F15" s="2891" t="s">
        <v>2377</v>
      </c>
      <c r="G15" s="2873"/>
      <c r="H15" s="2848"/>
      <c r="I15" s="2849"/>
      <c r="J15" s="3736">
        <v>2</v>
      </c>
      <c r="K15" s="3737" t="s">
        <v>2378</v>
      </c>
      <c r="L15" s="2883" t="s">
        <v>2379</v>
      </c>
      <c r="M15" s="2884" t="s">
        <v>2380</v>
      </c>
      <c r="N15" s="2884" t="s">
        <v>2381</v>
      </c>
      <c r="O15" s="2885" t="s">
        <v>2382</v>
      </c>
      <c r="P15" s="2885" t="s">
        <v>2344</v>
      </c>
      <c r="Q15" s="2860" t="s">
        <v>2383</v>
      </c>
      <c r="R15" s="2907" t="s">
        <v>2345</v>
      </c>
      <c r="S15" s="2841"/>
      <c r="T15" s="2841"/>
      <c r="U15" s="2841"/>
      <c r="V15" s="2849"/>
    </row>
    <row r="16" spans="1:22" s="2853" customFormat="1" ht="13.15" customHeight="1">
      <c r="A16" s="2896" t="s">
        <v>2384</v>
      </c>
      <c r="B16" s="3742" t="s">
        <v>2385</v>
      </c>
      <c r="C16" s="3743"/>
      <c r="D16" s="2908">
        <f>D6*E16</f>
        <v>0</v>
      </c>
      <c r="E16" s="2909"/>
      <c r="F16" s="2894" t="s">
        <v>2386</v>
      </c>
      <c r="G16" s="2873"/>
      <c r="H16" s="2848"/>
      <c r="I16" s="2849"/>
      <c r="J16" s="3736"/>
      <c r="K16" s="3738"/>
      <c r="L16" s="2883" t="s">
        <v>2387</v>
      </c>
      <c r="M16" s="2884"/>
      <c r="N16" s="2884"/>
      <c r="O16" s="2885"/>
      <c r="P16" s="2886">
        <v>365</v>
      </c>
      <c r="Q16" s="2860"/>
      <c r="R16" s="2907">
        <f>ROUND(M16*N16*O16*P16/10000,0)</f>
        <v>0</v>
      </c>
      <c r="S16" s="2841"/>
      <c r="T16" s="2841"/>
      <c r="U16" s="2841"/>
      <c r="V16" s="2849"/>
    </row>
    <row r="17" spans="1:22" s="2853" customFormat="1" ht="13.15" customHeight="1" thickBot="1">
      <c r="A17" s="2910">
        <v>4</v>
      </c>
      <c r="B17" s="3744" t="s">
        <v>2388</v>
      </c>
      <c r="C17" s="3745"/>
      <c r="D17" s="2911">
        <f>ROUND(D6*E17,0)</f>
        <v>0</v>
      </c>
      <c r="E17" s="2912"/>
      <c r="F17" s="2913" t="s">
        <v>2389</v>
      </c>
      <c r="G17" s="2873"/>
      <c r="H17" s="2848"/>
      <c r="I17" s="2849"/>
      <c r="J17" s="3736"/>
      <c r="K17" s="3738"/>
      <c r="L17" s="2883" t="s">
        <v>2390</v>
      </c>
      <c r="M17" s="2884"/>
      <c r="N17" s="2884"/>
      <c r="O17" s="2885"/>
      <c r="P17" s="2886">
        <v>365</v>
      </c>
      <c r="Q17" s="2860"/>
      <c r="R17" s="2907">
        <f>ROUND(M17*N17*O17*P17/10000,0)</f>
        <v>0</v>
      </c>
      <c r="S17" s="2841"/>
      <c r="T17" s="2841"/>
      <c r="U17" s="2841"/>
      <c r="V17" s="2849"/>
    </row>
    <row r="18" spans="1:22" s="2853" customFormat="1" ht="13.15" customHeight="1" thickBot="1">
      <c r="A18" s="2876" t="s">
        <v>2391</v>
      </c>
      <c r="B18" s="2877"/>
      <c r="C18" s="2877"/>
      <c r="D18" s="2914">
        <f>ROUND(D6*E18,0)</f>
        <v>0</v>
      </c>
      <c r="E18" s="2915"/>
      <c r="F18" s="2916" t="s">
        <v>2392</v>
      </c>
      <c r="G18" s="2873"/>
      <c r="H18" s="2848"/>
      <c r="I18" s="2849"/>
      <c r="J18" s="3736"/>
      <c r="K18" s="3738"/>
      <c r="L18" s="2883" t="s">
        <v>2393</v>
      </c>
      <c r="M18" s="2884"/>
      <c r="N18" s="2884"/>
      <c r="O18" s="2885"/>
      <c r="P18" s="2886">
        <v>365</v>
      </c>
      <c r="Q18" s="2860"/>
      <c r="R18" s="2907">
        <f>ROUND(M18*N18*O18*P18/10000,0)</f>
        <v>0</v>
      </c>
      <c r="S18" s="2841"/>
      <c r="T18" s="2841"/>
      <c r="U18" s="2841"/>
      <c r="V18" s="2849"/>
    </row>
    <row r="19" spans="1:22" s="2853" customFormat="1" ht="13.15" customHeight="1" thickBot="1">
      <c r="A19" s="2917" t="s">
        <v>2394</v>
      </c>
      <c r="B19" s="2871"/>
      <c r="C19" s="2871"/>
      <c r="D19" s="2871"/>
      <c r="E19" s="2871"/>
      <c r="F19" s="2872"/>
      <c r="G19" s="2892"/>
      <c r="H19" s="2848"/>
      <c r="I19" s="2849"/>
      <c r="J19" s="3736"/>
      <c r="K19" s="3739"/>
      <c r="L19" s="2903" t="s">
        <v>2374</v>
      </c>
      <c r="M19" s="2904"/>
      <c r="N19" s="2904">
        <f>SUM(N16:N18)</f>
        <v>0</v>
      </c>
      <c r="O19" s="2905"/>
      <c r="P19" s="2918" t="s">
        <v>2438</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36">
        <v>3</v>
      </c>
      <c r="K20" s="3737" t="s">
        <v>2395</v>
      </c>
      <c r="L20" s="2883" t="s">
        <v>2396</v>
      </c>
      <c r="M20" s="2884" t="s">
        <v>2397</v>
      </c>
      <c r="N20" s="2921" t="s">
        <v>2398</v>
      </c>
      <c r="O20" s="2885" t="s">
        <v>2399</v>
      </c>
      <c r="P20" s="2886" t="s">
        <v>2400</v>
      </c>
      <c r="Q20" s="2860" t="s">
        <v>2401</v>
      </c>
      <c r="R20" s="2907" t="s">
        <v>2402</v>
      </c>
      <c r="S20" s="2922"/>
      <c r="T20" s="2922"/>
      <c r="U20" s="2922"/>
      <c r="V20" s="2849"/>
    </row>
    <row r="21" spans="1:22" s="2853" customFormat="1" ht="13.15" customHeight="1">
      <c r="A21" s="2876"/>
      <c r="B21" s="2877"/>
      <c r="C21" s="2923" t="s">
        <v>2403</v>
      </c>
      <c r="D21" s="2924" t="s">
        <v>2404</v>
      </c>
      <c r="E21" s="2925" t="s">
        <v>2405</v>
      </c>
      <c r="F21" s="2920"/>
      <c r="G21" s="2892"/>
      <c r="H21" s="2848"/>
      <c r="I21" s="2849"/>
      <c r="J21" s="3736"/>
      <c r="K21" s="3738"/>
      <c r="L21" s="2883" t="s">
        <v>2406</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2407</v>
      </c>
      <c r="D22" s="2928" t="s">
        <v>2408</v>
      </c>
      <c r="E22" s="2929" t="s">
        <v>2409</v>
      </c>
      <c r="F22" s="2920"/>
      <c r="G22" s="2930"/>
      <c r="H22" s="2848"/>
      <c r="I22" s="2849"/>
      <c r="J22" s="3736"/>
      <c r="K22" s="3738"/>
      <c r="L22" s="2883" t="s">
        <v>2410</v>
      </c>
      <c r="M22" s="2884"/>
      <c r="N22" s="2884"/>
      <c r="O22" s="2885"/>
      <c r="P22" s="2886">
        <v>365</v>
      </c>
      <c r="Q22" s="2860"/>
      <c r="R22" s="2926">
        <f>ROUND(M22*N22*O22*P22/10000,0)</f>
        <v>0</v>
      </c>
      <c r="S22" s="2922"/>
      <c r="T22" s="2922"/>
      <c r="U22" s="2922"/>
      <c r="V22" s="2849"/>
    </row>
    <row r="23" spans="1:22" s="2853" customFormat="1" ht="13.15" customHeight="1">
      <c r="A23" s="2931">
        <v>1</v>
      </c>
      <c r="B23" s="2932" t="s">
        <v>2411</v>
      </c>
      <c r="C23" s="2933">
        <f>D6</f>
        <v>0</v>
      </c>
      <c r="D23" s="2934">
        <f>C23*(1+D24)</f>
        <v>0</v>
      </c>
      <c r="E23" s="2935">
        <f>D23*(1+E24)</f>
        <v>0</v>
      </c>
      <c r="F23" s="2936"/>
      <c r="G23" s="2937"/>
      <c r="H23" s="2848"/>
      <c r="I23" s="2849"/>
      <c r="J23" s="3736"/>
      <c r="K23" s="3738"/>
      <c r="L23" s="2883" t="s">
        <v>2412</v>
      </c>
      <c r="M23" s="2884"/>
      <c r="N23" s="2884"/>
      <c r="O23" s="2885"/>
      <c r="P23" s="2886">
        <v>365</v>
      </c>
      <c r="Q23" s="2860"/>
      <c r="R23" s="2926">
        <f>ROUND(M23*N23*O23*P23/10000,0)</f>
        <v>0</v>
      </c>
      <c r="S23" s="2841"/>
      <c r="T23" s="2841"/>
      <c r="U23" s="2841"/>
      <c r="V23" s="2849"/>
    </row>
    <row r="24" spans="1:22" s="2853" customFormat="1" ht="13.15" customHeight="1">
      <c r="A24" s="2938"/>
      <c r="B24" s="2939" t="s">
        <v>2413</v>
      </c>
      <c r="C24" s="2940"/>
      <c r="D24" s="2941"/>
      <c r="E24" s="2942"/>
      <c r="F24" s="2943"/>
      <c r="G24" s="2937"/>
      <c r="H24" s="2848"/>
      <c r="I24" s="2849"/>
      <c r="J24" s="3736"/>
      <c r="K24" s="3739"/>
      <c r="L24" s="2903" t="s">
        <v>2374</v>
      </c>
      <c r="M24" s="2904">
        <f>SUM(M21:M23)</f>
        <v>0</v>
      </c>
      <c r="N24" s="2904"/>
      <c r="O24" s="2905"/>
      <c r="P24" s="2918" t="s">
        <v>2438</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2414</v>
      </c>
      <c r="L25" s="2946"/>
      <c r="M25" s="2946"/>
      <c r="N25" s="2946"/>
      <c r="O25" s="2946"/>
      <c r="P25" s="2947"/>
      <c r="Q25" s="2948">
        <v>0</v>
      </c>
      <c r="R25" s="2919">
        <f>ROUND(R14*Q25,0)</f>
        <v>0</v>
      </c>
      <c r="S25" s="2841"/>
      <c r="T25" s="2841"/>
      <c r="U25" s="2841"/>
      <c r="V25" s="2949"/>
    </row>
    <row r="26" spans="1:22" s="2950" customFormat="1" ht="13.15" customHeight="1">
      <c r="A26" s="2931">
        <v>2</v>
      </c>
      <c r="B26" s="2932" t="s">
        <v>2415</v>
      </c>
      <c r="C26" s="2933">
        <f>D7</f>
        <v>0</v>
      </c>
      <c r="D26" s="2934">
        <f>D23*D27</f>
        <v>0</v>
      </c>
      <c r="E26" s="2935">
        <f>E23*E27</f>
        <v>0</v>
      </c>
      <c r="F26" s="2936"/>
      <c r="G26" s="2937"/>
      <c r="H26" s="2848"/>
      <c r="I26" s="2849"/>
      <c r="J26" s="3746">
        <v>5</v>
      </c>
      <c r="K26" s="2951" t="s">
        <v>2416</v>
      </c>
      <c r="L26" s="2952"/>
      <c r="M26" s="2953"/>
      <c r="N26" s="2954" t="s">
        <v>2417</v>
      </c>
      <c r="O26" s="2954" t="s">
        <v>2418</v>
      </c>
      <c r="P26" s="2955" t="s">
        <v>2419</v>
      </c>
      <c r="Q26" s="2955" t="s">
        <v>2420</v>
      </c>
      <c r="R26" s="2858" t="s">
        <v>2345</v>
      </c>
      <c r="S26" s="2956"/>
      <c r="T26" s="2956"/>
      <c r="U26" s="2956"/>
      <c r="V26" s="2949"/>
    </row>
    <row r="27" spans="1:22" s="2853" customFormat="1" ht="13.15" customHeight="1">
      <c r="A27" s="2938"/>
      <c r="B27" s="2939" t="s">
        <v>2421</v>
      </c>
      <c r="C27" s="2957" t="e">
        <f>E7</f>
        <v>#DIV/0!</v>
      </c>
      <c r="D27" s="2941"/>
      <c r="E27" s="2942"/>
      <c r="F27" s="2943"/>
      <c r="G27" s="2937"/>
      <c r="H27" s="2958"/>
      <c r="I27" s="2949"/>
      <c r="J27" s="3747"/>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2422</v>
      </c>
      <c r="F28" s="2943"/>
      <c r="G28" s="2930"/>
      <c r="H28" s="2958"/>
      <c r="I28" s="2949"/>
      <c r="J28" s="2964">
        <v>6</v>
      </c>
      <c r="K28" s="2965" t="s">
        <v>2423</v>
      </c>
      <c r="L28" s="2966" t="s">
        <v>2424</v>
      </c>
      <c r="M28" s="2967"/>
      <c r="N28" s="2966" t="s">
        <v>2425</v>
      </c>
      <c r="O28" s="2968"/>
      <c r="P28" s="2966" t="s">
        <v>2426</v>
      </c>
      <c r="Q28" s="2969">
        <v>1.4999999999999999E-2</v>
      </c>
      <c r="R28" s="2970"/>
      <c r="S28" s="2922"/>
      <c r="T28" s="2922"/>
      <c r="U28" s="2922"/>
      <c r="V28" s="2949"/>
    </row>
    <row r="29" spans="1:22" s="2950" customFormat="1" ht="13.15" customHeight="1">
      <c r="A29" s="2931">
        <v>3</v>
      </c>
      <c r="B29" s="2932" t="s">
        <v>2427</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2421</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2428</v>
      </c>
      <c r="K31" s="2839"/>
      <c r="L31" s="2839"/>
      <c r="M31" s="2839"/>
      <c r="N31" s="2839"/>
      <c r="O31" s="2839"/>
      <c r="P31" s="2839"/>
      <c r="Q31" s="2839"/>
      <c r="R31" s="2840"/>
      <c r="S31" s="2922"/>
      <c r="T31" s="2841"/>
      <c r="U31" s="2841"/>
      <c r="V31" s="2949"/>
    </row>
    <row r="32" spans="1:22" s="2950" customFormat="1" ht="13.15" customHeight="1">
      <c r="A32" s="2931">
        <v>4</v>
      </c>
      <c r="B32" s="2932" t="s">
        <v>2429</v>
      </c>
      <c r="C32" s="2933">
        <f>C23-C26-C29</f>
        <v>0</v>
      </c>
      <c r="D32" s="2934">
        <f>D23-D26-D29</f>
        <v>0</v>
      </c>
      <c r="E32" s="2935">
        <f>E23-E26-E29</f>
        <v>0</v>
      </c>
      <c r="F32" s="2936"/>
      <c r="G32" s="2930"/>
      <c r="H32" s="2848"/>
      <c r="I32" s="2849"/>
      <c r="J32" s="3729" t="s">
        <v>2321</v>
      </c>
      <c r="K32" s="3730"/>
      <c r="L32" s="2850" t="s">
        <v>2322</v>
      </c>
      <c r="M32" s="2850" t="s">
        <v>2323</v>
      </c>
      <c r="N32" s="2850" t="s">
        <v>2324</v>
      </c>
      <c r="O32" s="2850" t="s">
        <v>2325</v>
      </c>
      <c r="P32" s="2850" t="s">
        <v>2326</v>
      </c>
      <c r="Q32" s="2851" t="s">
        <v>2327</v>
      </c>
      <c r="R32" s="2973" t="s">
        <v>2328</v>
      </c>
      <c r="S32" s="2922"/>
      <c r="T32" s="2841"/>
      <c r="U32" s="2841"/>
      <c r="V32" s="2949"/>
    </row>
    <row r="33" spans="1:23" s="2853" customFormat="1" ht="13.15" customHeight="1">
      <c r="A33" s="2931"/>
      <c r="B33" s="2932"/>
      <c r="C33" s="2933"/>
      <c r="D33" s="2974"/>
      <c r="E33" s="2975"/>
      <c r="F33" s="2936"/>
      <c r="G33" s="2930"/>
      <c r="H33" s="2958"/>
      <c r="I33" s="2949"/>
      <c r="J33" s="3731" t="s">
        <v>2331</v>
      </c>
      <c r="K33" s="3732"/>
      <c r="L33" s="2856"/>
      <c r="M33" s="2856"/>
      <c r="N33" s="2856"/>
      <c r="O33" s="2856"/>
      <c r="P33" s="2856"/>
      <c r="Q33" s="2857"/>
      <c r="R33" s="2976">
        <f>SUM(L33:Q33)</f>
        <v>0</v>
      </c>
      <c r="S33" s="2922"/>
      <c r="T33" s="2841"/>
      <c r="U33" s="2841"/>
      <c r="V33" s="2849"/>
    </row>
    <row r="34" spans="1:23" s="2853" customFormat="1" ht="13.15" customHeight="1">
      <c r="A34" s="2931">
        <v>5</v>
      </c>
      <c r="B34" s="2932" t="s">
        <v>2430</v>
      </c>
      <c r="C34" s="2977"/>
      <c r="D34" s="2978"/>
      <c r="E34" s="2979"/>
      <c r="F34" s="2936"/>
      <c r="G34" s="2930"/>
      <c r="H34" s="2958"/>
      <c r="I34" s="2949"/>
      <c r="J34" s="3731" t="s">
        <v>2333</v>
      </c>
      <c r="K34" s="3732"/>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2431</v>
      </c>
      <c r="C35" s="2981"/>
      <c r="D35" s="2982"/>
      <c r="E35" s="2983"/>
      <c r="F35" s="2936"/>
      <c r="G35" s="2984"/>
      <c r="H35" s="2848"/>
      <c r="I35" s="2949"/>
      <c r="J35" s="2867" t="s">
        <v>2335</v>
      </c>
      <c r="K35" s="2868"/>
      <c r="L35" s="2868"/>
      <c r="M35" s="2869"/>
      <c r="N35" s="2869"/>
      <c r="O35" s="2869"/>
      <c r="P35" s="2869"/>
      <c r="Q35" s="2869"/>
      <c r="R35" s="2985">
        <f>R40+R41+R43</f>
        <v>0</v>
      </c>
      <c r="S35" s="2922"/>
      <c r="T35" s="2841" t="s">
        <v>2336</v>
      </c>
      <c r="U35" s="2841"/>
      <c r="V35" s="2849"/>
    </row>
    <row r="36" spans="1:23" s="2853" customFormat="1" ht="13.15" customHeight="1" thickBot="1">
      <c r="A36" s="2931">
        <v>7</v>
      </c>
      <c r="B36" s="2986" t="s">
        <v>2432</v>
      </c>
      <c r="C36" s="2987"/>
      <c r="D36" s="2988"/>
      <c r="E36" s="2989"/>
      <c r="F36" s="2990">
        <f>C36+D36+E36</f>
        <v>0</v>
      </c>
      <c r="G36" s="2930"/>
      <c r="H36" s="2848"/>
      <c r="I36" s="2849"/>
      <c r="J36" s="3736">
        <v>1</v>
      </c>
      <c r="K36" s="3737" t="s">
        <v>2433</v>
      </c>
      <c r="L36" s="2874"/>
      <c r="M36" s="2875"/>
      <c r="N36" s="2875"/>
      <c r="O36" s="2875"/>
      <c r="P36" s="2875"/>
      <c r="Q36" s="2875"/>
      <c r="R36" s="2858" t="s">
        <v>2345</v>
      </c>
      <c r="S36" s="2922"/>
      <c r="T36" s="2841" t="s">
        <v>2346</v>
      </c>
      <c r="U36" s="2841"/>
      <c r="V36" s="2849"/>
    </row>
    <row r="37" spans="1:23" s="2853" customFormat="1" ht="13.15" customHeight="1">
      <c r="A37" s="2931"/>
      <c r="B37" s="2932"/>
      <c r="C37" s="2932"/>
      <c r="D37" s="2932"/>
      <c r="E37" s="2932"/>
      <c r="F37" s="2936"/>
      <c r="G37" s="2930"/>
      <c r="H37" s="2848"/>
      <c r="I37" s="2849"/>
      <c r="J37" s="3736"/>
      <c r="K37" s="3738"/>
      <c r="L37" s="2883"/>
      <c r="M37" s="2884"/>
      <c r="N37" s="2860"/>
      <c r="O37" s="2885"/>
      <c r="P37" s="2885"/>
      <c r="Q37" s="2886"/>
      <c r="R37" s="2887"/>
      <c r="S37" s="2922"/>
      <c r="T37" s="2841" t="s">
        <v>2349</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36"/>
      <c r="K38" s="3738"/>
      <c r="L38" s="2883"/>
      <c r="M38" s="2884"/>
      <c r="N38" s="2860"/>
      <c r="O38" s="2885"/>
      <c r="P38" s="2885"/>
      <c r="Q38" s="2886"/>
      <c r="R38" s="2887"/>
      <c r="S38" s="2922"/>
      <c r="T38" s="2841" t="s">
        <v>2356</v>
      </c>
      <c r="U38" s="2841"/>
      <c r="V38" s="2849"/>
    </row>
    <row r="39" spans="1:23" s="2853" customFormat="1" ht="13.15" customHeight="1">
      <c r="A39" s="2931">
        <v>9</v>
      </c>
      <c r="B39" s="2932" t="s">
        <v>2434</v>
      </c>
      <c r="C39" s="2897" t="e">
        <f>C38</f>
        <v>#DIV/0!</v>
      </c>
      <c r="D39" s="2932">
        <f>D38/(1+D34)^C36</f>
        <v>0</v>
      </c>
      <c r="E39" s="2932">
        <f>E38/(1+E34)^(C36+D36)</f>
        <v>0</v>
      </c>
      <c r="F39" s="2936"/>
      <c r="G39" s="2991"/>
      <c r="H39" s="2848"/>
      <c r="I39" s="2849"/>
      <c r="J39" s="3736"/>
      <c r="K39" s="3738"/>
      <c r="L39" s="2883"/>
      <c r="M39" s="2884"/>
      <c r="N39" s="2860"/>
      <c r="O39" s="2885"/>
      <c r="P39" s="2885"/>
      <c r="Q39" s="2886"/>
      <c r="R39" s="2887"/>
      <c r="S39" s="2922"/>
      <c r="T39" s="2841"/>
      <c r="U39" s="2841"/>
      <c r="V39" s="2849"/>
    </row>
    <row r="40" spans="1:23" s="2853" customFormat="1" ht="13.15" customHeight="1">
      <c r="A40" s="2992">
        <v>10</v>
      </c>
      <c r="B40" s="2932" t="s">
        <v>2435</v>
      </c>
      <c r="C40" s="2993" t="e">
        <f>C39+D39+E39</f>
        <v>#DIV/0!</v>
      </c>
      <c r="D40" s="2994"/>
      <c r="E40" s="2994"/>
      <c r="F40" s="2995"/>
      <c r="G40" s="2930"/>
      <c r="H40" s="2848"/>
      <c r="I40" s="2849"/>
      <c r="J40" s="3736"/>
      <c r="K40" s="3739"/>
      <c r="L40" s="2903" t="s">
        <v>2374</v>
      </c>
      <c r="M40" s="2904"/>
      <c r="N40" s="2904"/>
      <c r="O40" s="2905"/>
      <c r="P40" s="2905"/>
      <c r="Q40" s="2906"/>
      <c r="R40" s="2852">
        <f>SUM(R37:R39)</f>
        <v>0</v>
      </c>
      <c r="S40" s="2922"/>
      <c r="T40" s="2841"/>
      <c r="U40" s="2841"/>
      <c r="V40" s="2849"/>
    </row>
    <row r="41" spans="1:23" s="2853" customFormat="1" ht="13.15" customHeight="1" thickBot="1">
      <c r="A41" s="2996">
        <v>11</v>
      </c>
      <c r="B41" s="2997" t="s">
        <v>2436</v>
      </c>
      <c r="C41" s="2997" t="e">
        <f>ROUND(C40*10000/B4,0)</f>
        <v>#DIV/0!</v>
      </c>
      <c r="D41" s="2998"/>
      <c r="E41" s="2998"/>
      <c r="F41" s="2999"/>
      <c r="G41" s="3000"/>
      <c r="H41" s="2848"/>
      <c r="I41" s="2849"/>
      <c r="J41" s="2944">
        <v>2</v>
      </c>
      <c r="K41" s="2945" t="s">
        <v>2414</v>
      </c>
      <c r="L41" s="2946"/>
      <c r="M41" s="2946"/>
      <c r="N41" s="2946"/>
      <c r="O41" s="2946"/>
      <c r="P41" s="2947"/>
      <c r="Q41" s="2948"/>
      <c r="R41" s="2919">
        <f>ROUND(R40*Q41,0)</f>
        <v>0</v>
      </c>
      <c r="S41" s="2922"/>
      <c r="T41" s="2841"/>
      <c r="U41" s="2956"/>
      <c r="V41" s="2849"/>
    </row>
    <row r="42" spans="1:23" s="2853" customFormat="1" ht="13.15" customHeight="1">
      <c r="G42" s="3000"/>
      <c r="H42" s="2848"/>
      <c r="I42" s="2849"/>
      <c r="J42" s="3746">
        <v>3</v>
      </c>
      <c r="K42" s="2951" t="s">
        <v>2416</v>
      </c>
      <c r="L42" s="2952"/>
      <c r="M42" s="2953"/>
      <c r="N42" s="2954" t="s">
        <v>2417</v>
      </c>
      <c r="O42" s="2954" t="s">
        <v>2418</v>
      </c>
      <c r="P42" s="2955" t="s">
        <v>2419</v>
      </c>
      <c r="Q42" s="2955" t="s">
        <v>2420</v>
      </c>
      <c r="R42" s="2858" t="s">
        <v>2345</v>
      </c>
      <c r="S42" s="2956"/>
      <c r="T42" s="2956"/>
      <c r="U42" s="2841"/>
      <c r="V42" s="2849"/>
    </row>
    <row r="43" spans="1:23" ht="13.15" customHeight="1">
      <c r="A43" s="2853"/>
      <c r="B43" s="2853"/>
      <c r="C43" s="2853"/>
      <c r="D43" s="2853"/>
      <c r="E43" s="2853"/>
      <c r="F43" s="2853"/>
      <c r="I43" s="2836"/>
      <c r="J43" s="3747"/>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2423</v>
      </c>
      <c r="L44" s="3004" t="s">
        <v>2424</v>
      </c>
      <c r="M44" s="2967"/>
      <c r="N44" s="3004" t="s">
        <v>2425</v>
      </c>
      <c r="O44" s="2967"/>
      <c r="P44" s="3004" t="s">
        <v>2426</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9" zoomScale="85" zoomScaleNormal="70" zoomScaleSheetLayoutView="85" workbookViewId="0">
      <selection activeCell="D40" sqref="D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3455</v>
      </c>
      <c r="D1" s="1362" t="s">
        <v>43</v>
      </c>
      <c r="E1" s="1363" t="s">
        <v>678</v>
      </c>
      <c r="F1" s="1062">
        <f ca="1">J53</f>
        <v>24.72</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48220</v>
      </c>
      <c r="C2" s="1387" t="s">
        <v>805</v>
      </c>
      <c r="D2" s="1387"/>
      <c r="E2" s="1388"/>
      <c r="F2" s="1389"/>
      <c r="G2" s="2706"/>
      <c r="H2" s="2695"/>
      <c r="I2" s="2695"/>
      <c r="J2" s="2695"/>
      <c r="K2" s="2696"/>
      <c r="L2" s="2695"/>
      <c r="M2" s="2695"/>
    </row>
    <row r="3" spans="1:37" ht="18" customHeight="1" thickBot="1">
      <c r="A3" s="1390" t="s">
        <v>806</v>
      </c>
      <c r="B3" s="1391">
        <f ca="1">IF(ISERROR(B2*10000/F43),0,ROUND(B2*10000/F43,0))</f>
        <v>31217</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3485</v>
      </c>
      <c r="D5" s="1364" t="s">
        <v>693</v>
      </c>
      <c r="E5" s="1071"/>
      <c r="F5" s="1072"/>
      <c r="G5" s="1384"/>
      <c r="H5" s="299">
        <v>1</v>
      </c>
      <c r="I5" s="300" t="s">
        <v>692</v>
      </c>
      <c r="J5" s="1070">
        <f ca="1">J6+J10+J12</f>
        <v>0</v>
      </c>
      <c r="K5" s="1364" t="s">
        <v>693</v>
      </c>
      <c r="L5" s="1071"/>
      <c r="M5" s="1072"/>
    </row>
    <row r="6" spans="1:37" ht="18" customHeight="1">
      <c r="A6" s="1069" t="s">
        <v>398</v>
      </c>
      <c r="B6" s="3726" t="s">
        <v>694</v>
      </c>
      <c r="C6" s="1074">
        <f ca="1">ROUND(F6*F8*F7*(1-F9)/10000,0)</f>
        <v>3481</v>
      </c>
      <c r="D6" s="155" t="s">
        <v>2109</v>
      </c>
      <c r="E6" s="302" t="s">
        <v>696</v>
      </c>
      <c r="F6" s="303">
        <f ca="1">INDIRECT("'数据-取费表'!u"&amp;$G$1)</f>
        <v>6.5</v>
      </c>
      <c r="G6" s="1384"/>
      <c r="H6" s="1069" t="s">
        <v>398</v>
      </c>
      <c r="I6" s="3726" t="s">
        <v>694</v>
      </c>
      <c r="J6" s="301">
        <f ca="1">ROUND(M6*M8*M7*(1-M9)/10000,0)</f>
        <v>0</v>
      </c>
      <c r="K6" s="155" t="s">
        <v>2108</v>
      </c>
      <c r="L6" s="302" t="s">
        <v>696</v>
      </c>
      <c r="M6" s="303">
        <f ca="1">INDIRECT("'数据-取费表'!z"&amp;$G$1)</f>
        <v>0</v>
      </c>
    </row>
    <row r="7" spans="1:37" ht="18" customHeight="1">
      <c r="A7" s="1073"/>
      <c r="B7" s="3727"/>
      <c r="C7" s="1075"/>
      <c r="D7" s="307"/>
      <c r="E7" s="3452" t="s">
        <v>697</v>
      </c>
      <c r="F7" s="303">
        <f ca="1">IF(INDIRECT("'数据-取费表'!ah"&amp;$G$1)="",INDIRECT("'数据-取费表'!k"&amp;$G$1),INDIRECT("'数据-取费表'!ah"&amp;$G$1))</f>
        <v>15446.489999999998</v>
      </c>
      <c r="G7" s="1384"/>
      <c r="H7" s="304"/>
      <c r="I7" s="3727"/>
      <c r="J7" s="306"/>
      <c r="K7" s="307"/>
      <c r="L7" s="302" t="s">
        <v>697</v>
      </c>
      <c r="M7" s="303">
        <f ca="1">F7</f>
        <v>15446.489999999998</v>
      </c>
    </row>
    <row r="8" spans="1:37" ht="18" customHeight="1">
      <c r="A8" s="304"/>
      <c r="B8" s="3727"/>
      <c r="C8" s="306"/>
      <c r="D8" s="307"/>
      <c r="E8" s="302" t="s">
        <v>698</v>
      </c>
      <c r="F8" s="303">
        <f ca="1">INDIRECT("'数据-取费表'!ai"&amp;$G$1)</f>
        <v>365</v>
      </c>
      <c r="G8" s="1384"/>
      <c r="H8" s="304"/>
      <c r="I8" s="3727"/>
      <c r="J8" s="306"/>
      <c r="K8" s="307"/>
      <c r="L8" s="302" t="s">
        <v>698</v>
      </c>
      <c r="M8" s="303">
        <f ca="1">INDIRECT("'数据-取费表'!ai"&amp;$G$1)</f>
        <v>365</v>
      </c>
    </row>
    <row r="9" spans="1:37" ht="18" customHeight="1">
      <c r="A9" s="304"/>
      <c r="B9" s="3728"/>
      <c r="C9" s="306"/>
      <c r="D9" s="307"/>
      <c r="E9" s="302" t="s">
        <v>699</v>
      </c>
      <c r="F9" s="312">
        <f ca="1">INDIRECT("'数据-取费表'!w"&amp;$G$1)</f>
        <v>0.05</v>
      </c>
      <c r="G9" s="1384"/>
      <c r="H9" s="304"/>
      <c r="I9" s="3728"/>
      <c r="J9" s="306"/>
      <c r="K9" s="307"/>
      <c r="L9" s="313" t="s">
        <v>699</v>
      </c>
      <c r="M9" s="314">
        <f ca="1">INDIRECT("'数据-取费表'!ab"&amp;$G$1)</f>
        <v>0</v>
      </c>
    </row>
    <row r="10" spans="1:37" ht="18" customHeight="1">
      <c r="A10" s="1069" t="s">
        <v>402</v>
      </c>
      <c r="B10" s="1365" t="s">
        <v>700</v>
      </c>
      <c r="C10" s="316">
        <f ca="1">ROUND(IF(F10="押一",C6/12*F11,IF(F10="押二",C6/12*2*F11,IF(F10="押三",C6/12*3*F11,C11*F11))),0)</f>
        <v>4</v>
      </c>
      <c r="D10" s="1366" t="s">
        <v>2116</v>
      </c>
      <c r="E10" s="313" t="s">
        <v>701</v>
      </c>
      <c r="F10" s="1116" t="s">
        <v>3560</v>
      </c>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8343</v>
      </c>
      <c r="D13" s="3449" t="s">
        <v>705</v>
      </c>
      <c r="E13" s="3449" t="s">
        <v>706</v>
      </c>
      <c r="F13" s="1082">
        <f ca="1">INDIRECT("'数据-取费表'!y"&amp;$G$1)</f>
        <v>0.82</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7007</v>
      </c>
      <c r="D14" s="3455" t="s">
        <v>708</v>
      </c>
      <c r="E14" s="3454"/>
      <c r="F14" s="319"/>
      <c r="G14" s="1384"/>
      <c r="H14" s="982" t="s">
        <v>398</v>
      </c>
      <c r="I14" s="302" t="s">
        <v>709</v>
      </c>
      <c r="J14" s="21">
        <f ca="1">C29</f>
        <v>10174</v>
      </c>
      <c r="K14" s="3451"/>
      <c r="L14" s="807"/>
      <c r="M14" s="808"/>
    </row>
    <row r="15" spans="1:37" s="1397" customFormat="1" ht="18" customHeight="1" thickBot="1">
      <c r="A15" s="982" t="s">
        <v>399</v>
      </c>
      <c r="B15" s="302" t="s">
        <v>710</v>
      </c>
      <c r="C15" s="21">
        <f ca="1">ROUND(C14*F15,0)</f>
        <v>350</v>
      </c>
      <c r="D15" s="3450" t="s">
        <v>711</v>
      </c>
      <c r="E15" s="345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79</v>
      </c>
      <c r="K16" s="1087" t="s">
        <v>715</v>
      </c>
      <c r="L16" s="3457"/>
      <c r="M16" s="1072"/>
    </row>
    <row r="17" spans="1:37" s="1397" customFormat="1" ht="18" customHeight="1">
      <c r="A17" s="982" t="s">
        <v>681</v>
      </c>
      <c r="B17" s="302" t="s">
        <v>716</v>
      </c>
      <c r="C17" s="21">
        <f ca="1">ROUND(F17*(F43+INDIRECT("'数据-取费表'!S"&amp;$G$1))/10000,0)</f>
        <v>312</v>
      </c>
      <c r="D17" s="302" t="s">
        <v>717</v>
      </c>
      <c r="E17" s="302" t="s">
        <v>718</v>
      </c>
      <c r="F17" s="23">
        <f>'数据-取费表'!B35</f>
        <v>200</v>
      </c>
      <c r="G17" s="1396"/>
      <c r="H17" s="982" t="s">
        <v>398</v>
      </c>
      <c r="I17" s="302" t="s">
        <v>719</v>
      </c>
      <c r="J17" s="2316">
        <f ca="1">ROUND(IF(AND(项目基本情况!B11="自然人",项目基本情况!B10="北京市"),J6*M17/(1+'数据-取费表'!C42),J18+J19+J20),2)</f>
        <v>7.68</v>
      </c>
      <c r="K17" s="3455" t="s">
        <v>720</v>
      </c>
      <c r="L17" s="3456"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105</v>
      </c>
      <c r="D18" s="302" t="s">
        <v>711</v>
      </c>
      <c r="E18" s="302" t="s">
        <v>712</v>
      </c>
      <c r="F18" s="322">
        <f>'数据-取费表'!B36</f>
        <v>1.4999999999999999E-2</v>
      </c>
      <c r="G18" s="1396"/>
      <c r="H18" s="982" t="s">
        <v>397</v>
      </c>
      <c r="I18" s="302" t="s">
        <v>723</v>
      </c>
      <c r="J18" s="21">
        <f ca="1">ROUND(J6*M18/(1+'数据-取费表'!C42),2)</f>
        <v>0</v>
      </c>
      <c r="K18" s="3456"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7774</v>
      </c>
      <c r="D19" s="131" t="s">
        <v>726</v>
      </c>
      <c r="E19" s="3459"/>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155</v>
      </c>
      <c r="D20" s="2428" t="s">
        <v>729</v>
      </c>
      <c r="E20" s="302" t="s">
        <v>712</v>
      </c>
      <c r="F20" s="322">
        <f>'数据-取费表'!B37</f>
        <v>0.02</v>
      </c>
      <c r="G20" s="1396"/>
      <c r="H20" s="982" t="s">
        <v>680</v>
      </c>
      <c r="I20" s="155" t="s">
        <v>730</v>
      </c>
      <c r="J20" s="22">
        <f ca="1">ROUND(M20*M21/10000,2)</f>
        <v>7.68</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2561.1</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59"/>
      <c r="F22" s="23"/>
      <c r="G22" s="1384"/>
      <c r="H22" s="982" t="s">
        <v>402</v>
      </c>
      <c r="I22" s="302" t="s">
        <v>738</v>
      </c>
      <c r="J22" s="21">
        <f ca="1">ROUND(J14*M22,2)</f>
        <v>71.22</v>
      </c>
      <c r="K22" s="3456" t="s">
        <v>739</v>
      </c>
      <c r="L22" s="302" t="s">
        <v>712</v>
      </c>
      <c r="M22" s="328">
        <f ca="1">INDIRECT("'数据-取费表'!Ak"&amp;$G$1)</f>
        <v>7.0000000000000001E-3</v>
      </c>
    </row>
    <row r="23" spans="1:37" s="1397" customFormat="1" ht="18" customHeight="1">
      <c r="A23" s="982" t="s">
        <v>397</v>
      </c>
      <c r="B23" s="302" t="s">
        <v>740</v>
      </c>
      <c r="C23" s="21">
        <f ca="1">IF('数据-取费表'!B22&lt;=1,ROUND(C19*F24*F23/2,0)+ROUND(C20*F24*F23/2,0),ROUND(C19*(POWER((1+F24),F23/2)-1),0)+ROUND(C20*(POWER((1+F24),F23/2)-1),0))</f>
        <v>273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56"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59"/>
      <c r="F25" s="23"/>
      <c r="G25" s="1384"/>
      <c r="H25" s="1079" t="s">
        <v>394</v>
      </c>
      <c r="I25" s="1094" t="s">
        <v>752</v>
      </c>
      <c r="J25" s="310">
        <f ca="1">J5-J16</f>
        <v>-79</v>
      </c>
      <c r="K25" s="1095" t="s">
        <v>753</v>
      </c>
      <c r="L25" s="1096"/>
      <c r="M25" s="1097"/>
    </row>
    <row r="26" spans="1:37">
      <c r="A26" s="982" t="s">
        <v>397</v>
      </c>
      <c r="B26" s="302" t="s">
        <v>754</v>
      </c>
      <c r="C26" s="21">
        <f ca="1">ROUND((C19+C20)*F26,0)</f>
        <v>1189</v>
      </c>
      <c r="D26" s="2428"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2428" t="s">
        <v>761</v>
      </c>
      <c r="E27" s="345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10174</v>
      </c>
      <c r="D29" s="1092"/>
      <c r="E29" s="1090"/>
      <c r="F29" s="1093"/>
      <c r="G29" s="1396"/>
      <c r="H29" s="334" t="s">
        <v>396</v>
      </c>
      <c r="I29" s="335" t="s">
        <v>768</v>
      </c>
      <c r="J29" s="336">
        <f ca="1">ROUND(J26/(1+F40)^F41,0)</f>
        <v>0</v>
      </c>
      <c r="K29" s="337" t="s">
        <v>769</v>
      </c>
      <c r="L29" s="338"/>
      <c r="M29" s="339">
        <f ca="1">INDIRECT("'数据-取费表'!k"&amp;$G$1)</f>
        <v>15446.489999999998</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688</v>
      </c>
      <c r="D30" s="1087" t="s">
        <v>715</v>
      </c>
      <c r="E30" s="3457"/>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591.16</v>
      </c>
      <c r="D31" s="3455" t="s">
        <v>720</v>
      </c>
      <c r="E31" s="3456"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IF(项目基本情况!B11="自然人","——",ROUND(C6*F32/(1+'数据-取费表'!C42),2))</f>
        <v>185.65</v>
      </c>
      <c r="D32" s="3456"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397.83</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7.68</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2561.1</v>
      </c>
      <c r="G35" s="1384"/>
      <c r="H35" s="2697"/>
      <c r="I35" s="1398"/>
      <c r="J35" s="1399"/>
      <c r="K35" s="2701"/>
      <c r="L35" s="2700"/>
      <c r="M35" s="2700"/>
    </row>
    <row r="36" spans="1:18" ht="18" customHeight="1">
      <c r="A36" s="1102" t="s">
        <v>402</v>
      </c>
      <c r="B36" s="302" t="s">
        <v>738</v>
      </c>
      <c r="C36" s="21">
        <f ca="1">ROUND(C29*F36,2)</f>
        <v>71.22</v>
      </c>
      <c r="D36" s="3456" t="s">
        <v>771</v>
      </c>
      <c r="E36" s="302" t="s">
        <v>712</v>
      </c>
      <c r="F36" s="328">
        <f ca="1">INDIRECT("'数据-取费表'!Ak"&amp;$G$1)</f>
        <v>7.0000000000000001E-3</v>
      </c>
      <c r="G36" s="1384"/>
      <c r="H36" s="2700"/>
      <c r="I36" s="1398"/>
      <c r="J36" s="1399"/>
      <c r="K36" s="2544"/>
      <c r="L36" s="2700"/>
      <c r="M36" s="2700"/>
    </row>
    <row r="37" spans="1:18" ht="18" customHeight="1">
      <c r="A37" s="982" t="s">
        <v>437</v>
      </c>
      <c r="B37" s="302" t="s">
        <v>742</v>
      </c>
      <c r="C37" s="21">
        <f ca="1">ROUND(C13*F37,2)</f>
        <v>8.34</v>
      </c>
      <c r="D37" s="3456" t="s">
        <v>743</v>
      </c>
      <c r="E37" s="302" t="s">
        <v>744</v>
      </c>
      <c r="F37" s="330">
        <f ca="1">INDIRECT("'数据-取费表'!Al"&amp;$G$1)</f>
        <v>1E-3</v>
      </c>
      <c r="G37" s="1384"/>
      <c r="H37" s="2700"/>
      <c r="I37" s="1398"/>
      <c r="J37" s="1399"/>
      <c r="K37" s="2544"/>
      <c r="L37" s="2700"/>
      <c r="M37" s="2700"/>
    </row>
    <row r="38" spans="1:18" ht="18" customHeight="1" thickBot="1">
      <c r="A38" s="1089" t="s">
        <v>683</v>
      </c>
      <c r="B38" s="1090" t="s">
        <v>728</v>
      </c>
      <c r="C38" s="1091">
        <f ca="1">ROUND(C5*F38,2)</f>
        <v>17.43</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752</v>
      </c>
      <c r="C39" s="310">
        <f ca="1">C5-C30</f>
        <v>2797</v>
      </c>
      <c r="D39" s="1095" t="s">
        <v>773</v>
      </c>
      <c r="E39" s="1096"/>
      <c r="F39" s="1097"/>
      <c r="G39" s="1384"/>
      <c r="H39" s="2700"/>
      <c r="I39" s="1398"/>
      <c r="J39" s="1399"/>
      <c r="K39" s="2704"/>
      <c r="L39" s="2700"/>
      <c r="M39" s="2700"/>
    </row>
    <row r="40" spans="1:18" ht="18" customHeight="1">
      <c r="A40" s="299" t="s">
        <v>395</v>
      </c>
      <c r="B40" s="300" t="s">
        <v>774</v>
      </c>
      <c r="C40" s="301">
        <f ca="1">ROUND(C39*(1-((1+F42)/(1+F40))^F41)/(F40-F42),0)</f>
        <v>47539</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24.72</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ROUND(C40*10000/F43,0)</f>
        <v>30777</v>
      </c>
      <c r="D43" s="337" t="s">
        <v>777</v>
      </c>
      <c r="E43" s="338" t="s">
        <v>778</v>
      </c>
      <c r="F43" s="339">
        <f ca="1">INDIRECT("'数据-取费表'!k"&amp;$G$1)</f>
        <v>15446.489999999998</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-48713</v>
      </c>
      <c r="D46" s="1406" t="str">
        <f>C2</f>
        <v>万元</v>
      </c>
      <c r="E46" s="1400"/>
      <c r="F46" s="1400"/>
      <c r="I46" s="1407" t="s">
        <v>810</v>
      </c>
      <c r="J46" s="1408"/>
      <c r="K46" s="1409"/>
      <c r="L46" s="1410">
        <f ca="1">IF(M47="住宅",0,IF(L48&gt;J51,L60,J60))</f>
        <v>681</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3542</v>
      </c>
      <c r="K47" s="1416" t="s">
        <v>816</v>
      </c>
      <c r="L47" s="1417">
        <f ca="1">INDIRECT("'数据-取费表'!d"&amp;$G$1)</f>
        <v>40</v>
      </c>
      <c r="M47" s="1380" t="str">
        <f>IF(ISNUMBER(FIND("住宅",C1)),"住宅","非住宅")</f>
        <v>非住宅</v>
      </c>
      <c r="O47" s="1418" t="s">
        <v>403</v>
      </c>
      <c r="P47" s="1419" t="s">
        <v>817</v>
      </c>
      <c r="Q47" s="1420">
        <f ca="1">C40+J29</f>
        <v>47539</v>
      </c>
      <c r="R47" s="1420" t="s">
        <v>818</v>
      </c>
    </row>
    <row r="48" spans="1:18" s="1384" customFormat="1" ht="28.5" thickBot="1">
      <c r="A48" s="1110" t="s">
        <v>438</v>
      </c>
      <c r="B48" s="300" t="s">
        <v>692</v>
      </c>
      <c r="C48" s="3458">
        <f ca="1">C49+C53+C55</f>
        <v>0</v>
      </c>
      <c r="D48" s="1112"/>
      <c r="E48" s="1113"/>
      <c r="F48" s="962"/>
      <c r="G48" s="722"/>
      <c r="H48" s="723"/>
      <c r="I48" s="1421" t="s">
        <v>819</v>
      </c>
      <c r="J48" s="1422" t="s">
        <v>3563</v>
      </c>
      <c r="K48" s="1423" t="s">
        <v>820</v>
      </c>
      <c r="L48" s="1424">
        <f ca="1">INDIRECT("'数据-取费表'!f"&amp;$G$1)</f>
        <v>24.72</v>
      </c>
      <c r="O48" s="1418" t="s">
        <v>404</v>
      </c>
      <c r="P48" s="1419" t="s">
        <v>821</v>
      </c>
      <c r="Q48" s="1420">
        <f ca="1">J60</f>
        <v>681</v>
      </c>
      <c r="R48" s="1420" t="s">
        <v>822</v>
      </c>
    </row>
    <row r="49" spans="1:18" s="1384" customFormat="1" ht="13.5" thickBot="1">
      <c r="A49" s="975" t="s">
        <v>439</v>
      </c>
      <c r="B49" s="1371" t="s">
        <v>779</v>
      </c>
      <c r="C49" s="1114">
        <f ca="1">ROUND(F49*F51*F50*(1-F52)/10000,0)</f>
        <v>0</v>
      </c>
      <c r="D49" s="1055" t="s">
        <v>2108</v>
      </c>
      <c r="E49" s="1372" t="s">
        <v>780</v>
      </c>
      <c r="F49" s="1060"/>
      <c r="G49" s="1425"/>
      <c r="H49" s="723"/>
      <c r="I49" s="1421" t="s">
        <v>823</v>
      </c>
      <c r="J49" s="1426">
        <v>2011</v>
      </c>
      <c r="K49" s="1423" t="s">
        <v>824</v>
      </c>
      <c r="L49" s="1427"/>
      <c r="O49" s="1428" t="s">
        <v>405</v>
      </c>
      <c r="P49" s="1419" t="s">
        <v>825</v>
      </c>
      <c r="Q49" s="1420">
        <f ca="1">C29</f>
        <v>10174</v>
      </c>
      <c r="R49" s="1420" t="s">
        <v>818</v>
      </c>
    </row>
    <row r="50" spans="1:18" s="1384" customFormat="1" ht="13.5" thickBot="1">
      <c r="A50" s="976"/>
      <c r="B50" s="979"/>
      <c r="C50" s="1118"/>
      <c r="D50" s="953"/>
      <c r="E50" s="1056" t="s">
        <v>697</v>
      </c>
      <c r="F50" s="1057">
        <f ca="1">F7</f>
        <v>15446.489999999998</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47</v>
      </c>
      <c r="K51" s="1434" t="s">
        <v>830</v>
      </c>
      <c r="L51" s="1435">
        <f ca="1">ROUND(-PV(INDIRECT("'数据-取费表'!h"&amp;$G$1),J51,(C39-C13*C76),0),0)</f>
        <v>39792</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24.72</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24.72</v>
      </c>
      <c r="K53" s="3724" t="s">
        <v>837</v>
      </c>
      <c r="L53" s="3725"/>
      <c r="O53" s="1418" t="s">
        <v>409</v>
      </c>
      <c r="P53" s="1419" t="s">
        <v>838</v>
      </c>
      <c r="Q53" s="1420">
        <f ca="1">Q47+Q48</f>
        <v>48220</v>
      </c>
      <c r="R53" s="1420" t="s">
        <v>410</v>
      </c>
    </row>
    <row r="54" spans="1:18" s="1384" customFormat="1" ht="13.5" thickBot="1">
      <c r="A54" s="1153"/>
      <c r="B54" s="1367" t="s">
        <v>679</v>
      </c>
      <c r="C54" s="959"/>
      <c r="D54" s="1366"/>
      <c r="E54" s="3453"/>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3"/>
      <c r="F55" s="1440"/>
      <c r="I55" s="1443" t="s">
        <v>840</v>
      </c>
      <c r="J55" s="1444">
        <f ca="1">ROUND(IF(J47="钢混",J57/J50,1-(1-2%)*(J50-J57)/J50),3)</f>
        <v>0.371</v>
      </c>
      <c r="K55" s="1445" t="s">
        <v>841</v>
      </c>
      <c r="L55" s="1446"/>
      <c r="O55" s="1411" t="s">
        <v>811</v>
      </c>
      <c r="P55" s="1412" t="s">
        <v>812</v>
      </c>
      <c r="Q55" s="1413" t="s">
        <v>813</v>
      </c>
      <c r="R55" s="1413" t="s">
        <v>814</v>
      </c>
    </row>
    <row r="56" spans="1:18" s="1384" customFormat="1" ht="25.5" thickTop="1" thickBot="1">
      <c r="A56" s="957">
        <v>2</v>
      </c>
      <c r="B56" s="958" t="s">
        <v>704</v>
      </c>
      <c r="C56" s="232">
        <f ca="1">C13</f>
        <v>8343</v>
      </c>
      <c r="D56" s="1447"/>
      <c r="E56" s="1448"/>
      <c r="F56" s="1440"/>
      <c r="I56" s="1449" t="s">
        <v>842</v>
      </c>
      <c r="J56" s="1450" t="s">
        <v>3564</v>
      </c>
      <c r="K56" s="1421" t="s">
        <v>843</v>
      </c>
      <c r="L56" s="1424" t="str">
        <f ca="1">IF(L48&lt;J51,"——",L48-J53)</f>
        <v>——</v>
      </c>
      <c r="O56" s="1418" t="s">
        <v>403</v>
      </c>
      <c r="P56" s="1419" t="s">
        <v>817</v>
      </c>
      <c r="Q56" s="1420">
        <f ca="1">C40+J29</f>
        <v>47539</v>
      </c>
      <c r="R56" s="1420" t="s">
        <v>818</v>
      </c>
    </row>
    <row r="57" spans="1:18" s="1384" customFormat="1" ht="24.75" thickBot="1">
      <c r="A57" s="1451"/>
      <c r="B57" s="950" t="s">
        <v>767</v>
      </c>
      <c r="C57" s="238">
        <f ca="1">C29</f>
        <v>10174</v>
      </c>
      <c r="D57" s="1452"/>
      <c r="E57" s="1453"/>
      <c r="F57" s="1454"/>
      <c r="I57" s="1455" t="s">
        <v>844</v>
      </c>
      <c r="J57" s="1456">
        <f ca="1">IF(OR(M47="住宅",J51&lt;L48,J56="是"),"——",J51-L48)</f>
        <v>22.28</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88</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8</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4070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681</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730</v>
      </c>
      <c r="C62" s="22">
        <f ca="1">IF(项目基本情况!B11="自然人","——",ROUND(F62*F63/10000,2))</f>
        <v>7.68</v>
      </c>
      <c r="D62" s="965" t="s">
        <v>731</v>
      </c>
      <c r="E62" s="950" t="s">
        <v>732</v>
      </c>
      <c r="F62" s="325">
        <f t="shared" si="0"/>
        <v>30</v>
      </c>
      <c r="I62" s="1462" t="s">
        <v>858</v>
      </c>
      <c r="J62" s="1463" t="s">
        <v>859</v>
      </c>
      <c r="K62" s="1463" t="s">
        <v>860</v>
      </c>
      <c r="L62" s="1463" t="s">
        <v>861</v>
      </c>
      <c r="M62" s="1464" t="s">
        <v>862</v>
      </c>
      <c r="O62" s="1418" t="s">
        <v>409</v>
      </c>
      <c r="P62" s="1419" t="s">
        <v>863</v>
      </c>
      <c r="Q62" s="1420">
        <f ca="1">Q56+Q57</f>
        <v>47539</v>
      </c>
      <c r="R62" s="1420" t="s">
        <v>410</v>
      </c>
    </row>
    <row r="63" spans="1:18" s="1384" customFormat="1" ht="13.5" thickBot="1">
      <c r="A63" s="326"/>
      <c r="B63" s="956"/>
      <c r="C63" s="26"/>
      <c r="D63" s="966"/>
      <c r="E63" s="950" t="s">
        <v>788</v>
      </c>
      <c r="F63" s="303">
        <f t="shared" ca="1" si="0"/>
        <v>2561.1</v>
      </c>
      <c r="I63" s="1462" t="s">
        <v>864</v>
      </c>
      <c r="J63" s="1463">
        <v>70</v>
      </c>
      <c r="K63" s="1463">
        <v>50</v>
      </c>
      <c r="L63" s="1463">
        <v>80</v>
      </c>
      <c r="M63" s="1465">
        <v>0.02</v>
      </c>
      <c r="O63" s="1403" t="s">
        <v>865</v>
      </c>
      <c r="P63" s="1381"/>
      <c r="Q63" s="1381"/>
      <c r="R63" s="1381"/>
    </row>
    <row r="64" spans="1:18" s="1384" customFormat="1" ht="13.5" thickBot="1">
      <c r="A64" s="982" t="s">
        <v>402</v>
      </c>
      <c r="B64" s="950" t="s">
        <v>790</v>
      </c>
      <c r="C64" s="21">
        <f ca="1">ROUND(C57*F64,2)</f>
        <v>71.22</v>
      </c>
      <c r="D64" s="964" t="s">
        <v>771</v>
      </c>
      <c r="E64" s="950" t="s">
        <v>783</v>
      </c>
      <c r="F64" s="328">
        <f t="shared" ca="1" si="0"/>
        <v>7.0000000000000001E-3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8.34</v>
      </c>
      <c r="D65" s="964" t="s">
        <v>743</v>
      </c>
      <c r="E65" s="950" t="s">
        <v>744</v>
      </c>
      <c r="F65" s="330">
        <f t="shared" ca="1" si="0"/>
        <v>1E-3</v>
      </c>
      <c r="I65" s="1462" t="s">
        <v>867</v>
      </c>
      <c r="J65" s="1463">
        <v>40</v>
      </c>
      <c r="K65" s="1463">
        <v>30</v>
      </c>
      <c r="L65" s="1463">
        <v>50</v>
      </c>
      <c r="M65" s="1465">
        <v>0.02</v>
      </c>
      <c r="O65" s="1418" t="s">
        <v>403</v>
      </c>
      <c r="P65" s="1419" t="s">
        <v>868</v>
      </c>
      <c r="Q65" s="1420">
        <f ca="1">C40+J29</f>
        <v>47539</v>
      </c>
      <c r="R65" s="1420" t="s">
        <v>818</v>
      </c>
    </row>
    <row r="66" spans="1:18" s="1384" customFormat="1" ht="16.5" thickBot="1">
      <c r="A66" s="982" t="s">
        <v>793</v>
      </c>
      <c r="B66" s="950" t="s">
        <v>728</v>
      </c>
      <c r="C66" s="21">
        <f ca="1">ROUND(C48*F66,2)</f>
        <v>0</v>
      </c>
      <c r="D66" s="964" t="s">
        <v>748</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-88</v>
      </c>
      <c r="D67" s="963" t="s">
        <v>753</v>
      </c>
      <c r="E67" s="968"/>
      <c r="F67" s="969"/>
      <c r="O67" s="1428" t="s">
        <v>405</v>
      </c>
      <c r="P67" s="1419" t="s">
        <v>850</v>
      </c>
      <c r="Q67" s="1466">
        <f ca="1">L51</f>
        <v>39792</v>
      </c>
      <c r="R67" s="1420" t="s">
        <v>870</v>
      </c>
    </row>
    <row r="68" spans="1:18" s="1384" customFormat="1" ht="16.5" thickBot="1">
      <c r="A68" s="947" t="s">
        <v>395</v>
      </c>
      <c r="B68" s="948" t="s">
        <v>774</v>
      </c>
      <c r="C68" s="301">
        <f ca="1">ROUND(C67*(1-((1+F70)/(1+F68))^F69)/(F68-F70),0)</f>
        <v>-1174</v>
      </c>
      <c r="D68" s="965" t="s">
        <v>758</v>
      </c>
      <c r="E68" s="950" t="s">
        <v>759</v>
      </c>
      <c r="F68" s="312">
        <f ca="1">F40</f>
        <v>5.5E-2</v>
      </c>
      <c r="O68" s="1428" t="s">
        <v>406</v>
      </c>
      <c r="P68" s="1467" t="s">
        <v>871</v>
      </c>
      <c r="Q68" s="1420">
        <f ca="1">ROUND(Q69-Q70*Q71,0)</f>
        <v>2213</v>
      </c>
      <c r="R68" s="1420" t="s">
        <v>414</v>
      </c>
    </row>
    <row r="69" spans="1:18" s="1384" customFormat="1" ht="13.5" thickBot="1">
      <c r="A69" s="951"/>
      <c r="B69" s="952"/>
      <c r="C69" s="306"/>
      <c r="D69" s="970" t="s">
        <v>762</v>
      </c>
      <c r="E69" s="950" t="s">
        <v>763</v>
      </c>
      <c r="F69" s="333">
        <f ca="1">F41</f>
        <v>24.72</v>
      </c>
      <c r="O69" s="1428" t="s">
        <v>411</v>
      </c>
      <c r="P69" s="1467" t="s">
        <v>872</v>
      </c>
      <c r="Q69" s="1420">
        <f ca="1">C39</f>
        <v>2797</v>
      </c>
      <c r="R69" s="1420" t="s">
        <v>818</v>
      </c>
    </row>
    <row r="70" spans="1:18" s="1384" customFormat="1" ht="13.5" thickBot="1">
      <c r="A70" s="954"/>
      <c r="B70" s="955"/>
      <c r="C70" s="310"/>
      <c r="D70" s="966"/>
      <c r="E70" s="950" t="s">
        <v>766</v>
      </c>
      <c r="F70" s="1054"/>
      <c r="O70" s="1428" t="s">
        <v>412</v>
      </c>
      <c r="P70" s="1467" t="s">
        <v>873</v>
      </c>
      <c r="Q70" s="1420">
        <f ca="1">C13</f>
        <v>8343</v>
      </c>
      <c r="R70" s="1420" t="s">
        <v>818</v>
      </c>
    </row>
    <row r="71" spans="1:18" s="1384" customFormat="1" ht="13.5" thickBot="1">
      <c r="A71" s="971" t="s">
        <v>396</v>
      </c>
      <c r="B71" s="972" t="s">
        <v>776</v>
      </c>
      <c r="C71" s="336">
        <f ca="1">ROUND(C68*10000/F71,0)</f>
        <v>-760</v>
      </c>
      <c r="D71" s="973" t="s">
        <v>777</v>
      </c>
      <c r="E71" s="974" t="s">
        <v>778</v>
      </c>
      <c r="F71" s="339">
        <f ca="1">F43</f>
        <v>15446.489999999998</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584</v>
      </c>
      <c r="D75" s="1384"/>
      <c r="E75" s="1384"/>
      <c r="F75" s="1384"/>
      <c r="K75" s="1402"/>
      <c r="L75" s="1384"/>
      <c r="O75" s="1418" t="s">
        <v>409</v>
      </c>
      <c r="P75" s="1419" t="s">
        <v>838</v>
      </c>
      <c r="Q75" s="1420">
        <f ca="1">Q65+Q66</f>
        <v>47539</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0.79100000000000004</v>
      </c>
    </row>
    <row r="80" spans="1:18">
      <c r="B80" s="340" t="s">
        <v>800</v>
      </c>
      <c r="C80" s="274">
        <f ca="1">ROUND(C75/C39,3)</f>
        <v>0.20899999999999999</v>
      </c>
    </row>
    <row r="81" spans="2:3">
      <c r="B81" s="270" t="s">
        <v>801</v>
      </c>
      <c r="C81" s="238"/>
    </row>
    <row r="82" spans="2:3">
      <c r="B82" s="273" t="s">
        <v>802</v>
      </c>
      <c r="C82" s="275">
        <f ca="1">1-C83</f>
        <v>0.82499999999999996</v>
      </c>
    </row>
    <row r="83" spans="2:3">
      <c r="B83" s="273" t="s">
        <v>803</v>
      </c>
      <c r="C83" s="274">
        <f ca="1">ROUND(C13/C40,3)</f>
        <v>0.17499999999999999</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46" priority="4">
      <formula>$L$48&gt;$J$51</formula>
    </cfRule>
  </conditionalFormatting>
  <conditionalFormatting sqref="I55 I60">
    <cfRule type="expression" dxfId="145" priority="5">
      <formula>$J$51&gt;$L$48</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2" zoomScale="85" zoomScaleNormal="70" zoomScaleSheetLayoutView="85" workbookViewId="0">
      <selection activeCell="D19" sqref="D1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3457</v>
      </c>
      <c r="D1" s="1362" t="s">
        <v>43</v>
      </c>
      <c r="E1" s="1363" t="s">
        <v>678</v>
      </c>
      <c r="F1" s="1062">
        <f ca="1">J53</f>
        <v>34.729999999999997</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7889</v>
      </c>
      <c r="C2" s="1387" t="s">
        <v>805</v>
      </c>
      <c r="D2" s="1387"/>
      <c r="E2" s="1388"/>
      <c r="F2" s="1389"/>
      <c r="G2" s="2706"/>
      <c r="H2" s="2695"/>
      <c r="I2" s="2695"/>
      <c r="J2" s="2695"/>
      <c r="K2" s="2696"/>
      <c r="L2" s="2695"/>
      <c r="M2" s="2695"/>
    </row>
    <row r="3" spans="1:37" ht="18" customHeight="1" thickBot="1">
      <c r="A3" s="1390" t="s">
        <v>806</v>
      </c>
      <c r="B3" s="1391">
        <f ca="1">IF(ISERROR(B2*10000/F43),0,ROUND(B2*10000/F43,0))</f>
        <v>3688</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513</v>
      </c>
      <c r="D5" s="1364" t="s">
        <v>693</v>
      </c>
      <c r="E5" s="1071"/>
      <c r="F5" s="1072"/>
      <c r="G5" s="1384"/>
      <c r="H5" s="299">
        <v>1</v>
      </c>
      <c r="I5" s="300" t="s">
        <v>692</v>
      </c>
      <c r="J5" s="1070">
        <f ca="1">J6+J10+J12</f>
        <v>854</v>
      </c>
      <c r="K5" s="1364" t="s">
        <v>693</v>
      </c>
      <c r="L5" s="1071"/>
      <c r="M5" s="1072"/>
    </row>
    <row r="6" spans="1:37" ht="18" customHeight="1">
      <c r="A6" s="1069" t="s">
        <v>398</v>
      </c>
      <c r="B6" s="3726" t="s">
        <v>694</v>
      </c>
      <c r="C6" s="1074">
        <f ca="1">ROUND(F6*F8*F7*(1-F9)/10000,0)</f>
        <v>513</v>
      </c>
      <c r="D6" s="155" t="s">
        <v>2109</v>
      </c>
      <c r="E6" s="302" t="s">
        <v>696</v>
      </c>
      <c r="F6" s="303">
        <f ca="1">INDIRECT("'数据-取费表'!u"&amp;$G$1)</f>
        <v>1027</v>
      </c>
      <c r="G6" s="1384"/>
      <c r="H6" s="1069" t="s">
        <v>398</v>
      </c>
      <c r="I6" s="3726" t="s">
        <v>694</v>
      </c>
      <c r="J6" s="301">
        <f ca="1">ROUND(M6*M8*M7*(1-M9)/10000,0)</f>
        <v>854</v>
      </c>
      <c r="K6" s="155" t="s">
        <v>2108</v>
      </c>
      <c r="L6" s="302" t="s">
        <v>696</v>
      </c>
      <c r="M6" s="303">
        <f ca="1">INDIRECT("'数据-取费表'!z"&amp;$G$1)</f>
        <v>1800</v>
      </c>
    </row>
    <row r="7" spans="1:37" ht="18" customHeight="1">
      <c r="A7" s="1073"/>
      <c r="B7" s="3727"/>
      <c r="C7" s="1075"/>
      <c r="D7" s="307"/>
      <c r="E7" s="3452" t="s">
        <v>697</v>
      </c>
      <c r="F7" s="303">
        <f ca="1">IF(INDIRECT("'数据-取费表'!ah"&amp;$G$1)="",INDIRECT("'数据-取费表'!k"&amp;$G$1),INDIRECT("'数据-取费表'!ah"&amp;$G$1))</f>
        <v>416</v>
      </c>
      <c r="G7" s="1384"/>
      <c r="H7" s="304"/>
      <c r="I7" s="3727"/>
      <c r="J7" s="306"/>
      <c r="K7" s="307"/>
      <c r="L7" s="302" t="s">
        <v>697</v>
      </c>
      <c r="M7" s="303">
        <f ca="1">F7</f>
        <v>416</v>
      </c>
    </row>
    <row r="8" spans="1:37" ht="18" customHeight="1">
      <c r="A8" s="304"/>
      <c r="B8" s="3727"/>
      <c r="C8" s="306"/>
      <c r="D8" s="307"/>
      <c r="E8" s="302" t="s">
        <v>698</v>
      </c>
      <c r="F8" s="303">
        <f ca="1">INDIRECT("'数据-取费表'!ai"&amp;$G$1)</f>
        <v>12</v>
      </c>
      <c r="G8" s="1384"/>
      <c r="H8" s="304"/>
      <c r="I8" s="3727"/>
      <c r="J8" s="306"/>
      <c r="K8" s="307"/>
      <c r="L8" s="302" t="s">
        <v>698</v>
      </c>
      <c r="M8" s="303">
        <f ca="1">INDIRECT("'数据-取费表'!ai"&amp;$G$1)</f>
        <v>12</v>
      </c>
    </row>
    <row r="9" spans="1:37" ht="18" customHeight="1">
      <c r="A9" s="304"/>
      <c r="B9" s="3728"/>
      <c r="C9" s="306"/>
      <c r="D9" s="307"/>
      <c r="E9" s="302" t="s">
        <v>699</v>
      </c>
      <c r="F9" s="312">
        <f ca="1">INDIRECT("'数据-取费表'!w"&amp;$G$1)</f>
        <v>0</v>
      </c>
      <c r="G9" s="1384"/>
      <c r="H9" s="304"/>
      <c r="I9" s="3728"/>
      <c r="J9" s="306"/>
      <c r="K9" s="307"/>
      <c r="L9" s="313" t="s">
        <v>699</v>
      </c>
      <c r="M9" s="314">
        <f ca="1">INDIRECT("'数据-取费表'!ab"&amp;$G$1)</f>
        <v>0.05</v>
      </c>
    </row>
    <row r="10" spans="1:37" ht="18" customHeight="1">
      <c r="A10" s="1069" t="s">
        <v>402</v>
      </c>
      <c r="B10" s="1365" t="s">
        <v>700</v>
      </c>
      <c r="C10" s="316">
        <f ca="1">ROUND(IF(F10="押一",C6/12*F11,IF(F10="押二",C6/12*2*F11,IF(F10="押三",C6/12*3*F11,C11*F11))),0)</f>
        <v>0</v>
      </c>
      <c r="D10" s="1366" t="s">
        <v>2116</v>
      </c>
      <c r="E10" s="313" t="s">
        <v>701</v>
      </c>
      <c r="F10" s="1116" t="s">
        <v>3561</v>
      </c>
      <c r="G10" s="1384"/>
      <c r="H10" s="1069" t="s">
        <v>402</v>
      </c>
      <c r="I10" s="1365" t="s">
        <v>700</v>
      </c>
      <c r="J10" s="301">
        <f ca="1">ROUND(IF(M10="押一",J6/12*M11,IF(M10="押二",J6/12*2*M11,IF(M10="押三",J6/12*3*M11,J11*M11))),0)</f>
        <v>0</v>
      </c>
      <c r="K10" s="1366" t="s">
        <v>2116</v>
      </c>
      <c r="L10" s="313" t="s">
        <v>701</v>
      </c>
      <c r="M10" s="1116" t="s">
        <v>3561</v>
      </c>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9889</v>
      </c>
      <c r="D13" s="3449" t="s">
        <v>705</v>
      </c>
      <c r="E13" s="3449" t="s">
        <v>706</v>
      </c>
      <c r="F13" s="1082">
        <f ca="1">INDIRECT("'数据-取费表'!y"&amp;$G$1)</f>
        <v>0.82</v>
      </c>
      <c r="G13" s="1384"/>
      <c r="H13" s="1079">
        <v>2</v>
      </c>
      <c r="I13" s="1080" t="s">
        <v>704</v>
      </c>
      <c r="J13" s="1068">
        <f ca="1">ROUND(J14*J15,0)</f>
        <v>7839</v>
      </c>
      <c r="K13" s="1087" t="s">
        <v>705</v>
      </c>
      <c r="L13" s="1392"/>
      <c r="M13" s="1393"/>
    </row>
    <row r="14" spans="1:37" ht="18" customHeight="1">
      <c r="A14" s="982" t="s">
        <v>397</v>
      </c>
      <c r="B14" s="302" t="s">
        <v>707</v>
      </c>
      <c r="C14" s="318">
        <f ca="1">INDIRECT("'数据-取费表'!m"&amp;$G$1)+INDIRECT("'数据-取费表'!t"&amp;$G$1)</f>
        <v>8635</v>
      </c>
      <c r="D14" s="3455" t="s">
        <v>708</v>
      </c>
      <c r="E14" s="3454"/>
      <c r="F14" s="319"/>
      <c r="G14" s="1384"/>
      <c r="H14" s="982" t="s">
        <v>398</v>
      </c>
      <c r="I14" s="302" t="s">
        <v>709</v>
      </c>
      <c r="J14" s="21">
        <f ca="1">C29</f>
        <v>12060</v>
      </c>
      <c r="K14" s="3451"/>
      <c r="L14" s="807"/>
      <c r="M14" s="808"/>
    </row>
    <row r="15" spans="1:37" s="1397" customFormat="1" ht="18" customHeight="1" thickBot="1">
      <c r="A15" s="982" t="s">
        <v>399</v>
      </c>
      <c r="B15" s="302" t="s">
        <v>710</v>
      </c>
      <c r="C15" s="21">
        <f ca="1">ROUND(C14*F15,0)</f>
        <v>432</v>
      </c>
      <c r="D15" s="3450" t="s">
        <v>711</v>
      </c>
      <c r="E15" s="3450" t="s">
        <v>712</v>
      </c>
      <c r="F15" s="321">
        <f>'数据-取费表'!B33</f>
        <v>0.05</v>
      </c>
      <c r="G15" s="1396"/>
      <c r="H15" s="1089" t="s">
        <v>402</v>
      </c>
      <c r="I15" s="1090" t="s">
        <v>706</v>
      </c>
      <c r="J15" s="1099">
        <f ca="1">INDIRECT("'数据-取费表'!ad"&amp;$G$1)</f>
        <v>0.65</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226</v>
      </c>
      <c r="K16" s="1087" t="s">
        <v>715</v>
      </c>
      <c r="L16" s="3457"/>
      <c r="M16" s="1072"/>
    </row>
    <row r="17" spans="1:37" s="1397" customFormat="1" ht="18" customHeight="1">
      <c r="A17" s="982" t="s">
        <v>681</v>
      </c>
      <c r="B17" s="302" t="s">
        <v>716</v>
      </c>
      <c r="C17" s="21">
        <f ca="1">ROUND(F17*(F43+INDIRECT("'数据-取费表'!S"&amp;$G$1))/10000,0)</f>
        <v>432</v>
      </c>
      <c r="D17" s="302" t="s">
        <v>717</v>
      </c>
      <c r="E17" s="302" t="s">
        <v>718</v>
      </c>
      <c r="F17" s="23">
        <f>'数据-取费表'!B35</f>
        <v>200</v>
      </c>
      <c r="G17" s="1396"/>
      <c r="H17" s="982" t="s">
        <v>398</v>
      </c>
      <c r="I17" s="302" t="s">
        <v>719</v>
      </c>
      <c r="J17" s="2316">
        <f ca="1">ROUND(IF(AND(项目基本情况!B11="自然人",项目基本情况!B10="北京市"),J6*M17/(1+'数据-取费表'!C42),J18+J19+J20),2)</f>
        <v>153.79</v>
      </c>
      <c r="K17" s="3455" t="s">
        <v>720</v>
      </c>
      <c r="L17" s="3456"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130</v>
      </c>
      <c r="D18" s="302" t="s">
        <v>711</v>
      </c>
      <c r="E18" s="302" t="s">
        <v>712</v>
      </c>
      <c r="F18" s="322">
        <f>'数据-取费表'!B36</f>
        <v>1.4999999999999999E-2</v>
      </c>
      <c r="G18" s="1396"/>
      <c r="H18" s="982" t="s">
        <v>397</v>
      </c>
      <c r="I18" s="302" t="s">
        <v>723</v>
      </c>
      <c r="J18" s="21">
        <f ca="1">ROUND(J6*M18/(1+'数据-取费表'!C42),2)</f>
        <v>45.55</v>
      </c>
      <c r="K18" s="3456"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9629</v>
      </c>
      <c r="D19" s="131" t="s">
        <v>726</v>
      </c>
      <c r="E19" s="3459"/>
      <c r="F19" s="23"/>
      <c r="G19" s="1384"/>
      <c r="H19" s="982" t="s">
        <v>399</v>
      </c>
      <c r="I19" s="302" t="s">
        <v>727</v>
      </c>
      <c r="J19" s="21">
        <f ca="1">IF(K19="按租金收入计税",ROUND(J6*M19/(1+'数据-取费表'!C42),2),ROUND(C29*M19*0.7,2))</f>
        <v>97.6</v>
      </c>
      <c r="K19" s="1370" t="s">
        <v>3340</v>
      </c>
      <c r="L19" s="302" t="s">
        <v>712</v>
      </c>
      <c r="M19" s="322">
        <f>IF(K19="按租金收入计税",'数据-取费表'!B51,'数据-取费表'!B50)</f>
        <v>0.12</v>
      </c>
    </row>
    <row r="20" spans="1:37" s="1397" customFormat="1" ht="18" customHeight="1">
      <c r="A20" s="982" t="s">
        <v>402</v>
      </c>
      <c r="B20" s="302" t="s">
        <v>728</v>
      </c>
      <c r="C20" s="21">
        <f ca="1">ROUND(C19*F20,0)</f>
        <v>193</v>
      </c>
      <c r="D20" s="2428" t="s">
        <v>729</v>
      </c>
      <c r="E20" s="302" t="s">
        <v>712</v>
      </c>
      <c r="F20" s="322">
        <f>'数据-取费表'!B37</f>
        <v>0.02</v>
      </c>
      <c r="G20" s="1396"/>
      <c r="H20" s="982" t="s">
        <v>680</v>
      </c>
      <c r="I20" s="155" t="s">
        <v>730</v>
      </c>
      <c r="J20" s="22">
        <f ca="1">ROUND(M20*M21/10000,2)</f>
        <v>10.64</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3547.1099999999997</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59"/>
      <c r="F22" s="23"/>
      <c r="G22" s="1384"/>
      <c r="H22" s="982" t="s">
        <v>402</v>
      </c>
      <c r="I22" s="302" t="s">
        <v>738</v>
      </c>
      <c r="J22" s="21">
        <f ca="1">ROUND(J14*M22,2)</f>
        <v>60.3</v>
      </c>
      <c r="K22" s="3456"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339</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7.84</v>
      </c>
      <c r="K23" s="3456"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f ca="1">ROUND(J5*M24,2)</f>
        <v>4.2699999999999996</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59"/>
      <c r="F25" s="23"/>
      <c r="G25" s="1384"/>
      <c r="H25" s="1079" t="s">
        <v>394</v>
      </c>
      <c r="I25" s="1094" t="s">
        <v>752</v>
      </c>
      <c r="J25" s="310">
        <f ca="1">J5-J16</f>
        <v>628</v>
      </c>
      <c r="K25" s="1095" t="s">
        <v>753</v>
      </c>
      <c r="L25" s="1096"/>
      <c r="M25" s="1097"/>
    </row>
    <row r="26" spans="1:37">
      <c r="A26" s="982" t="s">
        <v>397</v>
      </c>
      <c r="B26" s="302" t="s">
        <v>754</v>
      </c>
      <c r="C26" s="21">
        <f ca="1">ROUND((C19+C20)*F26,0)</f>
        <v>982</v>
      </c>
      <c r="D26" s="2428" t="s">
        <v>755</v>
      </c>
      <c r="E26" s="313" t="s">
        <v>756</v>
      </c>
      <c r="F26" s="312">
        <f ca="1">INDIRECT("'数据-取费表'!q"&amp;$G$1)</f>
        <v>0.1</v>
      </c>
      <c r="G26" s="1384"/>
      <c r="H26" s="299" t="s">
        <v>395</v>
      </c>
      <c r="I26" s="300" t="s">
        <v>757</v>
      </c>
      <c r="J26" s="301">
        <f ca="1">IF(J5&lt;&gt;0,ROUND(J25*(1-((1+M28)/(1+M26))^M27)/(M26-M28),0),0)</f>
        <v>8363</v>
      </c>
      <c r="K26" s="324" t="s">
        <v>758</v>
      </c>
      <c r="L26" s="302" t="s">
        <v>759</v>
      </c>
      <c r="M26" s="312">
        <f ca="1">INDIRECT("'数据-取费表'!I"&amp;$G$1)</f>
        <v>0.05</v>
      </c>
    </row>
    <row r="27" spans="1:37" ht="18" customHeight="1">
      <c r="A27" s="982" t="s">
        <v>399</v>
      </c>
      <c r="B27" s="302" t="s">
        <v>760</v>
      </c>
      <c r="C27" s="21">
        <f ca="1">ROUND(F21*F26,4)</f>
        <v>2E-3</v>
      </c>
      <c r="D27" s="2428" t="s">
        <v>761</v>
      </c>
      <c r="E27" s="3450"/>
      <c r="F27" s="321"/>
      <c r="G27" s="1384"/>
      <c r="H27" s="304"/>
      <c r="I27" s="305"/>
      <c r="J27" s="306"/>
      <c r="K27" s="332" t="s">
        <v>762</v>
      </c>
      <c r="L27" s="302" t="s">
        <v>763</v>
      </c>
      <c r="M27" s="333">
        <f ca="1">INDIRECT("'数据-取费表'!ag"&amp;$G$1)</f>
        <v>16.799999999999997</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2.5000000000000001E-2</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12060</v>
      </c>
      <c r="D29" s="1092"/>
      <c r="E29" s="1090"/>
      <c r="F29" s="1093"/>
      <c r="G29" s="1396"/>
      <c r="H29" s="334" t="s">
        <v>396</v>
      </c>
      <c r="I29" s="335" t="s">
        <v>768</v>
      </c>
      <c r="J29" s="336">
        <f ca="1">ROUND(J26/(1+F40)^F41,0)</f>
        <v>3487</v>
      </c>
      <c r="K29" s="337" t="s">
        <v>769</v>
      </c>
      <c r="L29" s="338"/>
      <c r="M29" s="339">
        <f ca="1">INDIRECT("'数据-取费表'!k"&amp;$G$1)</f>
        <v>21393.3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169</v>
      </c>
      <c r="D30" s="1087" t="s">
        <v>715</v>
      </c>
      <c r="E30" s="3457"/>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96.63</v>
      </c>
      <c r="D31" s="3455" t="s">
        <v>720</v>
      </c>
      <c r="E31" s="3456"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IF(项目基本情况!B11="自然人","——",ROUND(C6*F32/(1+'数据-取费表'!C42),2))</f>
        <v>27.36</v>
      </c>
      <c r="D32" s="3456"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58.63</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10.64</v>
      </c>
      <c r="D34" s="324" t="s">
        <v>731</v>
      </c>
      <c r="E34" s="302" t="s">
        <v>732</v>
      </c>
      <c r="F34" s="325">
        <f>'数据-取费表'!B52</f>
        <v>30</v>
      </c>
      <c r="G34" s="1384"/>
      <c r="H34" s="2697"/>
      <c r="I34" s="1398"/>
      <c r="J34" s="1399"/>
      <c r="K34" s="2702"/>
      <c r="L34" s="2703"/>
      <c r="M34" s="2703"/>
    </row>
    <row r="35" spans="1:18" ht="18" customHeight="1">
      <c r="A35" s="1103"/>
      <c r="B35" s="1101"/>
      <c r="C35" s="26"/>
      <c r="D35" s="327"/>
      <c r="E35" s="302" t="s">
        <v>736</v>
      </c>
      <c r="F35" s="303">
        <f ca="1">INDIRECT("'数据-取费表'!r"&amp;$G$1)</f>
        <v>3547.1099999999997</v>
      </c>
      <c r="G35" s="1384"/>
      <c r="H35" s="2697"/>
      <c r="I35" s="1398"/>
      <c r="J35" s="1399"/>
      <c r="K35" s="2701"/>
      <c r="L35" s="2700"/>
      <c r="M35" s="2700"/>
    </row>
    <row r="36" spans="1:18" ht="18" customHeight="1">
      <c r="A36" s="1102" t="s">
        <v>402</v>
      </c>
      <c r="B36" s="302" t="s">
        <v>738</v>
      </c>
      <c r="C36" s="21">
        <f ca="1">ROUND(C29*F36,2)</f>
        <v>60.3</v>
      </c>
      <c r="D36" s="3456"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ROUND(C13*F37,2)</f>
        <v>9.89</v>
      </c>
      <c r="D37" s="3456" t="s">
        <v>743</v>
      </c>
      <c r="E37" s="302" t="s">
        <v>744</v>
      </c>
      <c r="F37" s="330">
        <f ca="1">INDIRECT("'数据-取费表'!Al"&amp;$G$1)</f>
        <v>1E-3</v>
      </c>
      <c r="G37" s="1384"/>
      <c r="H37" s="2700"/>
      <c r="I37" s="1398"/>
      <c r="J37" s="1399"/>
      <c r="K37" s="2544"/>
      <c r="L37" s="2700"/>
      <c r="M37" s="2700"/>
    </row>
    <row r="38" spans="1:18" ht="18" customHeight="1" thickBot="1">
      <c r="A38" s="1089" t="s">
        <v>683</v>
      </c>
      <c r="B38" s="1090" t="s">
        <v>728</v>
      </c>
      <c r="C38" s="1091">
        <f ca="1">ROUND(C5*F38,2)</f>
        <v>2.57</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752</v>
      </c>
      <c r="C39" s="310">
        <f ca="1">C5-C30</f>
        <v>344</v>
      </c>
      <c r="D39" s="1095" t="s">
        <v>773</v>
      </c>
      <c r="E39" s="1096"/>
      <c r="F39" s="1097"/>
      <c r="G39" s="1384"/>
      <c r="H39" s="2700"/>
      <c r="I39" s="1398"/>
      <c r="J39" s="1399"/>
      <c r="K39" s="2704"/>
      <c r="L39" s="2700"/>
      <c r="M39" s="2700"/>
    </row>
    <row r="40" spans="1:18" ht="18" customHeight="1">
      <c r="A40" s="299" t="s">
        <v>395</v>
      </c>
      <c r="B40" s="300" t="s">
        <v>774</v>
      </c>
      <c r="C40" s="301">
        <f ca="1">ROUND(C39*(1-((1+F42)/(1+F40))^F41)/(F40-F42),0)</f>
        <v>4011</v>
      </c>
      <c r="D40" s="324" t="s">
        <v>758</v>
      </c>
      <c r="E40" s="302" t="s">
        <v>759</v>
      </c>
      <c r="F40" s="312">
        <f ca="1">INDIRECT("'数据-取费表'!I"&amp;$G$1)</f>
        <v>0.05</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17.93</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f ca="1">ROUND(C40*10000/F43,0)</f>
        <v>1875</v>
      </c>
      <c r="D43" s="337" t="s">
        <v>777</v>
      </c>
      <c r="E43" s="338" t="s">
        <v>778</v>
      </c>
      <c r="F43" s="339">
        <f ca="1">INDIRECT("'数据-取费表'!k"&amp;$G$1)</f>
        <v>21393.3</v>
      </c>
      <c r="G43" s="1384"/>
      <c r="H43" s="1191"/>
      <c r="I43" s="1191"/>
      <c r="J43" s="1191"/>
      <c r="K43" s="2544"/>
      <c r="L43" s="1191"/>
      <c r="M43" s="1191"/>
    </row>
    <row r="44" spans="1:18" s="1384" customFormat="1" ht="18" customHeight="1">
      <c r="A44" s="1400"/>
      <c r="B44" s="1400"/>
      <c r="C44" s="1401">
        <f ca="1">C40/416</f>
        <v>9.6418269230769234</v>
      </c>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-4956</v>
      </c>
      <c r="D46" s="1406" t="str">
        <f>C2</f>
        <v>万元</v>
      </c>
      <c r="E46" s="1400"/>
      <c r="F46" s="1400"/>
      <c r="I46" s="1407" t="s">
        <v>810</v>
      </c>
      <c r="J46" s="1408"/>
      <c r="K46" s="1409"/>
      <c r="L46" s="1410">
        <f ca="1">IF(M47="住宅",0,IF(L48&gt;J51,L60,J60))</f>
        <v>391</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3542</v>
      </c>
      <c r="K47" s="1416" t="s">
        <v>816</v>
      </c>
      <c r="L47" s="1417">
        <f ca="1">INDIRECT("'数据-取费表'!d"&amp;$G$1)</f>
        <v>50</v>
      </c>
      <c r="M47" s="1380" t="str">
        <f>IF(ISNUMBER(FIND("住宅",C1)),"住宅","非住宅")</f>
        <v>非住宅</v>
      </c>
      <c r="O47" s="1418" t="s">
        <v>403</v>
      </c>
      <c r="P47" s="1419" t="s">
        <v>817</v>
      </c>
      <c r="Q47" s="1420">
        <f ca="1">C40+J29</f>
        <v>7498</v>
      </c>
      <c r="R47" s="1420" t="s">
        <v>818</v>
      </c>
    </row>
    <row r="48" spans="1:18" s="1384" customFormat="1" ht="28.5" thickBot="1">
      <c r="A48" s="1110" t="s">
        <v>438</v>
      </c>
      <c r="B48" s="300" t="s">
        <v>692</v>
      </c>
      <c r="C48" s="3458">
        <f ca="1">C49+C53+C55</f>
        <v>0</v>
      </c>
      <c r="D48" s="1112"/>
      <c r="E48" s="1113"/>
      <c r="F48" s="962"/>
      <c r="G48" s="722"/>
      <c r="H48" s="723"/>
      <c r="I48" s="1421" t="s">
        <v>819</v>
      </c>
      <c r="J48" s="1422" t="s">
        <v>3563</v>
      </c>
      <c r="K48" s="1423" t="s">
        <v>820</v>
      </c>
      <c r="L48" s="1424">
        <f ca="1">INDIRECT("'数据-取费表'!f"&amp;$G$1)</f>
        <v>34.729999999999997</v>
      </c>
      <c r="O48" s="1418" t="s">
        <v>404</v>
      </c>
      <c r="P48" s="1419" t="s">
        <v>821</v>
      </c>
      <c r="Q48" s="1420">
        <f ca="1">J60</f>
        <v>391</v>
      </c>
      <c r="R48" s="1420" t="s">
        <v>822</v>
      </c>
    </row>
    <row r="49" spans="1:18" s="1384" customFormat="1" ht="13.5" thickBot="1">
      <c r="A49" s="975" t="s">
        <v>439</v>
      </c>
      <c r="B49" s="1371" t="s">
        <v>779</v>
      </c>
      <c r="C49" s="1114">
        <f ca="1">ROUND(F49*F51*F50*(1-F52)/10000,0)</f>
        <v>0</v>
      </c>
      <c r="D49" s="1055" t="s">
        <v>2108</v>
      </c>
      <c r="E49" s="1372" t="s">
        <v>780</v>
      </c>
      <c r="F49" s="1060"/>
      <c r="G49" s="1425"/>
      <c r="H49" s="723"/>
      <c r="I49" s="1421" t="s">
        <v>823</v>
      </c>
      <c r="J49" s="1426">
        <v>2011</v>
      </c>
      <c r="K49" s="1423" t="s">
        <v>824</v>
      </c>
      <c r="L49" s="1427"/>
      <c r="O49" s="1428" t="s">
        <v>405</v>
      </c>
      <c r="P49" s="1419" t="s">
        <v>825</v>
      </c>
      <c r="Q49" s="1420">
        <f ca="1">C29</f>
        <v>12060</v>
      </c>
      <c r="R49" s="1420" t="s">
        <v>818</v>
      </c>
    </row>
    <row r="50" spans="1:18" s="1384" customFormat="1" ht="13.5" thickBot="1">
      <c r="A50" s="976"/>
      <c r="B50" s="979"/>
      <c r="C50" s="1118"/>
      <c r="D50" s="953"/>
      <c r="E50" s="1056" t="s">
        <v>697</v>
      </c>
      <c r="F50" s="1057">
        <f ca="1">F7</f>
        <v>416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12</v>
      </c>
      <c r="I51" s="1432" t="s">
        <v>829</v>
      </c>
      <c r="J51" s="1433">
        <f>IF(J49="",J50,J49+J50-YEAR('数据-取费表'!B2))</f>
        <v>47</v>
      </c>
      <c r="K51" s="1434" t="s">
        <v>830</v>
      </c>
      <c r="L51" s="1435">
        <f ca="1">ROUND(-PV(INDIRECT("'数据-取费表'!h"&amp;$G$1),J51,(C39-C13*C76),0),0)</f>
        <v>-6761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34.729999999999997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34.729999999999997</v>
      </c>
      <c r="K53" s="3724" t="s">
        <v>837</v>
      </c>
      <c r="L53" s="3725"/>
      <c r="O53" s="1418" t="s">
        <v>409</v>
      </c>
      <c r="P53" s="1419" t="s">
        <v>838</v>
      </c>
      <c r="Q53" s="1420">
        <f ca="1">Q47+Q48</f>
        <v>7889</v>
      </c>
      <c r="R53" s="1420" t="s">
        <v>410</v>
      </c>
    </row>
    <row r="54" spans="1:18" s="1384" customFormat="1" ht="13.5" thickBot="1">
      <c r="A54" s="1153"/>
      <c r="B54" s="1367" t="s">
        <v>679</v>
      </c>
      <c r="C54" s="959"/>
      <c r="D54" s="1366"/>
      <c r="E54" s="3453"/>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3"/>
      <c r="F55" s="1440"/>
      <c r="I55" s="1443" t="s">
        <v>840</v>
      </c>
      <c r="J55" s="1444">
        <f ca="1">ROUND(IF(J47="钢混",J57/J50,1-(1-2%)*(J50-J57)/J50),3)</f>
        <v>0.20499999999999999</v>
      </c>
      <c r="K55" s="1445" t="s">
        <v>841</v>
      </c>
      <c r="L55" s="1446"/>
      <c r="O55" s="1411" t="s">
        <v>811</v>
      </c>
      <c r="P55" s="1412" t="s">
        <v>812</v>
      </c>
      <c r="Q55" s="1413" t="s">
        <v>813</v>
      </c>
      <c r="R55" s="1413" t="s">
        <v>814</v>
      </c>
    </row>
    <row r="56" spans="1:18" s="1384" customFormat="1" ht="25.5" thickTop="1" thickBot="1">
      <c r="A56" s="957">
        <v>2</v>
      </c>
      <c r="B56" s="958" t="s">
        <v>704</v>
      </c>
      <c r="C56" s="232">
        <f ca="1">C13</f>
        <v>9889</v>
      </c>
      <c r="D56" s="1447"/>
      <c r="E56" s="1448"/>
      <c r="F56" s="1440"/>
      <c r="I56" s="1449" t="s">
        <v>842</v>
      </c>
      <c r="J56" s="1450" t="s">
        <v>3564</v>
      </c>
      <c r="K56" s="1421" t="s">
        <v>843</v>
      </c>
      <c r="L56" s="1424" t="str">
        <f ca="1">IF(L48&lt;J51,"——",L48-J53)</f>
        <v>——</v>
      </c>
      <c r="O56" s="1418" t="s">
        <v>403</v>
      </c>
      <c r="P56" s="1419" t="s">
        <v>817</v>
      </c>
      <c r="Q56" s="1420">
        <f ca="1">C40+J29</f>
        <v>7498</v>
      </c>
      <c r="R56" s="1420" t="s">
        <v>818</v>
      </c>
    </row>
    <row r="57" spans="1:18" s="1384" customFormat="1" ht="24.75" thickBot="1">
      <c r="A57" s="1451"/>
      <c r="B57" s="950" t="s">
        <v>767</v>
      </c>
      <c r="C57" s="238">
        <f ca="1">C29</f>
        <v>12060</v>
      </c>
      <c r="D57" s="1452"/>
      <c r="E57" s="1453"/>
      <c r="F57" s="1454"/>
      <c r="I57" s="1455" t="s">
        <v>844</v>
      </c>
      <c r="J57" s="1456">
        <f ca="1">IF(OR(M47="住宅",J51&lt;L48,J56="是"),"——",J51-L48)</f>
        <v>12.270000000000003</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81</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11</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4824</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391</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730</v>
      </c>
      <c r="C62" s="22">
        <f ca="1">IF(项目基本情况!B11="自然人","——",ROUND(F62*F63/10000,2))</f>
        <v>10.64</v>
      </c>
      <c r="D62" s="965" t="s">
        <v>731</v>
      </c>
      <c r="E62" s="950" t="s">
        <v>732</v>
      </c>
      <c r="F62" s="325">
        <f t="shared" si="0"/>
        <v>30</v>
      </c>
      <c r="I62" s="1462" t="s">
        <v>858</v>
      </c>
      <c r="J62" s="1463" t="s">
        <v>859</v>
      </c>
      <c r="K62" s="1463" t="s">
        <v>860</v>
      </c>
      <c r="L62" s="1463" t="s">
        <v>861</v>
      </c>
      <c r="M62" s="1464" t="s">
        <v>862</v>
      </c>
      <c r="O62" s="1418" t="s">
        <v>409</v>
      </c>
      <c r="P62" s="1419" t="s">
        <v>863</v>
      </c>
      <c r="Q62" s="1420">
        <f ca="1">Q56+Q57</f>
        <v>7498</v>
      </c>
      <c r="R62" s="1420" t="s">
        <v>410</v>
      </c>
    </row>
    <row r="63" spans="1:18" s="1384" customFormat="1" ht="13.5" thickBot="1">
      <c r="A63" s="326"/>
      <c r="B63" s="956"/>
      <c r="C63" s="26"/>
      <c r="D63" s="966"/>
      <c r="E63" s="950" t="s">
        <v>788</v>
      </c>
      <c r="F63" s="303">
        <f t="shared" ca="1" si="0"/>
        <v>3547.1099999999997</v>
      </c>
      <c r="I63" s="1462" t="s">
        <v>864</v>
      </c>
      <c r="J63" s="1463">
        <v>70</v>
      </c>
      <c r="K63" s="1463">
        <v>50</v>
      </c>
      <c r="L63" s="1463">
        <v>80</v>
      </c>
      <c r="M63" s="1465">
        <v>0.02</v>
      </c>
      <c r="O63" s="1403" t="s">
        <v>865</v>
      </c>
      <c r="P63" s="1381"/>
      <c r="Q63" s="1381"/>
      <c r="R63" s="1381"/>
    </row>
    <row r="64" spans="1:18" s="1384" customFormat="1" ht="13.5" thickBot="1">
      <c r="A64" s="982" t="s">
        <v>402</v>
      </c>
      <c r="B64" s="950" t="s">
        <v>790</v>
      </c>
      <c r="C64" s="21">
        <f ca="1">ROUND(C57*F64,2)</f>
        <v>60.3</v>
      </c>
      <c r="D64" s="964" t="s">
        <v>771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9.89</v>
      </c>
      <c r="D65" s="964" t="s">
        <v>743</v>
      </c>
      <c r="E65" s="950" t="s">
        <v>744</v>
      </c>
      <c r="F65" s="330">
        <f t="shared" ca="1" si="0"/>
        <v>1E-3</v>
      </c>
      <c r="I65" s="1462" t="s">
        <v>867</v>
      </c>
      <c r="J65" s="1463">
        <v>40</v>
      </c>
      <c r="K65" s="1463">
        <v>30</v>
      </c>
      <c r="L65" s="1463">
        <v>50</v>
      </c>
      <c r="M65" s="1465">
        <v>0.02</v>
      </c>
      <c r="O65" s="1418" t="s">
        <v>403</v>
      </c>
      <c r="P65" s="1419" t="s">
        <v>868</v>
      </c>
      <c r="Q65" s="1420">
        <f ca="1">C40+J29</f>
        <v>7498</v>
      </c>
      <c r="R65" s="1420" t="s">
        <v>818</v>
      </c>
    </row>
    <row r="66" spans="1:18" s="1384" customFormat="1" ht="16.5" thickBot="1">
      <c r="A66" s="982" t="s">
        <v>793</v>
      </c>
      <c r="B66" s="950" t="s">
        <v>728</v>
      </c>
      <c r="C66" s="21">
        <f ca="1">ROUND(C48*F66,2)</f>
        <v>0</v>
      </c>
      <c r="D66" s="964" t="s">
        <v>748</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-81</v>
      </c>
      <c r="D67" s="963" t="s">
        <v>753</v>
      </c>
      <c r="E67" s="968"/>
      <c r="F67" s="969"/>
      <c r="O67" s="1428" t="s">
        <v>405</v>
      </c>
      <c r="P67" s="1419" t="s">
        <v>850</v>
      </c>
      <c r="Q67" s="1466">
        <f ca="1">L51</f>
        <v>-6761</v>
      </c>
      <c r="R67" s="1420" t="s">
        <v>870</v>
      </c>
    </row>
    <row r="68" spans="1:18" s="1384" customFormat="1" ht="16.5" thickBot="1">
      <c r="A68" s="947" t="s">
        <v>395</v>
      </c>
      <c r="B68" s="948" t="s">
        <v>774</v>
      </c>
      <c r="C68" s="301">
        <f ca="1">ROUND(C67*(1-((1+F70)/(1+F68))^F69)/(F68-F70),0)</f>
        <v>-945</v>
      </c>
      <c r="D68" s="965" t="s">
        <v>758</v>
      </c>
      <c r="E68" s="950" t="s">
        <v>759</v>
      </c>
      <c r="F68" s="312">
        <f ca="1">F40</f>
        <v>0.05</v>
      </c>
      <c r="O68" s="1428" t="s">
        <v>406</v>
      </c>
      <c r="P68" s="1467" t="s">
        <v>871</v>
      </c>
      <c r="Q68" s="1420">
        <f ca="1">ROUND(Q69-Q70*Q71,0)</f>
        <v>-348</v>
      </c>
      <c r="R68" s="1420" t="s">
        <v>414</v>
      </c>
    </row>
    <row r="69" spans="1:18" s="1384" customFormat="1" ht="13.5" thickBot="1">
      <c r="A69" s="951"/>
      <c r="B69" s="952"/>
      <c r="C69" s="306"/>
      <c r="D69" s="970" t="s">
        <v>762</v>
      </c>
      <c r="E69" s="950" t="s">
        <v>763</v>
      </c>
      <c r="F69" s="333">
        <f ca="1">F41</f>
        <v>17.93</v>
      </c>
      <c r="O69" s="1428" t="s">
        <v>411</v>
      </c>
      <c r="P69" s="1467" t="s">
        <v>872</v>
      </c>
      <c r="Q69" s="1420">
        <f ca="1">C39</f>
        <v>344</v>
      </c>
      <c r="R69" s="1420" t="s">
        <v>818</v>
      </c>
    </row>
    <row r="70" spans="1:18" s="1384" customFormat="1" ht="13.5" thickBot="1">
      <c r="A70" s="954"/>
      <c r="B70" s="955"/>
      <c r="C70" s="310"/>
      <c r="D70" s="966"/>
      <c r="E70" s="950" t="s">
        <v>766</v>
      </c>
      <c r="F70" s="1054"/>
      <c r="O70" s="1428" t="s">
        <v>412</v>
      </c>
      <c r="P70" s="1467" t="s">
        <v>873</v>
      </c>
      <c r="Q70" s="1420">
        <f ca="1">C13</f>
        <v>9889</v>
      </c>
      <c r="R70" s="1420" t="s">
        <v>818</v>
      </c>
    </row>
    <row r="71" spans="1:18" s="1384" customFormat="1" ht="13.5" thickBot="1">
      <c r="A71" s="971" t="s">
        <v>396</v>
      </c>
      <c r="B71" s="972" t="s">
        <v>776</v>
      </c>
      <c r="C71" s="336">
        <f ca="1">ROUND(C68*10000/F71,0)</f>
        <v>-442</v>
      </c>
      <c r="D71" s="973" t="s">
        <v>777</v>
      </c>
      <c r="E71" s="974" t="s">
        <v>778</v>
      </c>
      <c r="F71" s="339">
        <f ca="1">F43</f>
        <v>21393.3</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692</v>
      </c>
      <c r="D75" s="1384"/>
      <c r="E75" s="1384"/>
      <c r="F75" s="1384"/>
      <c r="K75" s="1402"/>
      <c r="L75" s="1384"/>
      <c r="O75" s="1418" t="s">
        <v>409</v>
      </c>
      <c r="P75" s="1419" t="s">
        <v>838</v>
      </c>
      <c r="Q75" s="1420">
        <f ca="1">Q65+Q66</f>
        <v>7498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-1.012</v>
      </c>
    </row>
    <row r="80" spans="1:18">
      <c r="B80" s="340" t="s">
        <v>800</v>
      </c>
      <c r="C80" s="274">
        <f ca="1">ROUND(C75/C39,3)</f>
        <v>2.012</v>
      </c>
    </row>
    <row r="81" spans="2:3">
      <c r="B81" s="270" t="s">
        <v>801</v>
      </c>
      <c r="C81" s="238"/>
    </row>
    <row r="82" spans="2:3">
      <c r="B82" s="273" t="s">
        <v>802</v>
      </c>
      <c r="C82" s="275">
        <f ca="1">1-C83</f>
        <v>-1.4649999999999999</v>
      </c>
    </row>
    <row r="83" spans="2:3">
      <c r="B83" s="273" t="s">
        <v>803</v>
      </c>
      <c r="C83" s="274">
        <f ca="1">ROUND(C13/C40,3)</f>
        <v>2.4649999999999999</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68805.62</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91" t="s">
        <v>1667</v>
      </c>
      <c r="D4" s="3692"/>
      <c r="E4" s="3693" t="s">
        <v>1668</v>
      </c>
      <c r="F4" s="3694"/>
      <c r="G4" s="3691" t="s">
        <v>1669</v>
      </c>
      <c r="H4" s="3692"/>
      <c r="I4" s="3691" t="s">
        <v>1670</v>
      </c>
      <c r="J4" s="3692"/>
      <c r="K4" s="1889" t="s">
        <v>1671</v>
      </c>
      <c r="L4" s="2715"/>
      <c r="M4" s="2716"/>
      <c r="N4" s="2716"/>
      <c r="O4" s="2716"/>
      <c r="P4" s="3751" t="s">
        <v>1672</v>
      </c>
      <c r="Q4" s="3752"/>
      <c r="R4" s="3749" t="s">
        <v>1668</v>
      </c>
      <c r="S4" s="3750"/>
      <c r="T4" s="3749" t="s">
        <v>1669</v>
      </c>
      <c r="U4" s="3750"/>
      <c r="V4" s="3704" t="s">
        <v>1670</v>
      </c>
      <c r="W4" s="3704"/>
      <c r="X4" s="1355"/>
      <c r="Y4" s="3749" t="s">
        <v>1672</v>
      </c>
      <c r="Z4" s="3750"/>
      <c r="AA4" s="3748" t="s">
        <v>1668</v>
      </c>
      <c r="AB4" s="3748" t="s">
        <v>1669</v>
      </c>
      <c r="AC4" s="3748" t="s">
        <v>1670</v>
      </c>
    </row>
    <row r="5" spans="1:29" ht="15">
      <c r="A5" s="358"/>
      <c r="B5" s="359"/>
      <c r="C5" s="3681" t="s">
        <v>1673</v>
      </c>
      <c r="D5" s="3682"/>
      <c r="E5" s="3679" t="s">
        <v>1674</v>
      </c>
      <c r="F5" s="3680"/>
      <c r="G5" s="3681" t="s">
        <v>1675</v>
      </c>
      <c r="H5" s="3682"/>
      <c r="I5" s="3681" t="s">
        <v>1676</v>
      </c>
      <c r="J5" s="3682"/>
      <c r="K5" s="1890"/>
      <c r="L5" s="2715"/>
      <c r="M5" s="2716"/>
      <c r="N5" s="2716"/>
      <c r="O5" s="2716"/>
      <c r="P5" s="3753"/>
      <c r="Q5" s="3698"/>
      <c r="R5" s="3677"/>
      <c r="S5" s="3678"/>
      <c r="T5" s="3677"/>
      <c r="U5" s="3678"/>
      <c r="V5" s="3704"/>
      <c r="W5" s="3704"/>
      <c r="X5" s="1355"/>
      <c r="Y5" s="3677"/>
      <c r="Z5" s="3678"/>
      <c r="AA5" s="3671"/>
      <c r="AB5" s="3671"/>
      <c r="AC5" s="3671"/>
    </row>
    <row r="6" spans="1:29" ht="15.75" thickBot="1">
      <c r="A6" s="360"/>
      <c r="B6" s="361"/>
      <c r="C6" s="3683" t="s">
        <v>1677</v>
      </c>
      <c r="D6" s="3684"/>
      <c r="E6" s="3685" t="s">
        <v>1677</v>
      </c>
      <c r="F6" s="3686"/>
      <c r="G6" s="3683" t="s">
        <v>1677</v>
      </c>
      <c r="H6" s="3684"/>
      <c r="I6" s="3683" t="s">
        <v>1677</v>
      </c>
      <c r="J6" s="3684"/>
      <c r="K6" s="1890" t="s">
        <v>1678</v>
      </c>
      <c r="L6" s="2715"/>
      <c r="M6" s="2716"/>
      <c r="N6" s="2716"/>
      <c r="O6" s="2716"/>
      <c r="P6" s="3754"/>
      <c r="Q6" s="3700"/>
      <c r="R6" s="3677"/>
      <c r="S6" s="3678"/>
      <c r="T6" s="3701"/>
      <c r="U6" s="3702"/>
      <c r="V6" s="3704"/>
      <c r="W6" s="3704"/>
      <c r="X6" s="1355"/>
      <c r="Y6" s="3701"/>
      <c r="Z6" s="3702"/>
      <c r="AA6" s="3672"/>
      <c r="AB6" s="3672"/>
      <c r="AC6" s="3672"/>
    </row>
    <row r="7" spans="1:29" s="108" customFormat="1" ht="15.75" thickBot="1">
      <c r="A7" s="362" t="s">
        <v>1679</v>
      </c>
      <c r="B7" s="363"/>
      <c r="C7" s="364">
        <f>'数据-取费表'!B2</f>
        <v>45321</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73" t="s">
        <v>1680</v>
      </c>
      <c r="Q7" s="3706"/>
      <c r="R7" s="701" t="s">
        <v>20</v>
      </c>
      <c r="S7" s="702">
        <f t="shared" ref="S7:S15" si="0">F7</f>
        <v>0</v>
      </c>
      <c r="T7" s="701" t="s">
        <v>20</v>
      </c>
      <c r="U7" s="702">
        <f t="shared" ref="U7:U15" si="1">H7</f>
        <v>0</v>
      </c>
      <c r="V7" s="701" t="s">
        <v>20</v>
      </c>
      <c r="W7" s="702">
        <f t="shared" ref="W7:W15" si="2">J7</f>
        <v>0</v>
      </c>
      <c r="X7" s="703"/>
      <c r="Y7" s="3673" t="s">
        <v>1680</v>
      </c>
      <c r="Z7" s="3674"/>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73" t="s">
        <v>1683</v>
      </c>
      <c r="Q8" s="3674"/>
      <c r="R8" s="701" t="s">
        <v>20</v>
      </c>
      <c r="S8" s="702">
        <f t="shared" si="0"/>
        <v>100</v>
      </c>
      <c r="T8" s="701" t="s">
        <v>20</v>
      </c>
      <c r="U8" s="702">
        <f t="shared" si="1"/>
        <v>100</v>
      </c>
      <c r="V8" s="701" t="s">
        <v>20</v>
      </c>
      <c r="W8" s="702">
        <f t="shared" si="2"/>
        <v>100</v>
      </c>
      <c r="X8" s="703"/>
      <c r="Y8" s="3673" t="s">
        <v>1683</v>
      </c>
      <c r="Z8" s="3674"/>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87"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87"/>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87"/>
      <c r="Q11" s="1343" t="str">
        <f t="shared" si="6"/>
        <v>容积率</v>
      </c>
      <c r="R11" s="701" t="s">
        <v>18</v>
      </c>
      <c r="S11" s="702" t="e">
        <f t="shared" si="0"/>
        <v>#N/A</v>
      </c>
      <c r="T11" s="701" t="s">
        <v>18</v>
      </c>
      <c r="U11" s="702" t="e">
        <f t="shared" si="1"/>
        <v>#N/A</v>
      </c>
      <c r="V11" s="701" t="s">
        <v>18</v>
      </c>
      <c r="W11" s="702" t="e">
        <f t="shared" si="2"/>
        <v>#N/A</v>
      </c>
      <c r="X11" s="703"/>
      <c r="Y11" s="3646"/>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87"/>
      <c r="Q12" s="1343">
        <f t="shared" si="6"/>
        <v>111</v>
      </c>
      <c r="R12" s="701" t="s">
        <v>18</v>
      </c>
      <c r="S12" s="702">
        <f t="shared" si="0"/>
        <v>100</v>
      </c>
      <c r="T12" s="701" t="s">
        <v>18</v>
      </c>
      <c r="U12" s="702">
        <f t="shared" si="1"/>
        <v>100</v>
      </c>
      <c r="V12" s="701" t="s">
        <v>18</v>
      </c>
      <c r="W12" s="702">
        <f t="shared" si="2"/>
        <v>100</v>
      </c>
      <c r="X12" s="703"/>
      <c r="Y12" s="364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87"/>
      <c r="Q13" s="1343">
        <f t="shared" si="6"/>
        <v>111</v>
      </c>
      <c r="R13" s="701" t="s">
        <v>18</v>
      </c>
      <c r="S13" s="702">
        <f t="shared" si="0"/>
        <v>100</v>
      </c>
      <c r="T13" s="701" t="s">
        <v>18</v>
      </c>
      <c r="U13" s="702">
        <f t="shared" si="1"/>
        <v>100</v>
      </c>
      <c r="V13" s="701" t="s">
        <v>18</v>
      </c>
      <c r="W13" s="702">
        <f t="shared" si="2"/>
        <v>100</v>
      </c>
      <c r="X13" s="703"/>
      <c r="Y13" s="3646"/>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87"/>
      <c r="Q14" s="1343">
        <f t="shared" si="6"/>
        <v>111</v>
      </c>
      <c r="R14" s="701" t="s">
        <v>18</v>
      </c>
      <c r="S14" s="702">
        <f t="shared" si="0"/>
        <v>100</v>
      </c>
      <c r="T14" s="701" t="s">
        <v>18</v>
      </c>
      <c r="U14" s="702">
        <f t="shared" si="1"/>
        <v>100</v>
      </c>
      <c r="V14" s="701" t="s">
        <v>18</v>
      </c>
      <c r="W14" s="702">
        <f t="shared" si="2"/>
        <v>100</v>
      </c>
      <c r="X14" s="703"/>
      <c r="Y14" s="3646"/>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707" t="s">
        <v>1691</v>
      </c>
      <c r="Q15" s="1352" t="str">
        <f t="shared" si="6"/>
        <v>居住社区成熟度</v>
      </c>
      <c r="R15" s="705" t="s">
        <v>18</v>
      </c>
      <c r="S15" s="706">
        <f t="shared" si="0"/>
        <v>100</v>
      </c>
      <c r="T15" s="705" t="s">
        <v>18</v>
      </c>
      <c r="U15" s="706">
        <f t="shared" si="1"/>
        <v>100</v>
      </c>
      <c r="V15" s="705" t="s">
        <v>18</v>
      </c>
      <c r="W15" s="706">
        <f t="shared" si="2"/>
        <v>100</v>
      </c>
      <c r="X15" s="1355"/>
      <c r="Y15" s="3709"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708"/>
      <c r="Q16" s="1352"/>
      <c r="R16" s="705"/>
      <c r="S16" s="706"/>
      <c r="T16" s="705"/>
      <c r="U16" s="706"/>
      <c r="V16" s="705"/>
      <c r="W16" s="706"/>
      <c r="X16" s="1355"/>
      <c r="Y16" s="3710"/>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708"/>
      <c r="Q17" s="1352" t="str">
        <f>B17</f>
        <v>交通便捷度</v>
      </c>
      <c r="R17" s="705" t="s">
        <v>18</v>
      </c>
      <c r="S17" s="706">
        <f>F17</f>
        <v>100</v>
      </c>
      <c r="T17" s="705" t="s">
        <v>18</v>
      </c>
      <c r="U17" s="706">
        <f>H17</f>
        <v>100</v>
      </c>
      <c r="V17" s="705" t="s">
        <v>18</v>
      </c>
      <c r="W17" s="706">
        <f>J17</f>
        <v>100</v>
      </c>
      <c r="X17" s="1355"/>
      <c r="Y17" s="3710"/>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708"/>
      <c r="Q18" s="1352"/>
      <c r="R18" s="705"/>
      <c r="S18" s="706"/>
      <c r="T18" s="705"/>
      <c r="U18" s="706"/>
      <c r="V18" s="705"/>
      <c r="W18" s="706"/>
      <c r="X18" s="1355"/>
      <c r="Y18" s="3710"/>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708"/>
      <c r="Q19" s="1352" t="str">
        <f>B19</f>
        <v>公共配套设施</v>
      </c>
      <c r="R19" s="705" t="s">
        <v>18</v>
      </c>
      <c r="S19" s="706">
        <f>F19</f>
        <v>100</v>
      </c>
      <c r="T19" s="705" t="s">
        <v>18</v>
      </c>
      <c r="U19" s="706">
        <f>H19</f>
        <v>100</v>
      </c>
      <c r="V19" s="705" t="s">
        <v>18</v>
      </c>
      <c r="W19" s="706">
        <f>J19</f>
        <v>100</v>
      </c>
      <c r="X19" s="1355"/>
      <c r="Y19" s="3710"/>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708"/>
      <c r="Q20" s="1352"/>
      <c r="R20" s="705"/>
      <c r="S20" s="706"/>
      <c r="T20" s="705"/>
      <c r="U20" s="706"/>
      <c r="V20" s="705"/>
      <c r="W20" s="706"/>
      <c r="X20" s="1355"/>
      <c r="Y20" s="3710"/>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708"/>
      <c r="Q21" s="1352" t="str">
        <f>B21</f>
        <v>基础设施水平</v>
      </c>
      <c r="R21" s="705" t="s">
        <v>14</v>
      </c>
      <c r="S21" s="706">
        <f>F21</f>
        <v>100</v>
      </c>
      <c r="T21" s="705" t="s">
        <v>14</v>
      </c>
      <c r="U21" s="706">
        <f>H21</f>
        <v>100</v>
      </c>
      <c r="V21" s="705" t="s">
        <v>14</v>
      </c>
      <c r="W21" s="706">
        <f>J21</f>
        <v>100</v>
      </c>
      <c r="X21" s="1355"/>
      <c r="Y21" s="371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708"/>
      <c r="Q22" s="1352"/>
      <c r="R22" s="705"/>
      <c r="S22" s="706"/>
      <c r="T22" s="705"/>
      <c r="U22" s="706"/>
      <c r="V22" s="705"/>
      <c r="W22" s="706"/>
      <c r="X22" s="1355"/>
      <c r="Y22" s="3710"/>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708"/>
      <c r="Q23" s="1352" t="str">
        <f>B23</f>
        <v>自然及人文环境</v>
      </c>
      <c r="R23" s="705" t="s">
        <v>18</v>
      </c>
      <c r="S23" s="706">
        <f>F23</f>
        <v>100</v>
      </c>
      <c r="T23" s="705" t="s">
        <v>18</v>
      </c>
      <c r="U23" s="706">
        <f>H23</f>
        <v>100</v>
      </c>
      <c r="V23" s="705" t="s">
        <v>18</v>
      </c>
      <c r="W23" s="706">
        <f>J23</f>
        <v>100</v>
      </c>
      <c r="X23" s="1355"/>
      <c r="Y23" s="3710"/>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708"/>
      <c r="Q24" s="1352"/>
      <c r="R24" s="705"/>
      <c r="S24" s="706"/>
      <c r="T24" s="705"/>
      <c r="U24" s="706"/>
      <c r="V24" s="705"/>
      <c r="W24" s="706"/>
      <c r="X24" s="1355"/>
      <c r="Y24" s="3710"/>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708"/>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10"/>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708"/>
      <c r="Q26" s="1352" t="str">
        <f t="shared" si="11"/>
        <v>朝向</v>
      </c>
      <c r="R26" s="705" t="s">
        <v>18</v>
      </c>
      <c r="S26" s="706">
        <f t="shared" si="12"/>
        <v>100</v>
      </c>
      <c r="T26" s="705" t="s">
        <v>18</v>
      </c>
      <c r="U26" s="706">
        <f t="shared" si="13"/>
        <v>100</v>
      </c>
      <c r="V26" s="705" t="s">
        <v>18</v>
      </c>
      <c r="W26" s="706">
        <f t="shared" si="14"/>
        <v>100</v>
      </c>
      <c r="X26" s="1355"/>
      <c r="Y26" s="3710"/>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708"/>
      <c r="Q27" s="1343">
        <f t="shared" si="11"/>
        <v>111</v>
      </c>
      <c r="R27" s="701" t="s">
        <v>18</v>
      </c>
      <c r="S27" s="702">
        <f t="shared" si="12"/>
        <v>100</v>
      </c>
      <c r="T27" s="701" t="s">
        <v>18</v>
      </c>
      <c r="U27" s="702">
        <f t="shared" si="13"/>
        <v>100</v>
      </c>
      <c r="V27" s="701" t="s">
        <v>18</v>
      </c>
      <c r="W27" s="702">
        <f t="shared" si="14"/>
        <v>100</v>
      </c>
      <c r="X27" s="703"/>
      <c r="Y27" s="3710"/>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708"/>
      <c r="Q28" s="1352">
        <f t="shared" si="11"/>
        <v>111</v>
      </c>
      <c r="R28" s="705" t="s">
        <v>18</v>
      </c>
      <c r="S28" s="706">
        <f t="shared" si="12"/>
        <v>100</v>
      </c>
      <c r="T28" s="705" t="s">
        <v>18</v>
      </c>
      <c r="U28" s="706">
        <f t="shared" si="13"/>
        <v>100</v>
      </c>
      <c r="V28" s="705" t="s">
        <v>18</v>
      </c>
      <c r="W28" s="706">
        <f t="shared" si="14"/>
        <v>100</v>
      </c>
      <c r="X28" s="1355"/>
      <c r="Y28" s="3710"/>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708"/>
      <c r="Q29" s="1352">
        <f t="shared" si="11"/>
        <v>111</v>
      </c>
      <c r="R29" s="705" t="s">
        <v>18</v>
      </c>
      <c r="S29" s="706">
        <f t="shared" si="12"/>
        <v>100</v>
      </c>
      <c r="T29" s="705" t="s">
        <v>18</v>
      </c>
      <c r="U29" s="706">
        <f t="shared" si="13"/>
        <v>100</v>
      </c>
      <c r="V29" s="705" t="s">
        <v>18</v>
      </c>
      <c r="W29" s="706">
        <f t="shared" si="14"/>
        <v>100</v>
      </c>
      <c r="X29" s="1355"/>
      <c r="Y29" s="3710"/>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708"/>
      <c r="Q30" s="1352">
        <f t="shared" si="11"/>
        <v>111</v>
      </c>
      <c r="R30" s="705" t="s">
        <v>18</v>
      </c>
      <c r="S30" s="706">
        <f t="shared" si="12"/>
        <v>100</v>
      </c>
      <c r="T30" s="705" t="s">
        <v>18</v>
      </c>
      <c r="U30" s="706">
        <f t="shared" si="13"/>
        <v>100</v>
      </c>
      <c r="V30" s="705" t="s">
        <v>18</v>
      </c>
      <c r="W30" s="706">
        <f t="shared" si="14"/>
        <v>100</v>
      </c>
      <c r="X30" s="1355"/>
      <c r="Y30" s="3710"/>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708"/>
      <c r="Q31" s="1352">
        <f t="shared" si="11"/>
        <v>111</v>
      </c>
      <c r="R31" s="705" t="s">
        <v>18</v>
      </c>
      <c r="S31" s="706">
        <f t="shared" si="12"/>
        <v>100</v>
      </c>
      <c r="T31" s="705" t="s">
        <v>18</v>
      </c>
      <c r="U31" s="706">
        <f t="shared" si="13"/>
        <v>100</v>
      </c>
      <c r="V31" s="705" t="s">
        <v>18</v>
      </c>
      <c r="W31" s="706">
        <f t="shared" si="14"/>
        <v>100</v>
      </c>
      <c r="X31" s="1355"/>
      <c r="Y31" s="3710"/>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711" t="s">
        <v>1696</v>
      </c>
      <c r="Q32" s="1352" t="str">
        <f t="shared" si="11"/>
        <v>建筑类型</v>
      </c>
      <c r="R32" s="705" t="s">
        <v>18</v>
      </c>
      <c r="S32" s="706">
        <f t="shared" si="12"/>
        <v>100</v>
      </c>
      <c r="T32" s="705" t="s">
        <v>18</v>
      </c>
      <c r="U32" s="706">
        <f t="shared" si="13"/>
        <v>100</v>
      </c>
      <c r="V32" s="705" t="s">
        <v>18</v>
      </c>
      <c r="W32" s="706">
        <f t="shared" si="14"/>
        <v>100</v>
      </c>
      <c r="X32" s="1355"/>
      <c r="Y32" s="3714"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712"/>
      <c r="Q33" s="707" t="str">
        <f t="shared" si="11"/>
        <v>项目建筑规模</v>
      </c>
      <c r="R33" s="708" t="s">
        <v>18</v>
      </c>
      <c r="S33" s="709" t="e">
        <f t="shared" si="12"/>
        <v>#N/A</v>
      </c>
      <c r="T33" s="708" t="s">
        <v>18</v>
      </c>
      <c r="U33" s="709" t="e">
        <f t="shared" si="13"/>
        <v>#N/A</v>
      </c>
      <c r="V33" s="708" t="s">
        <v>18</v>
      </c>
      <c r="W33" s="709" t="e">
        <f t="shared" si="14"/>
        <v>#N/A</v>
      </c>
      <c r="X33" s="710"/>
      <c r="Y33" s="3714"/>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712"/>
      <c r="Q34" s="1352" t="str">
        <f t="shared" si="11"/>
        <v>建筑结构</v>
      </c>
      <c r="R34" s="705" t="s">
        <v>18</v>
      </c>
      <c r="S34" s="706">
        <f t="shared" si="12"/>
        <v>100</v>
      </c>
      <c r="T34" s="705" t="s">
        <v>18</v>
      </c>
      <c r="U34" s="706">
        <f t="shared" si="13"/>
        <v>100</v>
      </c>
      <c r="V34" s="705" t="s">
        <v>18</v>
      </c>
      <c r="W34" s="706">
        <f t="shared" si="14"/>
        <v>100</v>
      </c>
      <c r="X34" s="1355"/>
      <c r="Y34" s="3714"/>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712"/>
      <c r="Q35" s="1352" t="str">
        <f t="shared" si="11"/>
        <v>建筑品质</v>
      </c>
      <c r="R35" s="705" t="s">
        <v>18</v>
      </c>
      <c r="S35" s="706">
        <f t="shared" si="12"/>
        <v>100</v>
      </c>
      <c r="T35" s="705" t="s">
        <v>18</v>
      </c>
      <c r="U35" s="706">
        <f t="shared" si="13"/>
        <v>100</v>
      </c>
      <c r="V35" s="705" t="s">
        <v>18</v>
      </c>
      <c r="W35" s="706">
        <f t="shared" si="14"/>
        <v>100</v>
      </c>
      <c r="X35" s="1355"/>
      <c r="Y35" s="3714"/>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712"/>
      <c r="Q36" s="1352" t="str">
        <f t="shared" si="11"/>
        <v>公共部分装修</v>
      </c>
      <c r="R36" s="705" t="s">
        <v>18</v>
      </c>
      <c r="S36" s="706">
        <f t="shared" si="12"/>
        <v>100</v>
      </c>
      <c r="T36" s="705" t="s">
        <v>18</v>
      </c>
      <c r="U36" s="706">
        <f t="shared" si="13"/>
        <v>100</v>
      </c>
      <c r="V36" s="705" t="s">
        <v>18</v>
      </c>
      <c r="W36" s="706">
        <f t="shared" si="14"/>
        <v>100</v>
      </c>
      <c r="X36" s="1355"/>
      <c r="Y36" s="3714"/>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712"/>
      <c r="Q37" s="1343" t="str">
        <f t="shared" si="11"/>
        <v>成新度</v>
      </c>
      <c r="R37" s="701" t="s">
        <v>18</v>
      </c>
      <c r="S37" s="702" t="e">
        <f t="shared" si="12"/>
        <v>#N/A</v>
      </c>
      <c r="T37" s="701" t="s">
        <v>18</v>
      </c>
      <c r="U37" s="702" t="e">
        <f t="shared" si="13"/>
        <v>#N/A</v>
      </c>
      <c r="V37" s="701" t="s">
        <v>18</v>
      </c>
      <c r="W37" s="702" t="e">
        <f t="shared" si="14"/>
        <v>#N/A</v>
      </c>
      <c r="X37" s="703"/>
      <c r="Y37" s="3714"/>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712" t="s">
        <v>1696</v>
      </c>
      <c r="Q38" s="1352" t="str">
        <f t="shared" si="11"/>
        <v>物业管理</v>
      </c>
      <c r="R38" s="705" t="s">
        <v>18</v>
      </c>
      <c r="S38" s="706">
        <f t="shared" si="12"/>
        <v>100</v>
      </c>
      <c r="T38" s="705" t="s">
        <v>18</v>
      </c>
      <c r="U38" s="706">
        <f t="shared" si="13"/>
        <v>100</v>
      </c>
      <c r="V38" s="705" t="s">
        <v>18</v>
      </c>
      <c r="W38" s="706">
        <f t="shared" si="14"/>
        <v>100</v>
      </c>
      <c r="X38" s="1355"/>
      <c r="Y38" s="3714"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712"/>
      <c r="Q39" s="1352" t="str">
        <f t="shared" si="11"/>
        <v>市政基础设施</v>
      </c>
      <c r="R39" s="705" t="s">
        <v>18</v>
      </c>
      <c r="S39" s="706">
        <f t="shared" si="12"/>
        <v>100</v>
      </c>
      <c r="T39" s="705" t="s">
        <v>18</v>
      </c>
      <c r="U39" s="706">
        <f t="shared" si="13"/>
        <v>100</v>
      </c>
      <c r="V39" s="705" t="s">
        <v>18</v>
      </c>
      <c r="W39" s="706">
        <f t="shared" si="14"/>
        <v>100</v>
      </c>
      <c r="X39" s="1355"/>
      <c r="Y39" s="3714"/>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712"/>
      <c r="Q40" s="1352" t="str">
        <f t="shared" si="11"/>
        <v>房型</v>
      </c>
      <c r="R40" s="705" t="s">
        <v>18</v>
      </c>
      <c r="S40" s="706">
        <f t="shared" si="12"/>
        <v>100</v>
      </c>
      <c r="T40" s="705" t="s">
        <v>18</v>
      </c>
      <c r="U40" s="706">
        <f t="shared" si="13"/>
        <v>100</v>
      </c>
      <c r="V40" s="705" t="s">
        <v>18</v>
      </c>
      <c r="W40" s="706">
        <f t="shared" si="14"/>
        <v>100</v>
      </c>
      <c r="X40" s="1355"/>
      <c r="Y40" s="3714"/>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712"/>
      <c r="Q41" s="707" t="str">
        <f t="shared" si="11"/>
        <v>单套/主力户型建筑面积</v>
      </c>
      <c r="R41" s="708" t="s">
        <v>18</v>
      </c>
      <c r="S41" s="709">
        <f t="shared" si="12"/>
        <v>100</v>
      </c>
      <c r="T41" s="708" t="s">
        <v>18</v>
      </c>
      <c r="U41" s="709">
        <f t="shared" si="13"/>
        <v>100</v>
      </c>
      <c r="V41" s="708" t="s">
        <v>18</v>
      </c>
      <c r="W41" s="709">
        <f t="shared" si="14"/>
        <v>100</v>
      </c>
      <c r="X41" s="710"/>
      <c r="Y41" s="3714"/>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712"/>
      <c r="Q42" s="1352" t="str">
        <f t="shared" si="11"/>
        <v>内部装修</v>
      </c>
      <c r="R42" s="705" t="s">
        <v>18</v>
      </c>
      <c r="S42" s="706">
        <f t="shared" si="12"/>
        <v>100</v>
      </c>
      <c r="T42" s="705" t="s">
        <v>18</v>
      </c>
      <c r="U42" s="706">
        <f t="shared" si="13"/>
        <v>100</v>
      </c>
      <c r="V42" s="705" t="s">
        <v>18</v>
      </c>
      <c r="W42" s="706">
        <f t="shared" si="14"/>
        <v>100</v>
      </c>
      <c r="X42" s="1355"/>
      <c r="Y42" s="3714"/>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712"/>
      <c r="Q43" s="1352" t="str">
        <f t="shared" si="11"/>
        <v>内部装修维护情况</v>
      </c>
      <c r="R43" s="705" t="s">
        <v>18</v>
      </c>
      <c r="S43" s="706">
        <f t="shared" si="12"/>
        <v>100</v>
      </c>
      <c r="T43" s="705" t="s">
        <v>18</v>
      </c>
      <c r="U43" s="706">
        <f t="shared" si="13"/>
        <v>100</v>
      </c>
      <c r="V43" s="705" t="s">
        <v>18</v>
      </c>
      <c r="W43" s="706">
        <f t="shared" si="14"/>
        <v>100</v>
      </c>
      <c r="X43" s="1355"/>
      <c r="Y43" s="3714"/>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712"/>
      <c r="Q44" s="1343">
        <f t="shared" si="11"/>
        <v>111</v>
      </c>
      <c r="R44" s="701" t="s">
        <v>18</v>
      </c>
      <c r="S44" s="702">
        <f t="shared" si="12"/>
        <v>100</v>
      </c>
      <c r="T44" s="701" t="s">
        <v>18</v>
      </c>
      <c r="U44" s="702">
        <f t="shared" si="13"/>
        <v>100</v>
      </c>
      <c r="V44" s="701" t="s">
        <v>18</v>
      </c>
      <c r="W44" s="702">
        <f t="shared" si="14"/>
        <v>100</v>
      </c>
      <c r="X44" s="703"/>
      <c r="Y44" s="371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712"/>
      <c r="Q45" s="1352">
        <f t="shared" si="11"/>
        <v>111</v>
      </c>
      <c r="R45" s="705" t="s">
        <v>18</v>
      </c>
      <c r="S45" s="706">
        <f t="shared" si="12"/>
        <v>100</v>
      </c>
      <c r="T45" s="705" t="s">
        <v>18</v>
      </c>
      <c r="U45" s="706">
        <f t="shared" si="13"/>
        <v>100</v>
      </c>
      <c r="V45" s="705" t="s">
        <v>18</v>
      </c>
      <c r="W45" s="706">
        <f t="shared" si="14"/>
        <v>100</v>
      </c>
      <c r="X45" s="1355"/>
      <c r="Y45" s="3714"/>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713"/>
      <c r="Q46" s="1352">
        <f t="shared" si="11"/>
        <v>111</v>
      </c>
      <c r="R46" s="705" t="s">
        <v>17</v>
      </c>
      <c r="S46" s="706">
        <f t="shared" si="12"/>
        <v>100</v>
      </c>
      <c r="T46" s="705" t="s">
        <v>17</v>
      </c>
      <c r="U46" s="706">
        <f t="shared" si="13"/>
        <v>100</v>
      </c>
      <c r="V46" s="705" t="s">
        <v>17</v>
      </c>
      <c r="W46" s="706">
        <f t="shared" si="14"/>
        <v>100</v>
      </c>
      <c r="X46" s="1355"/>
      <c r="Y46" s="3715"/>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716" t="str">
        <f>A47</f>
        <v>成交单价（元/平方米）</v>
      </c>
      <c r="Q47" s="3716"/>
      <c r="R47" s="3717">
        <f>E47</f>
        <v>0</v>
      </c>
      <c r="S47" s="3717"/>
      <c r="T47" s="3717">
        <f>G47</f>
        <v>0</v>
      </c>
      <c r="U47" s="3717"/>
      <c r="V47" s="3717">
        <f>I47</f>
        <v>0</v>
      </c>
      <c r="W47" s="3717"/>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716" t="str">
        <f>A48</f>
        <v>比较价值（元/平方米）</v>
      </c>
      <c r="Q48" s="3716"/>
      <c r="R48" s="3717" t="e">
        <f>IF(F1="售价",ROUND(PRODUCT(R47,AA7:AA46),0),ROUND(PRODUCT(R47,AA7:AA46),1))</f>
        <v>#DIV/0!</v>
      </c>
      <c r="S48" s="3717"/>
      <c r="T48" s="3717" t="e">
        <f>IF(F1="售价",ROUND(PRODUCT(T47,AB7:AB46),0),ROUND(PRODUCT(T47,AB7:AB46),1))</f>
        <v>#DIV/0!</v>
      </c>
      <c r="U48" s="3717"/>
      <c r="V48" s="3717" t="e">
        <f>IF(F1="售价",ROUND(PRODUCT(V47,AC7:AC46),0),ROUND(PRODUCT(V47,AC7:AC46),1))</f>
        <v>#DIV/0!</v>
      </c>
      <c r="W48" s="3717"/>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55" t="str">
        <f>A49</f>
        <v>估价对象XX用房的比较价值（楼面单价，元/平方米）</v>
      </c>
      <c r="Q49" s="3756"/>
      <c r="R49" s="3757" t="e">
        <f>IF(F1="售价",ROUND(IF(D48="简单平均",AVERAGE(R48:V48),R48*F48+T48*H48+V48*J48),0),ROUND(IF(D48="简单平均",AVERAGE(R48:V48),R48*F48+T48*H48+V48*J48),1))</f>
        <v>#DIV/0!</v>
      </c>
      <c r="S49" s="3757"/>
      <c r="T49" s="3757"/>
      <c r="U49" s="3757"/>
      <c r="V49" s="3757"/>
      <c r="W49" s="3757"/>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2024-1</v>
      </c>
      <c r="D58" s="1185">
        <f>EDATE(C58,-1)</f>
        <v>45261</v>
      </c>
      <c r="E58" s="1185">
        <f>EDATE(D58,-1)</f>
        <v>45231</v>
      </c>
      <c r="F58" s="1185">
        <f t="shared" ref="F58:O58" si="19">EDATE(E58,-1)</f>
        <v>45200</v>
      </c>
      <c r="G58" s="1185">
        <f t="shared" si="19"/>
        <v>45170</v>
      </c>
      <c r="H58" s="1185">
        <f t="shared" si="19"/>
        <v>45139</v>
      </c>
      <c r="I58" s="1185">
        <f t="shared" si="19"/>
        <v>45108</v>
      </c>
      <c r="J58" s="1185">
        <f t="shared" si="19"/>
        <v>45078</v>
      </c>
      <c r="K58" s="1185">
        <f t="shared" si="19"/>
        <v>45047</v>
      </c>
      <c r="L58" s="1185">
        <f t="shared" si="19"/>
        <v>45017</v>
      </c>
      <c r="M58" s="1185">
        <f t="shared" si="19"/>
        <v>44986</v>
      </c>
      <c r="N58" s="1185">
        <f t="shared" si="19"/>
        <v>44958</v>
      </c>
      <c r="O58" s="1185">
        <f t="shared" si="19"/>
        <v>44927</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E15" sqref="E15"/>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t="s">
        <v>3472</v>
      </c>
      <c r="F1" s="1879" t="s">
        <v>3473</v>
      </c>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e">
        <f>IF(E1="项目模式",IF(C2="——",ROUND(C49*D3/10000,0),ROUND(C49*D3/10000,0)-D2),IF(E1="单套模式",IF(C2="——",ROUND(C49*D3/10000,4),ROUND(C49*D3/10000,4)-D2)))</f>
        <v>#DIV/0!</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t="e">
        <f>IF(C2="——",C49,ROUND(B2*10000/D3,0))</f>
        <v>#DIV/0!</v>
      </c>
      <c r="C3" s="354" t="s">
        <v>1768</v>
      </c>
      <c r="D3" s="353">
        <f>IF(D1="",'数据-汇总表'!E3,SUMIF('数据-汇总表'!$C19:$C33,D1,'数据-汇总表'!$E19:$E33))</f>
        <v>68805.62</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751" t="s">
        <v>1775</v>
      </c>
      <c r="Q4" s="3752"/>
      <c r="R4" s="3749" t="s">
        <v>1771</v>
      </c>
      <c r="S4" s="3750"/>
      <c r="T4" s="3749" t="s">
        <v>1772</v>
      </c>
      <c r="U4" s="3750"/>
      <c r="V4" s="3704" t="s">
        <v>1773</v>
      </c>
      <c r="W4" s="3704"/>
      <c r="X4" s="1355"/>
      <c r="Y4" s="3749" t="s">
        <v>1775</v>
      </c>
      <c r="Z4" s="3750"/>
      <c r="AA4" s="3748" t="s">
        <v>1771</v>
      </c>
      <c r="AB4" s="3704" t="s">
        <v>1772</v>
      </c>
      <c r="AC4" s="3748" t="s">
        <v>1773</v>
      </c>
    </row>
    <row r="5" spans="1:29" ht="15">
      <c r="A5" s="358"/>
      <c r="B5" s="359"/>
      <c r="C5" s="3681" t="s">
        <v>1673</v>
      </c>
      <c r="D5" s="3682"/>
      <c r="E5" s="3679" t="s">
        <v>1674</v>
      </c>
      <c r="F5" s="3680"/>
      <c r="G5" s="3681" t="s">
        <v>1675</v>
      </c>
      <c r="H5" s="3682"/>
      <c r="I5" s="3681" t="s">
        <v>1676</v>
      </c>
      <c r="J5" s="3682"/>
      <c r="K5" s="559"/>
      <c r="L5" s="2715"/>
      <c r="M5" s="2716"/>
      <c r="N5" s="2716"/>
      <c r="O5" s="2716"/>
      <c r="P5" s="3753"/>
      <c r="Q5" s="3698"/>
      <c r="R5" s="3677"/>
      <c r="S5" s="3678"/>
      <c r="T5" s="3677"/>
      <c r="U5" s="3678"/>
      <c r="V5" s="3704"/>
      <c r="W5" s="3704"/>
      <c r="X5" s="1355"/>
      <c r="Y5" s="3677"/>
      <c r="Z5" s="3678"/>
      <c r="AA5" s="3671"/>
      <c r="AB5" s="3704"/>
      <c r="AC5" s="3671"/>
    </row>
    <row r="6" spans="1:29" ht="15.75" thickBot="1">
      <c r="A6" s="360"/>
      <c r="B6" s="361"/>
      <c r="C6" s="3683" t="s">
        <v>1677</v>
      </c>
      <c r="D6" s="3684"/>
      <c r="E6" s="3685" t="s">
        <v>1677</v>
      </c>
      <c r="F6" s="3686"/>
      <c r="G6" s="3683" t="s">
        <v>1677</v>
      </c>
      <c r="H6" s="3684"/>
      <c r="I6" s="3683" t="s">
        <v>1677</v>
      </c>
      <c r="J6" s="3684"/>
      <c r="K6" s="559" t="s">
        <v>1678</v>
      </c>
      <c r="L6" s="2715"/>
      <c r="M6" s="2716"/>
      <c r="N6" s="2716"/>
      <c r="O6" s="2716"/>
      <c r="P6" s="3754"/>
      <c r="Q6" s="3700"/>
      <c r="R6" s="3677"/>
      <c r="S6" s="3678"/>
      <c r="T6" s="3701"/>
      <c r="U6" s="3702"/>
      <c r="V6" s="3704"/>
      <c r="W6" s="3704"/>
      <c r="X6" s="1355"/>
      <c r="Y6" s="3701"/>
      <c r="Z6" s="3702"/>
      <c r="AA6" s="3672"/>
      <c r="AB6" s="3704"/>
      <c r="AC6" s="3672"/>
    </row>
    <row r="7" spans="1:29" s="108" customFormat="1" ht="15.75" thickBot="1">
      <c r="A7" s="362" t="s">
        <v>1679</v>
      </c>
      <c r="B7" s="363"/>
      <c r="C7" s="364">
        <f>'数据-取费表'!B2</f>
        <v>45321</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73" t="s">
        <v>1680</v>
      </c>
      <c r="Q7" s="3706"/>
      <c r="R7" s="701" t="s">
        <v>14</v>
      </c>
      <c r="S7" s="702">
        <f t="shared" ref="S7:S15" si="0">F7</f>
        <v>0</v>
      </c>
      <c r="T7" s="701" t="s">
        <v>14</v>
      </c>
      <c r="U7" s="702">
        <f t="shared" ref="U7:U15" si="1">H7</f>
        <v>0</v>
      </c>
      <c r="V7" s="701" t="s">
        <v>14</v>
      </c>
      <c r="W7" s="702">
        <f t="shared" ref="W7:W15" si="2">J7</f>
        <v>0</v>
      </c>
      <c r="X7" s="703"/>
      <c r="Y7" s="3673" t="s">
        <v>1680</v>
      </c>
      <c r="Z7" s="3674"/>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73" t="s">
        <v>1683</v>
      </c>
      <c r="Q8" s="3674"/>
      <c r="R8" s="701" t="s">
        <v>14</v>
      </c>
      <c r="S8" s="702">
        <f t="shared" si="0"/>
        <v>100</v>
      </c>
      <c r="T8" s="701" t="s">
        <v>14</v>
      </c>
      <c r="U8" s="702">
        <f t="shared" si="1"/>
        <v>100</v>
      </c>
      <c r="V8" s="701" t="s">
        <v>14</v>
      </c>
      <c r="W8" s="702">
        <f t="shared" si="2"/>
        <v>100</v>
      </c>
      <c r="X8" s="703"/>
      <c r="Y8" s="3673" t="s">
        <v>1683</v>
      </c>
      <c r="Z8" s="3674"/>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87"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87"/>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87"/>
      <c r="Q11" s="1343" t="str">
        <f t="shared" si="6"/>
        <v>容积率</v>
      </c>
      <c r="R11" s="701" t="s">
        <v>14</v>
      </c>
      <c r="S11" s="702" t="e">
        <f t="shared" si="0"/>
        <v>#N/A</v>
      </c>
      <c r="T11" s="701" t="s">
        <v>14</v>
      </c>
      <c r="U11" s="702" t="e">
        <f t="shared" si="1"/>
        <v>#N/A</v>
      </c>
      <c r="V11" s="701" t="s">
        <v>14</v>
      </c>
      <c r="W11" s="702" t="e">
        <f t="shared" si="2"/>
        <v>#N/A</v>
      </c>
      <c r="X11" s="703"/>
      <c r="Y11" s="3646"/>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87"/>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87"/>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87"/>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707" t="s">
        <v>1691</v>
      </c>
      <c r="Q15" s="1352" t="str">
        <f t="shared" si="6"/>
        <v>商业繁华度</v>
      </c>
      <c r="R15" s="705" t="s">
        <v>14</v>
      </c>
      <c r="S15" s="706">
        <f t="shared" si="0"/>
        <v>100</v>
      </c>
      <c r="T15" s="705" t="s">
        <v>14</v>
      </c>
      <c r="U15" s="706">
        <f t="shared" si="1"/>
        <v>100</v>
      </c>
      <c r="V15" s="705" t="s">
        <v>14</v>
      </c>
      <c r="W15" s="706">
        <f t="shared" si="2"/>
        <v>100</v>
      </c>
      <c r="X15" s="1355"/>
      <c r="Y15" s="3709"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708"/>
      <c r="Q16" s="1352"/>
      <c r="R16" s="705"/>
      <c r="S16" s="706"/>
      <c r="T16" s="705"/>
      <c r="U16" s="706"/>
      <c r="V16" s="705"/>
      <c r="W16" s="706"/>
      <c r="X16" s="1355"/>
      <c r="Y16" s="3710"/>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708"/>
      <c r="Q17" s="1352" t="str">
        <f>B17</f>
        <v>交通便捷度</v>
      </c>
      <c r="R17" s="705" t="s">
        <v>14</v>
      </c>
      <c r="S17" s="706">
        <f>F17</f>
        <v>100</v>
      </c>
      <c r="T17" s="705" t="s">
        <v>14</v>
      </c>
      <c r="U17" s="706">
        <f>H17</f>
        <v>100</v>
      </c>
      <c r="V17" s="705" t="s">
        <v>14</v>
      </c>
      <c r="W17" s="706">
        <f>J17</f>
        <v>100</v>
      </c>
      <c r="X17" s="1355"/>
      <c r="Y17" s="371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708"/>
      <c r="Q18" s="1352"/>
      <c r="R18" s="705"/>
      <c r="S18" s="706"/>
      <c r="T18" s="705"/>
      <c r="U18" s="706"/>
      <c r="V18" s="705"/>
      <c r="W18" s="706"/>
      <c r="X18" s="1355"/>
      <c r="Y18" s="3710"/>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708"/>
      <c r="Q19" s="1352" t="str">
        <f>B19</f>
        <v>公共配套设施</v>
      </c>
      <c r="R19" s="705" t="s">
        <v>14</v>
      </c>
      <c r="S19" s="706">
        <f>F19</f>
        <v>100</v>
      </c>
      <c r="T19" s="705" t="s">
        <v>14</v>
      </c>
      <c r="U19" s="706">
        <f>H19</f>
        <v>100</v>
      </c>
      <c r="V19" s="705" t="s">
        <v>14</v>
      </c>
      <c r="W19" s="706">
        <f>J19</f>
        <v>100</v>
      </c>
      <c r="X19" s="1355"/>
      <c r="Y19" s="371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708"/>
      <c r="Q20" s="1352"/>
      <c r="R20" s="705"/>
      <c r="S20" s="706"/>
      <c r="T20" s="705"/>
      <c r="U20" s="706"/>
      <c r="V20" s="705"/>
      <c r="W20" s="706"/>
      <c r="X20" s="1355"/>
      <c r="Y20" s="3710"/>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708"/>
      <c r="Q21" s="1352" t="str">
        <f>B21</f>
        <v>基础设施水平</v>
      </c>
      <c r="R21" s="705" t="s">
        <v>14</v>
      </c>
      <c r="S21" s="706">
        <f>F21</f>
        <v>100</v>
      </c>
      <c r="T21" s="705" t="s">
        <v>14</v>
      </c>
      <c r="U21" s="706">
        <f>H21</f>
        <v>100</v>
      </c>
      <c r="V21" s="705" t="s">
        <v>14</v>
      </c>
      <c r="W21" s="706">
        <f>J21</f>
        <v>100</v>
      </c>
      <c r="X21" s="1355"/>
      <c r="Y21" s="371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708"/>
      <c r="Q22" s="1352"/>
      <c r="R22" s="705"/>
      <c r="S22" s="706"/>
      <c r="T22" s="705"/>
      <c r="U22" s="706"/>
      <c r="V22" s="705"/>
      <c r="W22" s="706"/>
      <c r="X22" s="1355"/>
      <c r="Y22" s="3710"/>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708"/>
      <c r="Q23" s="1352" t="str">
        <f>B23</f>
        <v>自然及人文环境</v>
      </c>
      <c r="R23" s="705" t="s">
        <v>14</v>
      </c>
      <c r="S23" s="706">
        <f>F23</f>
        <v>100</v>
      </c>
      <c r="T23" s="705" t="s">
        <v>14</v>
      </c>
      <c r="U23" s="706">
        <f>H23</f>
        <v>100</v>
      </c>
      <c r="V23" s="705" t="s">
        <v>14</v>
      </c>
      <c r="W23" s="706">
        <f>J23</f>
        <v>100</v>
      </c>
      <c r="X23" s="1355"/>
      <c r="Y23" s="3710"/>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708"/>
      <c r="Q24" s="1352"/>
      <c r="R24" s="705"/>
      <c r="S24" s="706"/>
      <c r="T24" s="705"/>
      <c r="U24" s="706"/>
      <c r="V24" s="705"/>
      <c r="W24" s="706"/>
      <c r="X24" s="1355"/>
      <c r="Y24" s="3710"/>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708"/>
      <c r="Q25" s="1352" t="str">
        <f t="shared" ref="Q25:Q46" si="11">B25</f>
        <v>临街状况</v>
      </c>
      <c r="R25" s="705" t="s">
        <v>14</v>
      </c>
      <c r="S25" s="706">
        <f>F25</f>
        <v>100</v>
      </c>
      <c r="T25" s="705" t="s">
        <v>14</v>
      </c>
      <c r="U25" s="706">
        <f>H25</f>
        <v>100</v>
      </c>
      <c r="V25" s="705" t="s">
        <v>14</v>
      </c>
      <c r="W25" s="706">
        <f>J25</f>
        <v>100</v>
      </c>
      <c r="X25" s="1355"/>
      <c r="Y25" s="3710"/>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708"/>
      <c r="Q26" s="1352" t="str">
        <f t="shared" si="11"/>
        <v>平面位置/可视性</v>
      </c>
      <c r="R26" s="705" t="s">
        <v>14</v>
      </c>
      <c r="S26" s="706">
        <f>F26</f>
        <v>100</v>
      </c>
      <c r="T26" s="705" t="s">
        <v>14</v>
      </c>
      <c r="U26" s="706">
        <f>H26</f>
        <v>100</v>
      </c>
      <c r="V26" s="705" t="s">
        <v>14</v>
      </c>
      <c r="W26" s="706">
        <f>J26</f>
        <v>100</v>
      </c>
      <c r="X26" s="1355"/>
      <c r="Y26" s="3710"/>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708"/>
      <c r="Q27" s="1343" t="str">
        <f t="shared" si="11"/>
        <v>人流量</v>
      </c>
      <c r="R27" s="701" t="s">
        <v>14</v>
      </c>
      <c r="S27" s="702">
        <f>F27</f>
        <v>100</v>
      </c>
      <c r="T27" s="701" t="s">
        <v>14</v>
      </c>
      <c r="U27" s="702">
        <f>H27</f>
        <v>100</v>
      </c>
      <c r="V27" s="701" t="s">
        <v>14</v>
      </c>
      <c r="W27" s="702">
        <f>J27</f>
        <v>100</v>
      </c>
      <c r="X27" s="703"/>
      <c r="Y27" s="3710"/>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708"/>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10"/>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708"/>
      <c r="Q29" s="1352">
        <f t="shared" si="11"/>
        <v>111</v>
      </c>
      <c r="R29" s="705" t="s">
        <v>14</v>
      </c>
      <c r="S29" s="706">
        <f t="shared" si="12"/>
        <v>100</v>
      </c>
      <c r="T29" s="705" t="s">
        <v>14</v>
      </c>
      <c r="U29" s="706">
        <f t="shared" si="13"/>
        <v>100</v>
      </c>
      <c r="V29" s="705" t="s">
        <v>14</v>
      </c>
      <c r="W29" s="706">
        <f t="shared" si="14"/>
        <v>100</v>
      </c>
      <c r="X29" s="1355"/>
      <c r="Y29" s="3710"/>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708"/>
      <c r="Q30" s="1352">
        <f t="shared" si="11"/>
        <v>111</v>
      </c>
      <c r="R30" s="705" t="s">
        <v>14</v>
      </c>
      <c r="S30" s="706">
        <f t="shared" si="12"/>
        <v>100</v>
      </c>
      <c r="T30" s="705" t="s">
        <v>14</v>
      </c>
      <c r="U30" s="706">
        <f t="shared" si="13"/>
        <v>100</v>
      </c>
      <c r="V30" s="705" t="s">
        <v>14</v>
      </c>
      <c r="W30" s="706">
        <f t="shared" si="14"/>
        <v>100</v>
      </c>
      <c r="X30" s="1355"/>
      <c r="Y30" s="3710"/>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708"/>
      <c r="Q31" s="1352">
        <f t="shared" si="11"/>
        <v>111</v>
      </c>
      <c r="R31" s="705" t="s">
        <v>14</v>
      </c>
      <c r="S31" s="706">
        <f t="shared" si="12"/>
        <v>100</v>
      </c>
      <c r="T31" s="705" t="s">
        <v>14</v>
      </c>
      <c r="U31" s="706">
        <f t="shared" si="13"/>
        <v>100</v>
      </c>
      <c r="V31" s="705" t="s">
        <v>14</v>
      </c>
      <c r="W31" s="706">
        <f t="shared" si="14"/>
        <v>100</v>
      </c>
      <c r="X31" s="1355"/>
      <c r="Y31" s="3710"/>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711" t="s">
        <v>1696</v>
      </c>
      <c r="Q32" s="1352" t="str">
        <f t="shared" si="11"/>
        <v>商业类型</v>
      </c>
      <c r="R32" s="705" t="s">
        <v>14</v>
      </c>
      <c r="S32" s="706">
        <f t="shared" si="12"/>
        <v>100</v>
      </c>
      <c r="T32" s="705" t="s">
        <v>14</v>
      </c>
      <c r="U32" s="706">
        <f t="shared" si="13"/>
        <v>100</v>
      </c>
      <c r="V32" s="705" t="s">
        <v>14</v>
      </c>
      <c r="W32" s="706">
        <f t="shared" si="14"/>
        <v>100</v>
      </c>
      <c r="X32" s="1355"/>
      <c r="Y32" s="3714"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712"/>
      <c r="Q33" s="707" t="str">
        <f t="shared" si="11"/>
        <v>项目建筑规模</v>
      </c>
      <c r="R33" s="708" t="s">
        <v>14</v>
      </c>
      <c r="S33" s="709" t="e">
        <f t="shared" si="12"/>
        <v>#N/A</v>
      </c>
      <c r="T33" s="708" t="s">
        <v>14</v>
      </c>
      <c r="U33" s="709" t="e">
        <f t="shared" si="13"/>
        <v>#N/A</v>
      </c>
      <c r="V33" s="708" t="s">
        <v>14</v>
      </c>
      <c r="W33" s="709" t="e">
        <f t="shared" si="14"/>
        <v>#N/A</v>
      </c>
      <c r="X33" s="710"/>
      <c r="Y33" s="3714"/>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712"/>
      <c r="Q34" s="1352" t="str">
        <f t="shared" si="11"/>
        <v>建筑结构</v>
      </c>
      <c r="R34" s="705" t="s">
        <v>14</v>
      </c>
      <c r="S34" s="706">
        <f t="shared" si="12"/>
        <v>100</v>
      </c>
      <c r="T34" s="705" t="s">
        <v>14</v>
      </c>
      <c r="U34" s="706">
        <f t="shared" si="13"/>
        <v>100</v>
      </c>
      <c r="V34" s="705" t="s">
        <v>14</v>
      </c>
      <c r="W34" s="706">
        <f t="shared" si="14"/>
        <v>100</v>
      </c>
      <c r="X34" s="1355"/>
      <c r="Y34" s="3714"/>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712"/>
      <c r="Q35" s="1352" t="str">
        <f t="shared" si="11"/>
        <v>公共部分装修</v>
      </c>
      <c r="R35" s="705" t="s">
        <v>14</v>
      </c>
      <c r="S35" s="706">
        <f t="shared" si="12"/>
        <v>100</v>
      </c>
      <c r="T35" s="705" t="s">
        <v>14</v>
      </c>
      <c r="U35" s="706">
        <f t="shared" si="13"/>
        <v>100</v>
      </c>
      <c r="V35" s="705" t="s">
        <v>14</v>
      </c>
      <c r="W35" s="706">
        <f t="shared" si="14"/>
        <v>100</v>
      </c>
      <c r="X35" s="1355"/>
      <c r="Y35" s="3714"/>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712"/>
      <c r="Q36" s="1352" t="str">
        <f t="shared" si="11"/>
        <v>成新度</v>
      </c>
      <c r="R36" s="705" t="s">
        <v>14</v>
      </c>
      <c r="S36" s="706" t="e">
        <f t="shared" si="12"/>
        <v>#N/A</v>
      </c>
      <c r="T36" s="705" t="s">
        <v>14</v>
      </c>
      <c r="U36" s="706" t="e">
        <f t="shared" si="13"/>
        <v>#N/A</v>
      </c>
      <c r="V36" s="705" t="s">
        <v>14</v>
      </c>
      <c r="W36" s="706" t="e">
        <f t="shared" si="14"/>
        <v>#N/A</v>
      </c>
      <c r="X36" s="1355"/>
      <c r="Y36" s="3714"/>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712"/>
      <c r="Q37" s="1343" t="str">
        <f t="shared" si="11"/>
        <v>市政基础设施</v>
      </c>
      <c r="R37" s="701" t="s">
        <v>14</v>
      </c>
      <c r="S37" s="702">
        <f t="shared" si="12"/>
        <v>100</v>
      </c>
      <c r="T37" s="701" t="s">
        <v>14</v>
      </c>
      <c r="U37" s="702">
        <f t="shared" si="13"/>
        <v>100</v>
      </c>
      <c r="V37" s="701" t="s">
        <v>14</v>
      </c>
      <c r="W37" s="702">
        <f t="shared" si="14"/>
        <v>100</v>
      </c>
      <c r="X37" s="703"/>
      <c r="Y37" s="3714"/>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712" t="s">
        <v>1696</v>
      </c>
      <c r="Q38" s="1352" t="str">
        <f t="shared" si="11"/>
        <v>业态</v>
      </c>
      <c r="R38" s="705" t="s">
        <v>14</v>
      </c>
      <c r="S38" s="706">
        <f t="shared" si="12"/>
        <v>100</v>
      </c>
      <c r="T38" s="705" t="s">
        <v>14</v>
      </c>
      <c r="U38" s="706">
        <f t="shared" si="13"/>
        <v>100</v>
      </c>
      <c r="V38" s="705" t="s">
        <v>14</v>
      </c>
      <c r="W38" s="706">
        <f t="shared" si="14"/>
        <v>100</v>
      </c>
      <c r="X38" s="1355"/>
      <c r="Y38" s="3714"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712"/>
      <c r="Q39" s="1352" t="str">
        <f t="shared" si="11"/>
        <v>层高</v>
      </c>
      <c r="R39" s="705" t="s">
        <v>14</v>
      </c>
      <c r="S39" s="706">
        <f t="shared" si="12"/>
        <v>100</v>
      </c>
      <c r="T39" s="705" t="s">
        <v>14</v>
      </c>
      <c r="U39" s="706">
        <f t="shared" si="13"/>
        <v>100</v>
      </c>
      <c r="V39" s="705" t="s">
        <v>14</v>
      </c>
      <c r="W39" s="706">
        <f t="shared" si="14"/>
        <v>100</v>
      </c>
      <c r="X39" s="1355"/>
      <c r="Y39" s="3714"/>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712"/>
      <c r="Q40" s="1352" t="str">
        <f t="shared" si="11"/>
        <v>单套建筑面积</v>
      </c>
      <c r="R40" s="705" t="s">
        <v>14</v>
      </c>
      <c r="S40" s="706">
        <f t="shared" si="12"/>
        <v>100</v>
      </c>
      <c r="T40" s="705" t="s">
        <v>14</v>
      </c>
      <c r="U40" s="706">
        <f t="shared" si="13"/>
        <v>100</v>
      </c>
      <c r="V40" s="705" t="s">
        <v>14</v>
      </c>
      <c r="W40" s="706">
        <f t="shared" si="14"/>
        <v>100</v>
      </c>
      <c r="X40" s="1355"/>
      <c r="Y40" s="3714"/>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712"/>
      <c r="Q41" s="707" t="str">
        <f t="shared" si="11"/>
        <v>进深比</v>
      </c>
      <c r="R41" s="708" t="s">
        <v>14</v>
      </c>
      <c r="S41" s="709">
        <f t="shared" si="12"/>
        <v>100</v>
      </c>
      <c r="T41" s="708" t="s">
        <v>14</v>
      </c>
      <c r="U41" s="709">
        <f t="shared" si="13"/>
        <v>100</v>
      </c>
      <c r="V41" s="708" t="s">
        <v>14</v>
      </c>
      <c r="W41" s="709">
        <f t="shared" si="14"/>
        <v>100</v>
      </c>
      <c r="X41" s="710"/>
      <c r="Y41" s="3714"/>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712"/>
      <c r="Q42" s="1352" t="str">
        <f t="shared" si="11"/>
        <v>内部装修</v>
      </c>
      <c r="R42" s="705" t="s">
        <v>14</v>
      </c>
      <c r="S42" s="706">
        <f t="shared" si="12"/>
        <v>100</v>
      </c>
      <c r="T42" s="705" t="s">
        <v>14</v>
      </c>
      <c r="U42" s="706">
        <f t="shared" si="13"/>
        <v>100</v>
      </c>
      <c r="V42" s="705" t="s">
        <v>14</v>
      </c>
      <c r="W42" s="706">
        <f t="shared" si="14"/>
        <v>100</v>
      </c>
      <c r="X42" s="1355"/>
      <c r="Y42" s="3714"/>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712"/>
      <c r="Q43" s="1352" t="str">
        <f t="shared" si="11"/>
        <v>内部装修维护情况</v>
      </c>
      <c r="R43" s="705" t="s">
        <v>14</v>
      </c>
      <c r="S43" s="706">
        <f t="shared" si="12"/>
        <v>100</v>
      </c>
      <c r="T43" s="705" t="s">
        <v>14</v>
      </c>
      <c r="U43" s="706">
        <f t="shared" si="13"/>
        <v>100</v>
      </c>
      <c r="V43" s="705" t="s">
        <v>14</v>
      </c>
      <c r="W43" s="706">
        <f t="shared" si="14"/>
        <v>100</v>
      </c>
      <c r="X43" s="1355"/>
      <c r="Y43" s="3714"/>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712"/>
      <c r="Q44" s="1343">
        <f t="shared" si="11"/>
        <v>111</v>
      </c>
      <c r="R44" s="701" t="s">
        <v>14</v>
      </c>
      <c r="S44" s="702">
        <f t="shared" si="12"/>
        <v>100</v>
      </c>
      <c r="T44" s="701" t="s">
        <v>14</v>
      </c>
      <c r="U44" s="702">
        <f t="shared" si="13"/>
        <v>100</v>
      </c>
      <c r="V44" s="701" t="s">
        <v>14</v>
      </c>
      <c r="W44" s="702">
        <f t="shared" si="14"/>
        <v>100</v>
      </c>
      <c r="X44" s="703"/>
      <c r="Y44" s="371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712"/>
      <c r="Q45" s="1352">
        <f t="shared" si="11"/>
        <v>111</v>
      </c>
      <c r="R45" s="705" t="s">
        <v>14</v>
      </c>
      <c r="S45" s="706">
        <f t="shared" si="12"/>
        <v>100</v>
      </c>
      <c r="T45" s="705" t="s">
        <v>14</v>
      </c>
      <c r="U45" s="706">
        <f t="shared" si="13"/>
        <v>100</v>
      </c>
      <c r="V45" s="705" t="s">
        <v>14</v>
      </c>
      <c r="W45" s="706">
        <f t="shared" si="14"/>
        <v>100</v>
      </c>
      <c r="X45" s="1355"/>
      <c r="Y45" s="3714"/>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713"/>
      <c r="Q46" s="1352">
        <f t="shared" si="11"/>
        <v>111</v>
      </c>
      <c r="R46" s="705" t="s">
        <v>14</v>
      </c>
      <c r="S46" s="706">
        <f t="shared" si="12"/>
        <v>100</v>
      </c>
      <c r="T46" s="705" t="s">
        <v>14</v>
      </c>
      <c r="U46" s="706">
        <f t="shared" si="13"/>
        <v>100</v>
      </c>
      <c r="V46" s="705" t="s">
        <v>14</v>
      </c>
      <c r="W46" s="706">
        <f t="shared" si="14"/>
        <v>100</v>
      </c>
      <c r="X46" s="1355"/>
      <c r="Y46" s="3715"/>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716" t="str">
        <f>A47</f>
        <v>成交单价（元/平方米）</v>
      </c>
      <c r="Q47" s="3716"/>
      <c r="R47" s="3704">
        <f>E47</f>
        <v>0</v>
      </c>
      <c r="S47" s="3704"/>
      <c r="T47" s="3704">
        <f>G47</f>
        <v>0</v>
      </c>
      <c r="U47" s="3704"/>
      <c r="V47" s="3704">
        <f>I47</f>
        <v>0</v>
      </c>
      <c r="W47" s="3704"/>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716" t="str">
        <f>A48</f>
        <v>比较价值（元/平方米）</v>
      </c>
      <c r="Q48" s="3716"/>
      <c r="R48" s="3717" t="e">
        <f>IF(F1="售价",ROUND(PRODUCT(R47,AA7:AA46),0),ROUND(PRODUCT(R47,AA7:AA46),1))</f>
        <v>#DIV/0!</v>
      </c>
      <c r="S48" s="3717"/>
      <c r="T48" s="3717" t="e">
        <f>IF(F1="售价",ROUND(PRODUCT(T47,AB7:AB46),0),ROUND(PRODUCT(T47,AB7:AB46),1))</f>
        <v>#DIV/0!</v>
      </c>
      <c r="U48" s="3717"/>
      <c r="V48" s="3717" t="e">
        <f>IF(F1="售价",ROUND(PRODUCT(V47,AC7:AC46),0),ROUND(PRODUCT(V47,AC7:AC46),1))</f>
        <v>#DIV/0!</v>
      </c>
      <c r="W48" s="3717"/>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55" t="str">
        <f>A49</f>
        <v>估价对象XX用房的比较价值（楼面单价，元/平方米）</v>
      </c>
      <c r="Q49" s="3756"/>
      <c r="R49" s="3757" t="e">
        <f>IF(F1="售价",ROUND(IF(D48="简单平均",AVERAGE(R48:V48),R48*F48+T48*H48+V48*J48),0),ROUND(IF(D48="简单平均",AVERAGE(R48:V48),R48*F48+T48*H48+V48*J48),1))</f>
        <v>#DIV/0!</v>
      </c>
      <c r="S49" s="3757"/>
      <c r="T49" s="3757"/>
      <c r="U49" s="3757"/>
      <c r="V49" s="3757"/>
      <c r="W49" s="3757"/>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2024-1</v>
      </c>
      <c r="D58" s="1185">
        <f>EDATE(C58,-1)</f>
        <v>45261</v>
      </c>
      <c r="E58" s="1185">
        <f t="shared" ref="E58:N58" si="16">EDATE(D58,-1)</f>
        <v>45231</v>
      </c>
      <c r="F58" s="1185">
        <f t="shared" si="16"/>
        <v>45200</v>
      </c>
      <c r="G58" s="1185">
        <f t="shared" si="16"/>
        <v>45170</v>
      </c>
      <c r="H58" s="1185">
        <f t="shared" si="16"/>
        <v>45139</v>
      </c>
      <c r="I58" s="1185">
        <f t="shared" si="16"/>
        <v>45108</v>
      </c>
      <c r="J58" s="1185">
        <f t="shared" si="16"/>
        <v>45078</v>
      </c>
      <c r="K58" s="1185">
        <f t="shared" si="16"/>
        <v>45047</v>
      </c>
      <c r="L58" s="1185">
        <f t="shared" si="16"/>
        <v>45017</v>
      </c>
      <c r="M58" s="1185">
        <f t="shared" si="16"/>
        <v>44986</v>
      </c>
      <c r="N58" s="1185">
        <f t="shared" si="16"/>
        <v>44958</v>
      </c>
      <c r="O58" s="1185">
        <f>EDATE(N58,-1)</f>
        <v>44927</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18" priority="21" stopIfTrue="1" operator="containsText" text="超过">
      <formula>NOT(ISERROR(SEARCH("超过",F52)))</formula>
    </cfRule>
  </conditionalFormatting>
  <conditionalFormatting sqref="H54">
    <cfRule type="containsText" dxfId="117" priority="19" stopIfTrue="1" operator="containsText" text="超过">
      <formula>NOT(ISERROR(SEARCH("超过",H54)))</formula>
    </cfRule>
  </conditionalFormatting>
  <conditionalFormatting sqref="F54">
    <cfRule type="containsText" dxfId="116" priority="18" stopIfTrue="1" operator="containsText" text="超过">
      <formula>NOT(ISERROR(SEARCH("超过",F54)))</formula>
    </cfRule>
  </conditionalFormatting>
  <conditionalFormatting sqref="F53 H53">
    <cfRule type="containsText" dxfId="115" priority="17" stopIfTrue="1" operator="containsText" text="超过">
      <formula>NOT(ISERROR(SEARCH("超过",F53)))</formula>
    </cfRule>
  </conditionalFormatting>
  <conditionalFormatting sqref="E52">
    <cfRule type="expression" dxfId="114" priority="16" stopIfTrue="1">
      <formula>$F$52="超过30%"</formula>
    </cfRule>
  </conditionalFormatting>
  <conditionalFormatting sqref="E53">
    <cfRule type="expression" dxfId="113" priority="15" stopIfTrue="1">
      <formula>$F$53="超过20%"</formula>
    </cfRule>
  </conditionalFormatting>
  <conditionalFormatting sqref="E54">
    <cfRule type="expression" dxfId="112" priority="14" stopIfTrue="1">
      <formula>$F$54="超过30%"</formula>
    </cfRule>
  </conditionalFormatting>
  <conditionalFormatting sqref="G54">
    <cfRule type="expression" dxfId="111" priority="13" stopIfTrue="1">
      <formula>$H$54="超过30%"</formula>
    </cfRule>
  </conditionalFormatting>
  <conditionalFormatting sqref="G52">
    <cfRule type="expression" dxfId="110" priority="12" stopIfTrue="1">
      <formula>$H$52="超过30%"</formula>
    </cfRule>
  </conditionalFormatting>
  <conditionalFormatting sqref="G53">
    <cfRule type="expression" dxfId="109" priority="11" stopIfTrue="1">
      <formula>$H$53="超过20%"</formula>
    </cfRule>
  </conditionalFormatting>
  <conditionalFormatting sqref="J52">
    <cfRule type="containsText" dxfId="108" priority="10" stopIfTrue="1" operator="containsText" text="超过">
      <formula>NOT(ISERROR(SEARCH("超过",J52)))</formula>
    </cfRule>
  </conditionalFormatting>
  <conditionalFormatting sqref="J54">
    <cfRule type="containsText" dxfId="107" priority="9" stopIfTrue="1" operator="containsText" text="超过">
      <formula>NOT(ISERROR(SEARCH("超过",J54)))</formula>
    </cfRule>
  </conditionalFormatting>
  <conditionalFormatting sqref="J53">
    <cfRule type="containsText" dxfId="106" priority="8" stopIfTrue="1" operator="containsText" text="超过">
      <formula>NOT(ISERROR(SEARCH("超过",J53)))</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68805.62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913"/>
      <c r="M4" s="914"/>
      <c r="N4" s="914"/>
      <c r="O4" s="914"/>
      <c r="P4" s="3751" t="s">
        <v>1775</v>
      </c>
      <c r="Q4" s="3752"/>
      <c r="R4" s="3749" t="s">
        <v>1771</v>
      </c>
      <c r="S4" s="3750"/>
      <c r="T4" s="3749" t="s">
        <v>1772</v>
      </c>
      <c r="U4" s="3750"/>
      <c r="V4" s="3704" t="s">
        <v>1773</v>
      </c>
      <c r="W4" s="3704"/>
      <c r="X4" s="1355"/>
      <c r="Y4" s="3749" t="s">
        <v>1775</v>
      </c>
      <c r="Z4" s="3750"/>
      <c r="AA4" s="3748" t="s">
        <v>1771</v>
      </c>
      <c r="AB4" s="3671" t="s">
        <v>1772</v>
      </c>
      <c r="AC4" s="3748" t="s">
        <v>1773</v>
      </c>
    </row>
    <row r="5" spans="1:29" ht="15">
      <c r="A5" s="358"/>
      <c r="B5" s="359"/>
      <c r="C5" s="3681" t="s">
        <v>1673</v>
      </c>
      <c r="D5" s="3682"/>
      <c r="E5" s="3679" t="s">
        <v>1674</v>
      </c>
      <c r="F5" s="3680"/>
      <c r="G5" s="3681" t="s">
        <v>1675</v>
      </c>
      <c r="H5" s="3682"/>
      <c r="I5" s="3681" t="s">
        <v>1676</v>
      </c>
      <c r="J5" s="3682"/>
      <c r="K5" s="559"/>
      <c r="L5" s="913"/>
      <c r="M5" s="914"/>
      <c r="N5" s="914"/>
      <c r="O5" s="914"/>
      <c r="P5" s="3753"/>
      <c r="Q5" s="3698"/>
      <c r="R5" s="3677"/>
      <c r="S5" s="3678"/>
      <c r="T5" s="3677"/>
      <c r="U5" s="3678"/>
      <c r="V5" s="3704"/>
      <c r="W5" s="3704"/>
      <c r="X5" s="1355"/>
      <c r="Y5" s="3677"/>
      <c r="Z5" s="3678"/>
      <c r="AA5" s="3671"/>
      <c r="AB5" s="3671"/>
      <c r="AC5" s="3671"/>
    </row>
    <row r="6" spans="1:29" ht="15.75" thickBot="1">
      <c r="A6" s="360"/>
      <c r="B6" s="361"/>
      <c r="C6" s="3683" t="s">
        <v>1677</v>
      </c>
      <c r="D6" s="3684"/>
      <c r="E6" s="3685" t="s">
        <v>1677</v>
      </c>
      <c r="F6" s="3686"/>
      <c r="G6" s="3683" t="s">
        <v>1677</v>
      </c>
      <c r="H6" s="3684"/>
      <c r="I6" s="3683" t="s">
        <v>1677</v>
      </c>
      <c r="J6" s="3684"/>
      <c r="K6" s="559" t="s">
        <v>1678</v>
      </c>
      <c r="L6" s="913"/>
      <c r="M6" s="914"/>
      <c r="N6" s="914"/>
      <c r="O6" s="914"/>
      <c r="P6" s="3754"/>
      <c r="Q6" s="3700"/>
      <c r="R6" s="3677"/>
      <c r="S6" s="3678"/>
      <c r="T6" s="3701"/>
      <c r="U6" s="3702"/>
      <c r="V6" s="3704"/>
      <c r="W6" s="3704"/>
      <c r="X6" s="1355"/>
      <c r="Y6" s="3701"/>
      <c r="Z6" s="3702"/>
      <c r="AA6" s="3672"/>
      <c r="AB6" s="3672"/>
      <c r="AC6" s="3672"/>
    </row>
    <row r="7" spans="1:29" s="108" customFormat="1" ht="15.75" thickBot="1">
      <c r="A7" s="362" t="s">
        <v>1679</v>
      </c>
      <c r="B7" s="363"/>
      <c r="C7" s="364">
        <f>'数据-取费表'!B2</f>
        <v>45321</v>
      </c>
      <c r="D7" s="365">
        <v>100</v>
      </c>
      <c r="E7" s="366"/>
      <c r="F7" s="367">
        <f>SUMIF(52:52,YEAR(E7)&amp;"-"&amp;MONTH(E7),53:53)</f>
        <v>0</v>
      </c>
      <c r="G7" s="366"/>
      <c r="H7" s="365">
        <f>SUMIF(52:52,YEAR(G7)&amp;"-"&amp;MONTH(G7),53:53)</f>
        <v>0</v>
      </c>
      <c r="I7" s="366"/>
      <c r="J7" s="365">
        <f>SUMIF(52:52,YEAR(I7)&amp;"-"&amp;MONTH(I7),53:53)</f>
        <v>0</v>
      </c>
      <c r="K7" s="560"/>
      <c r="L7" s="915"/>
      <c r="M7" s="916"/>
      <c r="N7" s="916"/>
      <c r="O7" s="916"/>
      <c r="P7" s="3673" t="s">
        <v>1680</v>
      </c>
      <c r="Q7" s="3706"/>
      <c r="R7" s="701" t="s">
        <v>14</v>
      </c>
      <c r="S7" s="702">
        <f t="shared" ref="S7:S15" si="0">F7</f>
        <v>0</v>
      </c>
      <c r="T7" s="701" t="s">
        <v>14</v>
      </c>
      <c r="U7" s="702">
        <f t="shared" ref="U7:U15" si="1">H7</f>
        <v>0</v>
      </c>
      <c r="V7" s="701" t="s">
        <v>14</v>
      </c>
      <c r="W7" s="702">
        <f t="shared" ref="W7:W15" si="2">J7</f>
        <v>0</v>
      </c>
      <c r="X7" s="703"/>
      <c r="Y7" s="3673" t="s">
        <v>1680</v>
      </c>
      <c r="Z7" s="3674"/>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73" t="s">
        <v>1683</v>
      </c>
      <c r="Q8" s="3674"/>
      <c r="R8" s="701" t="s">
        <v>14</v>
      </c>
      <c r="S8" s="702">
        <f t="shared" si="0"/>
        <v>100</v>
      </c>
      <c r="T8" s="701" t="s">
        <v>14</v>
      </c>
      <c r="U8" s="702">
        <f t="shared" si="1"/>
        <v>100</v>
      </c>
      <c r="V8" s="701" t="s">
        <v>14</v>
      </c>
      <c r="W8" s="702">
        <f t="shared" si="2"/>
        <v>100</v>
      </c>
      <c r="X8" s="703"/>
      <c r="Y8" s="3673" t="s">
        <v>1683</v>
      </c>
      <c r="Z8" s="3674"/>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16"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716"/>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16"/>
      <c r="Q11" s="1343" t="str">
        <f t="shared" si="6"/>
        <v>容积率</v>
      </c>
      <c r="R11" s="701" t="s">
        <v>14</v>
      </c>
      <c r="S11" s="702">
        <f t="shared" si="0"/>
        <v>100</v>
      </c>
      <c r="T11" s="701" t="s">
        <v>14</v>
      </c>
      <c r="U11" s="702">
        <f t="shared" si="1"/>
        <v>100</v>
      </c>
      <c r="V11" s="701" t="s">
        <v>14</v>
      </c>
      <c r="W11" s="702">
        <f t="shared" si="2"/>
        <v>100</v>
      </c>
      <c r="X11" s="703"/>
      <c r="Y11" s="3646"/>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16"/>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16"/>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16"/>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09" t="s">
        <v>1691</v>
      </c>
      <c r="Q15" s="1352" t="str">
        <f t="shared" si="6"/>
        <v>产业集聚程度</v>
      </c>
      <c r="R15" s="705" t="s">
        <v>14</v>
      </c>
      <c r="S15" s="706">
        <f t="shared" si="0"/>
        <v>100</v>
      </c>
      <c r="T15" s="705" t="s">
        <v>14</v>
      </c>
      <c r="U15" s="706">
        <f t="shared" si="1"/>
        <v>100</v>
      </c>
      <c r="V15" s="705" t="s">
        <v>14</v>
      </c>
      <c r="W15" s="706">
        <f t="shared" si="2"/>
        <v>100</v>
      </c>
      <c r="X15" s="1355"/>
      <c r="Y15" s="3709"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10"/>
      <c r="Q16" s="1352"/>
      <c r="R16" s="705"/>
      <c r="S16" s="706"/>
      <c r="T16" s="705"/>
      <c r="U16" s="706"/>
      <c r="V16" s="705"/>
      <c r="W16" s="706"/>
      <c r="X16" s="1355"/>
      <c r="Y16" s="3710"/>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10"/>
      <c r="Q17" s="1352" t="str">
        <f>B17</f>
        <v>交通便捷度</v>
      </c>
      <c r="R17" s="705" t="s">
        <v>14</v>
      </c>
      <c r="S17" s="706">
        <f>F17</f>
        <v>100</v>
      </c>
      <c r="T17" s="705" t="s">
        <v>14</v>
      </c>
      <c r="U17" s="706">
        <f>H17</f>
        <v>100</v>
      </c>
      <c r="V17" s="705" t="s">
        <v>14</v>
      </c>
      <c r="W17" s="706">
        <f>J17</f>
        <v>100</v>
      </c>
      <c r="X17" s="1355"/>
      <c r="Y17" s="371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10"/>
      <c r="Q18" s="1352"/>
      <c r="R18" s="705"/>
      <c r="S18" s="706"/>
      <c r="T18" s="705"/>
      <c r="U18" s="706"/>
      <c r="V18" s="705"/>
      <c r="W18" s="706"/>
      <c r="X18" s="1355"/>
      <c r="Y18" s="3710"/>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10"/>
      <c r="Q19" s="1352" t="str">
        <f>B19</f>
        <v>公共配套设施</v>
      </c>
      <c r="R19" s="705" t="s">
        <v>14</v>
      </c>
      <c r="S19" s="706">
        <f>F19</f>
        <v>100</v>
      </c>
      <c r="T19" s="705" t="s">
        <v>14</v>
      </c>
      <c r="U19" s="706">
        <f>H19</f>
        <v>100</v>
      </c>
      <c r="V19" s="705" t="s">
        <v>14</v>
      </c>
      <c r="W19" s="706">
        <f>J19</f>
        <v>100</v>
      </c>
      <c r="X19" s="1355"/>
      <c r="Y19" s="371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10"/>
      <c r="Q20" s="1352"/>
      <c r="R20" s="705"/>
      <c r="S20" s="706"/>
      <c r="T20" s="705"/>
      <c r="U20" s="706"/>
      <c r="V20" s="705"/>
      <c r="W20" s="706"/>
      <c r="X20" s="1355"/>
      <c r="Y20" s="3710"/>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10"/>
      <c r="Q21" s="1352" t="str">
        <f>B21</f>
        <v>基础设施水平</v>
      </c>
      <c r="R21" s="705" t="s">
        <v>14</v>
      </c>
      <c r="S21" s="706">
        <f>F21</f>
        <v>100</v>
      </c>
      <c r="T21" s="705" t="s">
        <v>14</v>
      </c>
      <c r="U21" s="706">
        <f>H21</f>
        <v>100</v>
      </c>
      <c r="V21" s="705" t="s">
        <v>14</v>
      </c>
      <c r="W21" s="706">
        <f>J21</f>
        <v>100</v>
      </c>
      <c r="X21" s="1355"/>
      <c r="Y21" s="371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10"/>
      <c r="Q22" s="1352"/>
      <c r="R22" s="705"/>
      <c r="S22" s="706"/>
      <c r="T22" s="705"/>
      <c r="U22" s="706"/>
      <c r="V22" s="705"/>
      <c r="W22" s="706"/>
      <c r="X22" s="1355"/>
      <c r="Y22" s="3710"/>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10"/>
      <c r="Q23" s="1352" t="str">
        <f>B23</f>
        <v>环境质量</v>
      </c>
      <c r="R23" s="705" t="s">
        <v>14</v>
      </c>
      <c r="S23" s="706">
        <f>F23</f>
        <v>100</v>
      </c>
      <c r="T23" s="705" t="s">
        <v>14</v>
      </c>
      <c r="U23" s="706">
        <f>H23</f>
        <v>100</v>
      </c>
      <c r="V23" s="705" t="s">
        <v>14</v>
      </c>
      <c r="W23" s="706">
        <f>J23</f>
        <v>100</v>
      </c>
      <c r="X23" s="1355"/>
      <c r="Y23" s="3710"/>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10"/>
      <c r="Q24" s="1352"/>
      <c r="R24" s="705"/>
      <c r="S24" s="706"/>
      <c r="T24" s="705"/>
      <c r="U24" s="706"/>
      <c r="V24" s="705"/>
      <c r="W24" s="706"/>
      <c r="X24" s="1355"/>
      <c r="Y24" s="3710"/>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10"/>
      <c r="Q25" s="1352">
        <f>B25</f>
        <v>111</v>
      </c>
      <c r="R25" s="705" t="s">
        <v>14</v>
      </c>
      <c r="S25" s="706">
        <f>F25</f>
        <v>100</v>
      </c>
      <c r="T25" s="705" t="s">
        <v>14</v>
      </c>
      <c r="U25" s="706">
        <f>H25</f>
        <v>100</v>
      </c>
      <c r="V25" s="705" t="s">
        <v>14</v>
      </c>
      <c r="W25" s="706">
        <f>J25</f>
        <v>100</v>
      </c>
      <c r="X25" s="1355"/>
      <c r="Y25" s="3710"/>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10"/>
      <c r="Q26" s="1352">
        <f t="shared" ref="Q26:Q40" si="11">B26</f>
        <v>111</v>
      </c>
      <c r="R26" s="705" t="s">
        <v>14</v>
      </c>
      <c r="S26" s="706">
        <f>F26</f>
        <v>100</v>
      </c>
      <c r="T26" s="705" t="s">
        <v>14</v>
      </c>
      <c r="U26" s="706">
        <f>H26</f>
        <v>100</v>
      </c>
      <c r="V26" s="705" t="s">
        <v>14</v>
      </c>
      <c r="W26" s="706">
        <f>J26</f>
        <v>100</v>
      </c>
      <c r="X26" s="1355"/>
      <c r="Y26" s="3710"/>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10"/>
      <c r="Q27" s="1343">
        <f t="shared" si="11"/>
        <v>111</v>
      </c>
      <c r="R27" s="701" t="s">
        <v>14</v>
      </c>
      <c r="S27" s="702">
        <f>F27</f>
        <v>100</v>
      </c>
      <c r="T27" s="701" t="s">
        <v>14</v>
      </c>
      <c r="U27" s="702">
        <f>H27</f>
        <v>100</v>
      </c>
      <c r="V27" s="701" t="s">
        <v>14</v>
      </c>
      <c r="W27" s="702">
        <f>J27</f>
        <v>100</v>
      </c>
      <c r="X27" s="703"/>
      <c r="Y27" s="3710"/>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10"/>
      <c r="Q28" s="1352">
        <f t="shared" si="11"/>
        <v>111</v>
      </c>
      <c r="R28" s="705" t="s">
        <v>14</v>
      </c>
      <c r="S28" s="706">
        <f t="shared" ref="S28:S40" si="12">F28</f>
        <v>100</v>
      </c>
      <c r="T28" s="705" t="s">
        <v>14</v>
      </c>
      <c r="U28" s="706">
        <f t="shared" ref="U28:U40" si="13">H28</f>
        <v>100</v>
      </c>
      <c r="V28" s="705" t="s">
        <v>14</v>
      </c>
      <c r="W28" s="706">
        <f t="shared" ref="W28:W40" si="14">J28</f>
        <v>100</v>
      </c>
      <c r="X28" s="1355"/>
      <c r="Y28" s="3710"/>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8" t="s">
        <v>1696</v>
      </c>
      <c r="Q29" s="1352" t="str">
        <f t="shared" si="11"/>
        <v>建筑类型</v>
      </c>
      <c r="R29" s="705" t="s">
        <v>14</v>
      </c>
      <c r="S29" s="706">
        <f t="shared" si="12"/>
        <v>100</v>
      </c>
      <c r="T29" s="705" t="s">
        <v>14</v>
      </c>
      <c r="U29" s="706">
        <f t="shared" si="13"/>
        <v>100</v>
      </c>
      <c r="V29" s="705" t="s">
        <v>14</v>
      </c>
      <c r="W29" s="706">
        <f t="shared" si="14"/>
        <v>100</v>
      </c>
      <c r="X29" s="1355"/>
      <c r="Y29" s="3714"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4"/>
      <c r="Q30" s="707" t="str">
        <f t="shared" si="11"/>
        <v>项目建筑规模</v>
      </c>
      <c r="R30" s="708" t="s">
        <v>14</v>
      </c>
      <c r="S30" s="709" t="e">
        <f t="shared" si="12"/>
        <v>#N/A</v>
      </c>
      <c r="T30" s="708" t="s">
        <v>14</v>
      </c>
      <c r="U30" s="709" t="e">
        <f t="shared" si="13"/>
        <v>#N/A</v>
      </c>
      <c r="V30" s="708" t="s">
        <v>14</v>
      </c>
      <c r="W30" s="709" t="e">
        <f t="shared" si="14"/>
        <v>#N/A</v>
      </c>
      <c r="X30" s="710"/>
      <c r="Y30" s="3714"/>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4"/>
      <c r="Q31" s="1352" t="str">
        <f t="shared" si="11"/>
        <v>建筑结构</v>
      </c>
      <c r="R31" s="705" t="s">
        <v>14</v>
      </c>
      <c r="S31" s="706">
        <f t="shared" si="12"/>
        <v>100</v>
      </c>
      <c r="T31" s="705" t="s">
        <v>14</v>
      </c>
      <c r="U31" s="706">
        <f t="shared" si="13"/>
        <v>100</v>
      </c>
      <c r="V31" s="705" t="s">
        <v>14</v>
      </c>
      <c r="W31" s="706">
        <f t="shared" si="14"/>
        <v>100</v>
      </c>
      <c r="X31" s="1355"/>
      <c r="Y31" s="3714"/>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4"/>
      <c r="Q32" s="1352" t="str">
        <f t="shared" si="11"/>
        <v>公共部分装修</v>
      </c>
      <c r="R32" s="705" t="s">
        <v>14</v>
      </c>
      <c r="S32" s="706">
        <f t="shared" si="12"/>
        <v>100</v>
      </c>
      <c r="T32" s="705" t="s">
        <v>14</v>
      </c>
      <c r="U32" s="706">
        <f t="shared" si="13"/>
        <v>100</v>
      </c>
      <c r="V32" s="705" t="s">
        <v>14</v>
      </c>
      <c r="W32" s="706">
        <f t="shared" si="14"/>
        <v>100</v>
      </c>
      <c r="X32" s="1355"/>
      <c r="Y32" s="3714"/>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4"/>
      <c r="Q33" s="1352" t="str">
        <f t="shared" si="11"/>
        <v>成新度</v>
      </c>
      <c r="R33" s="705" t="s">
        <v>14</v>
      </c>
      <c r="S33" s="706" t="e">
        <f t="shared" si="12"/>
        <v>#N/A</v>
      </c>
      <c r="T33" s="705" t="s">
        <v>14</v>
      </c>
      <c r="U33" s="706" t="e">
        <f t="shared" si="13"/>
        <v>#N/A</v>
      </c>
      <c r="V33" s="705" t="s">
        <v>14</v>
      </c>
      <c r="W33" s="706" t="e">
        <f t="shared" si="14"/>
        <v>#N/A</v>
      </c>
      <c r="X33" s="1355"/>
      <c r="Y33" s="3714"/>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4"/>
      <c r="Q34" s="1343" t="str">
        <f t="shared" si="11"/>
        <v>物业管理</v>
      </c>
      <c r="R34" s="701" t="s">
        <v>14</v>
      </c>
      <c r="S34" s="702">
        <f t="shared" si="12"/>
        <v>100</v>
      </c>
      <c r="T34" s="701" t="s">
        <v>14</v>
      </c>
      <c r="U34" s="702">
        <f t="shared" si="13"/>
        <v>100</v>
      </c>
      <c r="V34" s="701" t="s">
        <v>14</v>
      </c>
      <c r="W34" s="702">
        <f t="shared" si="14"/>
        <v>100</v>
      </c>
      <c r="X34" s="703"/>
      <c r="Y34" s="3714"/>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4" t="s">
        <v>1696</v>
      </c>
      <c r="Q35" s="1352" t="str">
        <f t="shared" si="11"/>
        <v>市政基础设施</v>
      </c>
      <c r="R35" s="705" t="s">
        <v>14</v>
      </c>
      <c r="S35" s="706">
        <f t="shared" si="12"/>
        <v>100</v>
      </c>
      <c r="T35" s="705" t="s">
        <v>14</v>
      </c>
      <c r="U35" s="706">
        <f t="shared" si="13"/>
        <v>100</v>
      </c>
      <c r="V35" s="705" t="s">
        <v>14</v>
      </c>
      <c r="W35" s="706">
        <f t="shared" si="14"/>
        <v>100</v>
      </c>
      <c r="X35" s="1355"/>
      <c r="Y35" s="3714"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4"/>
      <c r="Q36" s="1352" t="str">
        <f t="shared" si="11"/>
        <v>内部装修</v>
      </c>
      <c r="R36" s="705" t="s">
        <v>14</v>
      </c>
      <c r="S36" s="706">
        <f t="shared" si="12"/>
        <v>100</v>
      </c>
      <c r="T36" s="705" t="s">
        <v>14</v>
      </c>
      <c r="U36" s="706">
        <f t="shared" si="13"/>
        <v>100</v>
      </c>
      <c r="V36" s="705" t="s">
        <v>14</v>
      </c>
      <c r="W36" s="706">
        <f t="shared" si="14"/>
        <v>100</v>
      </c>
      <c r="X36" s="1355"/>
      <c r="Y36" s="3714"/>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4"/>
      <c r="Q37" s="1352" t="str">
        <f t="shared" si="11"/>
        <v>内部装修状况</v>
      </c>
      <c r="R37" s="705" t="s">
        <v>14</v>
      </c>
      <c r="S37" s="706">
        <f t="shared" si="12"/>
        <v>100</v>
      </c>
      <c r="T37" s="705" t="s">
        <v>14</v>
      </c>
      <c r="U37" s="706">
        <f t="shared" si="13"/>
        <v>100</v>
      </c>
      <c r="V37" s="705" t="s">
        <v>14</v>
      </c>
      <c r="W37" s="706">
        <f t="shared" si="14"/>
        <v>100</v>
      </c>
      <c r="X37" s="1355"/>
      <c r="Y37" s="3714"/>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4"/>
      <c r="Q38" s="707">
        <f t="shared" si="11"/>
        <v>111</v>
      </c>
      <c r="R38" s="708" t="s">
        <v>14</v>
      </c>
      <c r="S38" s="709">
        <f t="shared" si="12"/>
        <v>100</v>
      </c>
      <c r="T38" s="708" t="s">
        <v>14</v>
      </c>
      <c r="U38" s="709">
        <f t="shared" si="13"/>
        <v>100</v>
      </c>
      <c r="V38" s="708" t="s">
        <v>14</v>
      </c>
      <c r="W38" s="709">
        <f t="shared" si="14"/>
        <v>100</v>
      </c>
      <c r="X38" s="710"/>
      <c r="Y38" s="3714"/>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4"/>
      <c r="Q39" s="1352">
        <f t="shared" si="11"/>
        <v>111</v>
      </c>
      <c r="R39" s="705" t="s">
        <v>14</v>
      </c>
      <c r="S39" s="706">
        <f t="shared" si="12"/>
        <v>100</v>
      </c>
      <c r="T39" s="705" t="s">
        <v>14</v>
      </c>
      <c r="U39" s="706">
        <f t="shared" si="13"/>
        <v>100</v>
      </c>
      <c r="V39" s="705" t="s">
        <v>14</v>
      </c>
      <c r="W39" s="706">
        <f t="shared" si="14"/>
        <v>100</v>
      </c>
      <c r="X39" s="1355"/>
      <c r="Y39" s="3714"/>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15"/>
      <c r="Q40" s="1352">
        <f t="shared" si="11"/>
        <v>111</v>
      </c>
      <c r="R40" s="705" t="s">
        <v>14</v>
      </c>
      <c r="S40" s="706">
        <f t="shared" si="12"/>
        <v>100</v>
      </c>
      <c r="T40" s="705" t="s">
        <v>14</v>
      </c>
      <c r="U40" s="706">
        <f t="shared" si="13"/>
        <v>100</v>
      </c>
      <c r="V40" s="705" t="s">
        <v>14</v>
      </c>
      <c r="W40" s="706">
        <f t="shared" si="14"/>
        <v>100</v>
      </c>
      <c r="X40" s="1355"/>
      <c r="Y40" s="3715"/>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16" t="str">
        <f>A41</f>
        <v>成交单价（元/平方米）</v>
      </c>
      <c r="Q41" s="3716"/>
      <c r="R41" s="3717">
        <f>E41</f>
        <v>0</v>
      </c>
      <c r="S41" s="3717"/>
      <c r="T41" s="3717">
        <f>G41</f>
        <v>0</v>
      </c>
      <c r="U41" s="3717"/>
      <c r="V41" s="3717">
        <f>I41</f>
        <v>0</v>
      </c>
      <c r="W41" s="3717"/>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16" t="str">
        <f>A42</f>
        <v>比较价值（元/平方米）</v>
      </c>
      <c r="Q42" s="3716"/>
      <c r="R42" s="3717" t="e">
        <f>IF(F1="售价",ROUND(PRODUCT(R41,AA7:AA40),0),ROUND(PRODUCT(R41,AA7:AA40),1))</f>
        <v>#DIV/0!</v>
      </c>
      <c r="S42" s="3717"/>
      <c r="T42" s="3717" t="e">
        <f>IF(F1="售价",ROUND(PRODUCT(T41,AB7:AB40),0),ROUND(PRODUCT(T41,AB7:AB40),1))</f>
        <v>#DIV/0!</v>
      </c>
      <c r="U42" s="3717"/>
      <c r="V42" s="3717" t="e">
        <f>IF(F1="售价",ROUND(PRODUCT(V41,AC7:AC40),0),ROUND(PRODUCT(V41,AC7:AC40),1))</f>
        <v>#DIV/0!</v>
      </c>
      <c r="W42" s="3717"/>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55" t="str">
        <f>A43</f>
        <v>估价对象XX用房的比较价值（楼面单价，元/平方米）</v>
      </c>
      <c r="Q43" s="3756"/>
      <c r="R43" s="3757" t="e">
        <f>IF(F1="售价",ROUND(IF(D42="简单平均",AVERAGE(R42:V42),R42*F42+T42*H42+V42*J42),0),ROUND(IF(D42="简单平均",AVERAGE(R42:V42),R42*F42+T42*H42+V42*J42),1))</f>
        <v>#DIV/0!</v>
      </c>
      <c r="S43" s="3757"/>
      <c r="T43" s="3757"/>
      <c r="U43" s="3757"/>
      <c r="V43" s="3757"/>
      <c r="W43" s="3757"/>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2024-1</v>
      </c>
      <c r="D52" s="1185">
        <f>EDATE(C52,-1)</f>
        <v>45261</v>
      </c>
      <c r="E52" s="1185">
        <f t="shared" ref="E52:O52" si="16">EDATE(D52,-1)</f>
        <v>45231</v>
      </c>
      <c r="F52" s="1185">
        <f t="shared" si="16"/>
        <v>45200</v>
      </c>
      <c r="G52" s="1185">
        <f t="shared" si="16"/>
        <v>45170</v>
      </c>
      <c r="H52" s="1185">
        <f t="shared" si="16"/>
        <v>45139</v>
      </c>
      <c r="I52" s="1185">
        <f t="shared" si="16"/>
        <v>45108</v>
      </c>
      <c r="J52" s="1185">
        <f t="shared" si="16"/>
        <v>45078</v>
      </c>
      <c r="K52" s="1185">
        <f t="shared" si="16"/>
        <v>45047</v>
      </c>
      <c r="L52" s="1185">
        <f t="shared" si="16"/>
        <v>45017</v>
      </c>
      <c r="M52" s="1185">
        <f t="shared" si="16"/>
        <v>44986</v>
      </c>
      <c r="N52" s="1185">
        <f t="shared" si="16"/>
        <v>44958</v>
      </c>
      <c r="O52" s="1185">
        <f t="shared" si="16"/>
        <v>44927</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751" t="s">
        <v>1775</v>
      </c>
      <c r="Q4" s="3752"/>
      <c r="R4" s="3749" t="s">
        <v>1771</v>
      </c>
      <c r="S4" s="3750"/>
      <c r="T4" s="3749" t="s">
        <v>1772</v>
      </c>
      <c r="U4" s="3750"/>
      <c r="V4" s="3704" t="s">
        <v>1773</v>
      </c>
      <c r="W4" s="3704"/>
      <c r="X4" s="1355"/>
      <c r="Y4" s="3749" t="s">
        <v>1775</v>
      </c>
      <c r="Z4" s="3750"/>
      <c r="AA4" s="3748" t="s">
        <v>1771</v>
      </c>
      <c r="AB4" s="3671" t="s">
        <v>1772</v>
      </c>
      <c r="AC4" s="3748" t="s">
        <v>1773</v>
      </c>
    </row>
    <row r="5" spans="1:29" ht="15">
      <c r="A5" s="358"/>
      <c r="B5" s="359"/>
      <c r="C5" s="3681" t="s">
        <v>1673</v>
      </c>
      <c r="D5" s="3682"/>
      <c r="E5" s="3679" t="s">
        <v>1674</v>
      </c>
      <c r="F5" s="3680"/>
      <c r="G5" s="3681" t="s">
        <v>1675</v>
      </c>
      <c r="H5" s="3682"/>
      <c r="I5" s="3681" t="s">
        <v>1676</v>
      </c>
      <c r="J5" s="3682"/>
      <c r="K5" s="559"/>
      <c r="L5" s="2715"/>
      <c r="M5" s="2716"/>
      <c r="N5" s="2716"/>
      <c r="O5" s="2716"/>
      <c r="P5" s="3753"/>
      <c r="Q5" s="3698"/>
      <c r="R5" s="3677"/>
      <c r="S5" s="3678"/>
      <c r="T5" s="3677"/>
      <c r="U5" s="3678"/>
      <c r="V5" s="3704"/>
      <c r="W5" s="3704"/>
      <c r="X5" s="1355"/>
      <c r="Y5" s="3677"/>
      <c r="Z5" s="3678"/>
      <c r="AA5" s="3671"/>
      <c r="AB5" s="3671"/>
      <c r="AC5" s="3671"/>
    </row>
    <row r="6" spans="1:29" ht="15.75" thickBot="1">
      <c r="A6" s="360"/>
      <c r="B6" s="361"/>
      <c r="C6" s="3683" t="s">
        <v>1677</v>
      </c>
      <c r="D6" s="3684"/>
      <c r="E6" s="3685" t="s">
        <v>1677</v>
      </c>
      <c r="F6" s="3686"/>
      <c r="G6" s="3683" t="s">
        <v>1677</v>
      </c>
      <c r="H6" s="3684"/>
      <c r="I6" s="3683" t="s">
        <v>1677</v>
      </c>
      <c r="J6" s="3684"/>
      <c r="K6" s="559" t="s">
        <v>1678</v>
      </c>
      <c r="L6" s="2715"/>
      <c r="M6" s="2716"/>
      <c r="N6" s="2716"/>
      <c r="O6" s="2716"/>
      <c r="P6" s="3754"/>
      <c r="Q6" s="3700"/>
      <c r="R6" s="3677"/>
      <c r="S6" s="3678"/>
      <c r="T6" s="3701"/>
      <c r="U6" s="3702"/>
      <c r="V6" s="3704"/>
      <c r="W6" s="3704"/>
      <c r="X6" s="1355"/>
      <c r="Y6" s="3701"/>
      <c r="Z6" s="3702"/>
      <c r="AA6" s="3672"/>
      <c r="AB6" s="3672"/>
      <c r="AC6" s="3672"/>
    </row>
    <row r="7" spans="1:29" s="108" customFormat="1" ht="15.75" thickBot="1">
      <c r="A7" s="362" t="s">
        <v>1679</v>
      </c>
      <c r="B7" s="363"/>
      <c r="C7" s="364">
        <f>'数据-取费表'!B2</f>
        <v>45321</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73" t="s">
        <v>1680</v>
      </c>
      <c r="Q7" s="3706"/>
      <c r="R7" s="701" t="s">
        <v>14</v>
      </c>
      <c r="S7" s="702">
        <f t="shared" ref="S7:S14" si="0">F7</f>
        <v>0</v>
      </c>
      <c r="T7" s="701" t="s">
        <v>14</v>
      </c>
      <c r="U7" s="702">
        <f t="shared" ref="U7:U14" si="1">H7</f>
        <v>0</v>
      </c>
      <c r="V7" s="701" t="s">
        <v>14</v>
      </c>
      <c r="W7" s="702">
        <f t="shared" ref="W7:W14" si="2">J7</f>
        <v>0</v>
      </c>
      <c r="X7" s="703"/>
      <c r="Y7" s="3673" t="s">
        <v>1680</v>
      </c>
      <c r="Z7" s="3674"/>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73" t="s">
        <v>1683</v>
      </c>
      <c r="Q8" s="3674"/>
      <c r="R8" s="701" t="s">
        <v>14</v>
      </c>
      <c r="S8" s="702">
        <f t="shared" si="0"/>
        <v>100</v>
      </c>
      <c r="T8" s="701" t="s">
        <v>14</v>
      </c>
      <c r="U8" s="702">
        <f t="shared" si="1"/>
        <v>100</v>
      </c>
      <c r="V8" s="701" t="s">
        <v>14</v>
      </c>
      <c r="W8" s="702">
        <f t="shared" si="2"/>
        <v>100</v>
      </c>
      <c r="X8" s="703"/>
      <c r="Y8" s="3673" t="s">
        <v>1683</v>
      </c>
      <c r="Z8" s="3674"/>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716" t="s">
        <v>1686</v>
      </c>
      <c r="Q9" s="1343" t="str">
        <f t="shared" ref="Q9:Q14" si="6">B9</f>
        <v>用途</v>
      </c>
      <c r="R9" s="701" t="s">
        <v>14</v>
      </c>
      <c r="S9" s="702">
        <f t="shared" si="0"/>
        <v>100</v>
      </c>
      <c r="T9" s="701" t="s">
        <v>14</v>
      </c>
      <c r="U9" s="702">
        <f t="shared" si="1"/>
        <v>100</v>
      </c>
      <c r="V9" s="701" t="s">
        <v>14</v>
      </c>
      <c r="W9" s="702">
        <f t="shared" si="2"/>
        <v>100</v>
      </c>
      <c r="X9" s="703"/>
      <c r="Y9" s="3646"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716"/>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716"/>
      <c r="Q11" s="1343">
        <f t="shared" si="6"/>
        <v>111</v>
      </c>
      <c r="R11" s="701" t="s">
        <v>14</v>
      </c>
      <c r="S11" s="702">
        <f t="shared" si="0"/>
        <v>100</v>
      </c>
      <c r="T11" s="701" t="s">
        <v>14</v>
      </c>
      <c r="U11" s="702">
        <f t="shared" si="1"/>
        <v>100</v>
      </c>
      <c r="V11" s="701" t="s">
        <v>14</v>
      </c>
      <c r="W11" s="702">
        <f t="shared" si="2"/>
        <v>100</v>
      </c>
      <c r="X11" s="703"/>
      <c r="Y11" s="364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716"/>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716"/>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709" t="s">
        <v>1691</v>
      </c>
      <c r="Q14" s="1352" t="str">
        <f t="shared" si="6"/>
        <v>交通便捷度</v>
      </c>
      <c r="R14" s="705" t="s">
        <v>14</v>
      </c>
      <c r="S14" s="706">
        <f t="shared" si="0"/>
        <v>100</v>
      </c>
      <c r="T14" s="705" t="s">
        <v>14</v>
      </c>
      <c r="U14" s="706">
        <f t="shared" si="1"/>
        <v>100</v>
      </c>
      <c r="V14" s="705" t="s">
        <v>14</v>
      </c>
      <c r="W14" s="706">
        <f t="shared" si="2"/>
        <v>100</v>
      </c>
      <c r="X14" s="1355"/>
      <c r="Y14" s="3709"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710"/>
      <c r="Q15" s="1352"/>
      <c r="R15" s="705"/>
      <c r="S15" s="706"/>
      <c r="T15" s="705"/>
      <c r="U15" s="706"/>
      <c r="V15" s="705"/>
      <c r="W15" s="706"/>
      <c r="X15" s="1355"/>
      <c r="Y15" s="3710"/>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710"/>
      <c r="Q16" s="1352" t="str">
        <f>B16</f>
        <v>公共配套设施</v>
      </c>
      <c r="R16" s="705" t="s">
        <v>14</v>
      </c>
      <c r="S16" s="706">
        <f>F16</f>
        <v>100</v>
      </c>
      <c r="T16" s="705" t="s">
        <v>14</v>
      </c>
      <c r="U16" s="706">
        <f>H16</f>
        <v>100</v>
      </c>
      <c r="V16" s="705" t="s">
        <v>14</v>
      </c>
      <c r="W16" s="706">
        <f>J16</f>
        <v>100</v>
      </c>
      <c r="X16" s="1355"/>
      <c r="Y16" s="3710"/>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710"/>
      <c r="Q17" s="1352"/>
      <c r="R17" s="705"/>
      <c r="S17" s="706"/>
      <c r="T17" s="705"/>
      <c r="U17" s="706"/>
      <c r="V17" s="705"/>
      <c r="W17" s="706"/>
      <c r="X17" s="1355"/>
      <c r="Y17" s="3710"/>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710"/>
      <c r="Q18" s="1352" t="str">
        <f>B18</f>
        <v>基础设施水平</v>
      </c>
      <c r="R18" s="705" t="s">
        <v>14</v>
      </c>
      <c r="S18" s="706">
        <f>F18</f>
        <v>100</v>
      </c>
      <c r="T18" s="705" t="s">
        <v>14</v>
      </c>
      <c r="U18" s="706">
        <f>H18</f>
        <v>100</v>
      </c>
      <c r="V18" s="705" t="s">
        <v>14</v>
      </c>
      <c r="W18" s="706">
        <f>J18</f>
        <v>100</v>
      </c>
      <c r="X18" s="1355"/>
      <c r="Y18" s="3710"/>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710"/>
      <c r="Q19" s="1352"/>
      <c r="R19" s="705"/>
      <c r="S19" s="706"/>
      <c r="T19" s="705"/>
      <c r="U19" s="706"/>
      <c r="V19" s="705"/>
      <c r="W19" s="706"/>
      <c r="X19" s="1355"/>
      <c r="Y19" s="3710"/>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710"/>
      <c r="Q20" s="1352" t="str">
        <f>B20</f>
        <v>自然及人文环境</v>
      </c>
      <c r="R20" s="705" t="s">
        <v>14</v>
      </c>
      <c r="S20" s="706">
        <f>F20</f>
        <v>100</v>
      </c>
      <c r="T20" s="705" t="s">
        <v>14</v>
      </c>
      <c r="U20" s="706">
        <f>H20</f>
        <v>100</v>
      </c>
      <c r="V20" s="705" t="s">
        <v>14</v>
      </c>
      <c r="W20" s="706">
        <f>J20</f>
        <v>100</v>
      </c>
      <c r="X20" s="1355"/>
      <c r="Y20" s="3710"/>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710"/>
      <c r="Q21" s="1352"/>
      <c r="R21" s="705"/>
      <c r="S21" s="706"/>
      <c r="T21" s="705"/>
      <c r="U21" s="706"/>
      <c r="V21" s="705"/>
      <c r="W21" s="706"/>
      <c r="X21" s="1355"/>
      <c r="Y21" s="3710"/>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710"/>
      <c r="Q22" s="1352" t="str">
        <f>B22</f>
        <v>楼层</v>
      </c>
      <c r="R22" s="705" t="s">
        <v>14</v>
      </c>
      <c r="S22" s="706">
        <f>F22</f>
        <v>100</v>
      </c>
      <c r="T22" s="705" t="s">
        <v>14</v>
      </c>
      <c r="U22" s="706">
        <f>H22</f>
        <v>100</v>
      </c>
      <c r="V22" s="705" t="s">
        <v>14</v>
      </c>
      <c r="W22" s="706">
        <f>J22</f>
        <v>100</v>
      </c>
      <c r="X22" s="1355"/>
      <c r="Y22" s="3710"/>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710"/>
      <c r="Q23" s="1352">
        <f>B23</f>
        <v>111</v>
      </c>
      <c r="R23" s="705" t="s">
        <v>14</v>
      </c>
      <c r="S23" s="706">
        <f>F23</f>
        <v>100</v>
      </c>
      <c r="T23" s="705" t="s">
        <v>14</v>
      </c>
      <c r="U23" s="706">
        <f>H23</f>
        <v>100</v>
      </c>
      <c r="V23" s="705" t="s">
        <v>14</v>
      </c>
      <c r="W23" s="706">
        <f>J23</f>
        <v>100</v>
      </c>
      <c r="X23" s="1355"/>
      <c r="Y23" s="3710"/>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710"/>
      <c r="Q24" s="1352">
        <f t="shared" ref="Q24:Q36" si="11">B24</f>
        <v>111</v>
      </c>
      <c r="R24" s="705" t="s">
        <v>14</v>
      </c>
      <c r="S24" s="706">
        <f>F24</f>
        <v>100</v>
      </c>
      <c r="T24" s="705" t="s">
        <v>14</v>
      </c>
      <c r="U24" s="706">
        <f>H24</f>
        <v>100</v>
      </c>
      <c r="V24" s="705" t="s">
        <v>14</v>
      </c>
      <c r="W24" s="706">
        <f>J24</f>
        <v>100</v>
      </c>
      <c r="X24" s="1355"/>
      <c r="Y24" s="3710"/>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710"/>
      <c r="Q25" s="1343">
        <f t="shared" si="11"/>
        <v>111</v>
      </c>
      <c r="R25" s="701" t="s">
        <v>14</v>
      </c>
      <c r="S25" s="702">
        <f>F25</f>
        <v>100</v>
      </c>
      <c r="T25" s="701" t="s">
        <v>14</v>
      </c>
      <c r="U25" s="702">
        <f>H25</f>
        <v>100</v>
      </c>
      <c r="V25" s="701" t="s">
        <v>14</v>
      </c>
      <c r="W25" s="702">
        <f>J25</f>
        <v>100</v>
      </c>
      <c r="X25" s="703"/>
      <c r="Y25" s="3710"/>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58"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14"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714"/>
      <c r="Q27" s="707" t="str">
        <f t="shared" si="11"/>
        <v>项目停车位配比</v>
      </c>
      <c r="R27" s="708" t="s">
        <v>14</v>
      </c>
      <c r="S27" s="709">
        <f t="shared" si="12"/>
        <v>100</v>
      </c>
      <c r="T27" s="708" t="s">
        <v>14</v>
      </c>
      <c r="U27" s="709">
        <f t="shared" si="13"/>
        <v>100</v>
      </c>
      <c r="V27" s="708" t="s">
        <v>14</v>
      </c>
      <c r="W27" s="709">
        <f t="shared" si="14"/>
        <v>100</v>
      </c>
      <c r="X27" s="710"/>
      <c r="Y27" s="3714"/>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714"/>
      <c r="Q28" s="1352" t="str">
        <f t="shared" si="11"/>
        <v>公共部分装修</v>
      </c>
      <c r="R28" s="705" t="s">
        <v>14</v>
      </c>
      <c r="S28" s="706">
        <f t="shared" si="12"/>
        <v>100</v>
      </c>
      <c r="T28" s="705" t="s">
        <v>14</v>
      </c>
      <c r="U28" s="706">
        <f t="shared" si="13"/>
        <v>100</v>
      </c>
      <c r="V28" s="705" t="s">
        <v>14</v>
      </c>
      <c r="W28" s="706">
        <f t="shared" si="14"/>
        <v>100</v>
      </c>
      <c r="X28" s="1355"/>
      <c r="Y28" s="3714"/>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714"/>
      <c r="Q29" s="1352" t="str">
        <f t="shared" si="11"/>
        <v>成新率</v>
      </c>
      <c r="R29" s="705" t="s">
        <v>14</v>
      </c>
      <c r="S29" s="706" t="e">
        <f t="shared" si="12"/>
        <v>#N/A</v>
      </c>
      <c r="T29" s="705" t="s">
        <v>14</v>
      </c>
      <c r="U29" s="706" t="e">
        <f t="shared" si="13"/>
        <v>#N/A</v>
      </c>
      <c r="V29" s="705" t="s">
        <v>14</v>
      </c>
      <c r="W29" s="706" t="e">
        <f t="shared" si="14"/>
        <v>#N/A</v>
      </c>
      <c r="X29" s="1355"/>
      <c r="Y29" s="3714"/>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714"/>
      <c r="Q30" s="1352" t="str">
        <f t="shared" si="11"/>
        <v>物业等级</v>
      </c>
      <c r="R30" s="705" t="s">
        <v>14</v>
      </c>
      <c r="S30" s="706">
        <f t="shared" si="12"/>
        <v>100</v>
      </c>
      <c r="T30" s="705" t="s">
        <v>14</v>
      </c>
      <c r="U30" s="706">
        <f t="shared" si="13"/>
        <v>100</v>
      </c>
      <c r="V30" s="705" t="s">
        <v>14</v>
      </c>
      <c r="W30" s="706">
        <f t="shared" si="14"/>
        <v>100</v>
      </c>
      <c r="X30" s="1355"/>
      <c r="Y30" s="3714"/>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714"/>
      <c r="Q31" s="1343" t="str">
        <f t="shared" si="11"/>
        <v>停车位面积</v>
      </c>
      <c r="R31" s="701" t="s">
        <v>14</v>
      </c>
      <c r="S31" s="702" t="e">
        <f t="shared" si="12"/>
        <v>#N/A</v>
      </c>
      <c r="T31" s="701" t="s">
        <v>14</v>
      </c>
      <c r="U31" s="702" t="e">
        <f t="shared" si="13"/>
        <v>#N/A</v>
      </c>
      <c r="V31" s="701" t="s">
        <v>14</v>
      </c>
      <c r="W31" s="702" t="e">
        <f t="shared" si="14"/>
        <v>#N/A</v>
      </c>
      <c r="X31" s="703"/>
      <c r="Y31" s="3714"/>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714" t="s">
        <v>1696</v>
      </c>
      <c r="Q32" s="1352" t="str">
        <f t="shared" si="11"/>
        <v>车位类型</v>
      </c>
      <c r="R32" s="705" t="s">
        <v>14</v>
      </c>
      <c r="S32" s="706">
        <f t="shared" si="12"/>
        <v>100</v>
      </c>
      <c r="T32" s="705" t="s">
        <v>14</v>
      </c>
      <c r="U32" s="706">
        <f t="shared" si="13"/>
        <v>100</v>
      </c>
      <c r="V32" s="705" t="s">
        <v>14</v>
      </c>
      <c r="W32" s="706">
        <f t="shared" si="14"/>
        <v>100</v>
      </c>
      <c r="X32" s="1355"/>
      <c r="Y32" s="3714"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714"/>
      <c r="Q33" s="1352" t="str">
        <f t="shared" si="11"/>
        <v>是否直接入户</v>
      </c>
      <c r="R33" s="705" t="s">
        <v>14</v>
      </c>
      <c r="S33" s="706">
        <f t="shared" si="12"/>
        <v>100</v>
      </c>
      <c r="T33" s="705" t="s">
        <v>14</v>
      </c>
      <c r="U33" s="706">
        <f t="shared" si="13"/>
        <v>100</v>
      </c>
      <c r="V33" s="705" t="s">
        <v>14</v>
      </c>
      <c r="W33" s="706">
        <f t="shared" si="14"/>
        <v>100</v>
      </c>
      <c r="X33" s="1355"/>
      <c r="Y33" s="3714"/>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714"/>
      <c r="Q34" s="1352">
        <f t="shared" si="11"/>
        <v>111</v>
      </c>
      <c r="R34" s="705" t="s">
        <v>14</v>
      </c>
      <c r="S34" s="706">
        <f t="shared" si="12"/>
        <v>100</v>
      </c>
      <c r="T34" s="705" t="s">
        <v>14</v>
      </c>
      <c r="U34" s="706">
        <f t="shared" si="13"/>
        <v>100</v>
      </c>
      <c r="V34" s="705" t="s">
        <v>14</v>
      </c>
      <c r="W34" s="706">
        <f t="shared" si="14"/>
        <v>100</v>
      </c>
      <c r="X34" s="1355"/>
      <c r="Y34" s="3714"/>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714"/>
      <c r="Q35" s="707">
        <f t="shared" si="11"/>
        <v>111</v>
      </c>
      <c r="R35" s="708" t="s">
        <v>14</v>
      </c>
      <c r="S35" s="709">
        <f t="shared" si="12"/>
        <v>100</v>
      </c>
      <c r="T35" s="708" t="s">
        <v>14</v>
      </c>
      <c r="U35" s="709">
        <f t="shared" si="13"/>
        <v>100</v>
      </c>
      <c r="V35" s="708" t="s">
        <v>14</v>
      </c>
      <c r="W35" s="709">
        <f t="shared" si="14"/>
        <v>100</v>
      </c>
      <c r="X35" s="710"/>
      <c r="Y35" s="3714"/>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714"/>
      <c r="Q36" s="1352">
        <f t="shared" si="11"/>
        <v>111</v>
      </c>
      <c r="R36" s="705" t="s">
        <v>14</v>
      </c>
      <c r="S36" s="706">
        <f t="shared" si="12"/>
        <v>100</v>
      </c>
      <c r="T36" s="705" t="s">
        <v>14</v>
      </c>
      <c r="U36" s="706">
        <f t="shared" si="13"/>
        <v>100</v>
      </c>
      <c r="V36" s="705" t="s">
        <v>14</v>
      </c>
      <c r="W36" s="706">
        <f t="shared" si="14"/>
        <v>100</v>
      </c>
      <c r="X36" s="1355"/>
      <c r="Y36" s="3714"/>
      <c r="Z36" s="1356">
        <f t="shared" si="15"/>
        <v>111</v>
      </c>
      <c r="AA36" s="1353">
        <f t="shared" si="3"/>
        <v>1</v>
      </c>
      <c r="AB36" s="1353">
        <f t="shared" si="4"/>
        <v>1</v>
      </c>
      <c r="AC36" s="1353">
        <f t="shared" si="5"/>
        <v>1</v>
      </c>
    </row>
    <row r="37" spans="1:29" ht="15">
      <c r="A37" s="430" t="s">
        <v>1844</v>
      </c>
      <c r="B37" s="1973" t="s">
        <v>3358</v>
      </c>
      <c r="C37" s="1154" t="s">
        <v>0</v>
      </c>
      <c r="D37" s="1155"/>
      <c r="E37" s="1156"/>
      <c r="F37" s="1157"/>
      <c r="G37" s="1158"/>
      <c r="H37" s="1159"/>
      <c r="I37" s="1156"/>
      <c r="J37" s="1159"/>
      <c r="K37" s="568"/>
      <c r="L37" s="2724"/>
      <c r="M37" s="2725"/>
      <c r="N37" s="2716"/>
      <c r="O37" s="2725"/>
      <c r="P37" s="3716" t="str">
        <f>A37</f>
        <v>成交单价</v>
      </c>
      <c r="Q37" s="3716"/>
      <c r="R37" s="3717">
        <f>E37</f>
        <v>0</v>
      </c>
      <c r="S37" s="3717"/>
      <c r="T37" s="3717">
        <f>G37</f>
        <v>0</v>
      </c>
      <c r="U37" s="3717"/>
      <c r="V37" s="3717">
        <f>I37</f>
        <v>0</v>
      </c>
      <c r="W37" s="3717"/>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716" t="str">
        <f>A38</f>
        <v>比较价值（元/平方米）</v>
      </c>
      <c r="Q38" s="3716"/>
      <c r="R38" s="3717" t="e">
        <f>IF(F1="售价",ROUND(PRODUCT(R37,AA7:AA36),0),ROUND(PRODUCT(R37,AA7:AA36),1))</f>
        <v>#DIV/0!</v>
      </c>
      <c r="S38" s="3717"/>
      <c r="T38" s="3717" t="e">
        <f>IF(F1="售价",ROUND(PRODUCT(T37,AB7:AB36),0),ROUND(PRODUCT(T37,AB7:AB36),1))</f>
        <v>#DIV/0!</v>
      </c>
      <c r="U38" s="3717"/>
      <c r="V38" s="3717" t="e">
        <f>IF(F1="售价",ROUND(PRODUCT(V37,AC7:AC36),0),ROUND(PRODUCT(V37,AC7:AC36),1))</f>
        <v>#DIV/0!</v>
      </c>
      <c r="W38" s="3717"/>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55" t="str">
        <f>A39</f>
        <v>估价对象XX用房的比较价值（楼面单价，元/平方米）</v>
      </c>
      <c r="Q39" s="3756"/>
      <c r="R39" s="3759" t="e">
        <f>IF(F1="售价",ROUND(IF(D38="简单平均",AVERAGE(R38:W38),R38*F38+T38*H38+V38*J38),0),ROUND(IF(D38="简单平均",AVERAGE(R38:V38),R38*F38+T38*H38+V38*J38),1))</f>
        <v>#DIV/0!</v>
      </c>
      <c r="S39" s="3759"/>
      <c r="T39" s="3759"/>
      <c r="U39" s="3759"/>
      <c r="V39" s="3759"/>
      <c r="W39" s="3759"/>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2024-1</v>
      </c>
      <c r="D48" s="1185">
        <f>EDATE(C48,-1)</f>
        <v>45261</v>
      </c>
      <c r="E48" s="1185">
        <f t="shared" ref="E48:O48" si="16">EDATE(D48,-1)</f>
        <v>45231</v>
      </c>
      <c r="F48" s="1185">
        <f t="shared" si="16"/>
        <v>45200</v>
      </c>
      <c r="G48" s="1185">
        <f t="shared" si="16"/>
        <v>45170</v>
      </c>
      <c r="H48" s="1185">
        <f t="shared" si="16"/>
        <v>45139</v>
      </c>
      <c r="I48" s="1185">
        <f t="shared" si="16"/>
        <v>45108</v>
      </c>
      <c r="J48" s="1185">
        <f t="shared" si="16"/>
        <v>45078</v>
      </c>
      <c r="K48" s="1185">
        <f t="shared" si="16"/>
        <v>45047</v>
      </c>
      <c r="L48" s="1185">
        <f t="shared" si="16"/>
        <v>45017</v>
      </c>
      <c r="M48" s="1185">
        <f t="shared" si="16"/>
        <v>44986</v>
      </c>
      <c r="N48" s="1185">
        <f t="shared" si="16"/>
        <v>44958</v>
      </c>
      <c r="O48" s="1185">
        <f t="shared" si="16"/>
        <v>44927</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751" t="s">
        <v>1775</v>
      </c>
      <c r="Q4" s="3752"/>
      <c r="R4" s="3749" t="s">
        <v>1771</v>
      </c>
      <c r="S4" s="3750"/>
      <c r="T4" s="3749" t="s">
        <v>1772</v>
      </c>
      <c r="U4" s="3750"/>
      <c r="V4" s="3704" t="s">
        <v>1773</v>
      </c>
      <c r="W4" s="3704"/>
      <c r="X4" s="1355"/>
      <c r="Y4" s="3749" t="s">
        <v>1775</v>
      </c>
      <c r="Z4" s="3750"/>
      <c r="AA4" s="3748" t="s">
        <v>1771</v>
      </c>
      <c r="AB4" s="3671" t="s">
        <v>1772</v>
      </c>
      <c r="AC4" s="3748" t="s">
        <v>1773</v>
      </c>
    </row>
    <row r="5" spans="1:29" ht="15">
      <c r="A5" s="358"/>
      <c r="B5" s="359"/>
      <c r="C5" s="3681" t="s">
        <v>1673</v>
      </c>
      <c r="D5" s="3682"/>
      <c r="E5" s="3679" t="s">
        <v>1674</v>
      </c>
      <c r="F5" s="3680"/>
      <c r="G5" s="3681" t="s">
        <v>1675</v>
      </c>
      <c r="H5" s="3682"/>
      <c r="I5" s="3681" t="s">
        <v>1676</v>
      </c>
      <c r="J5" s="3682"/>
      <c r="K5" s="559"/>
      <c r="L5" s="2715"/>
      <c r="M5" s="2716"/>
      <c r="N5" s="2716"/>
      <c r="O5" s="2716"/>
      <c r="P5" s="3753"/>
      <c r="Q5" s="3698"/>
      <c r="R5" s="3677"/>
      <c r="S5" s="3678"/>
      <c r="T5" s="3677"/>
      <c r="U5" s="3678"/>
      <c r="V5" s="3704"/>
      <c r="W5" s="3704"/>
      <c r="X5" s="1355"/>
      <c r="Y5" s="3677"/>
      <c r="Z5" s="3678"/>
      <c r="AA5" s="3671"/>
      <c r="AB5" s="3671"/>
      <c r="AC5" s="3671"/>
    </row>
    <row r="6" spans="1:29" ht="15.75" thickBot="1">
      <c r="A6" s="360"/>
      <c r="B6" s="361"/>
      <c r="C6" s="3683" t="s">
        <v>1677</v>
      </c>
      <c r="D6" s="3684"/>
      <c r="E6" s="3685" t="s">
        <v>1677</v>
      </c>
      <c r="F6" s="3686"/>
      <c r="G6" s="3683" t="s">
        <v>1677</v>
      </c>
      <c r="H6" s="3684"/>
      <c r="I6" s="3683" t="s">
        <v>1677</v>
      </c>
      <c r="J6" s="3684"/>
      <c r="K6" s="559" t="s">
        <v>1678</v>
      </c>
      <c r="L6" s="2715"/>
      <c r="M6" s="2716"/>
      <c r="N6" s="2716"/>
      <c r="O6" s="2716"/>
      <c r="P6" s="3754"/>
      <c r="Q6" s="3700"/>
      <c r="R6" s="3677"/>
      <c r="S6" s="3678"/>
      <c r="T6" s="3701"/>
      <c r="U6" s="3702"/>
      <c r="V6" s="3704"/>
      <c r="W6" s="3704"/>
      <c r="X6" s="1355"/>
      <c r="Y6" s="3701"/>
      <c r="Z6" s="3702"/>
      <c r="AA6" s="3672"/>
      <c r="AB6" s="3672"/>
      <c r="AC6" s="3672"/>
    </row>
    <row r="7" spans="1:29" s="108" customFormat="1" ht="15.75" thickBot="1">
      <c r="A7" s="362" t="s">
        <v>1679</v>
      </c>
      <c r="B7" s="363"/>
      <c r="C7" s="364">
        <f>'数据-取费表'!B2</f>
        <v>45321</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73" t="s">
        <v>1680</v>
      </c>
      <c r="Q7" s="3706"/>
      <c r="R7" s="701" t="s">
        <v>14</v>
      </c>
      <c r="S7" s="702">
        <f t="shared" ref="S7:S14" si="0">F7</f>
        <v>0</v>
      </c>
      <c r="T7" s="701" t="s">
        <v>14</v>
      </c>
      <c r="U7" s="702">
        <f t="shared" ref="U7:U14" si="1">H7</f>
        <v>0</v>
      </c>
      <c r="V7" s="701" t="s">
        <v>14</v>
      </c>
      <c r="W7" s="702">
        <f t="shared" ref="W7:W14" si="2">J7</f>
        <v>0</v>
      </c>
      <c r="X7" s="703"/>
      <c r="Y7" s="3673" t="s">
        <v>1680</v>
      </c>
      <c r="Z7" s="3674"/>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73" t="s">
        <v>1683</v>
      </c>
      <c r="Q8" s="3674"/>
      <c r="R8" s="701" t="s">
        <v>14</v>
      </c>
      <c r="S8" s="702">
        <f t="shared" si="0"/>
        <v>100</v>
      </c>
      <c r="T8" s="701" t="s">
        <v>14</v>
      </c>
      <c r="U8" s="702">
        <f t="shared" si="1"/>
        <v>100</v>
      </c>
      <c r="V8" s="701" t="s">
        <v>14</v>
      </c>
      <c r="W8" s="702">
        <f t="shared" si="2"/>
        <v>100</v>
      </c>
      <c r="X8" s="703"/>
      <c r="Y8" s="3673" t="s">
        <v>1683</v>
      </c>
      <c r="Z8" s="3674"/>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716" t="s">
        <v>1686</v>
      </c>
      <c r="Q9" s="1343" t="str">
        <f t="shared" ref="Q9:Q14" si="6">B9</f>
        <v>用途</v>
      </c>
      <c r="R9" s="701" t="s">
        <v>14</v>
      </c>
      <c r="S9" s="702">
        <f t="shared" si="0"/>
        <v>100</v>
      </c>
      <c r="T9" s="701" t="s">
        <v>14</v>
      </c>
      <c r="U9" s="702">
        <f t="shared" si="1"/>
        <v>100</v>
      </c>
      <c r="V9" s="701" t="s">
        <v>14</v>
      </c>
      <c r="W9" s="702">
        <f t="shared" si="2"/>
        <v>100</v>
      </c>
      <c r="X9" s="703"/>
      <c r="Y9" s="3646"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716"/>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716"/>
      <c r="Q11" s="1343">
        <f t="shared" si="6"/>
        <v>111</v>
      </c>
      <c r="R11" s="701" t="s">
        <v>14</v>
      </c>
      <c r="S11" s="702">
        <f t="shared" si="0"/>
        <v>100</v>
      </c>
      <c r="T11" s="701" t="s">
        <v>14</v>
      </c>
      <c r="U11" s="702">
        <f t="shared" si="1"/>
        <v>100</v>
      </c>
      <c r="V11" s="701" t="s">
        <v>14</v>
      </c>
      <c r="W11" s="702">
        <f t="shared" si="2"/>
        <v>100</v>
      </c>
      <c r="X11" s="703"/>
      <c r="Y11" s="3646"/>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716"/>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716"/>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709" t="s">
        <v>1691</v>
      </c>
      <c r="Q14" s="1352" t="str">
        <f t="shared" si="6"/>
        <v>交通便捷度</v>
      </c>
      <c r="R14" s="705" t="s">
        <v>14</v>
      </c>
      <c r="S14" s="706">
        <f t="shared" si="0"/>
        <v>100</v>
      </c>
      <c r="T14" s="705" t="s">
        <v>14</v>
      </c>
      <c r="U14" s="706">
        <f t="shared" si="1"/>
        <v>100</v>
      </c>
      <c r="V14" s="705" t="s">
        <v>14</v>
      </c>
      <c r="W14" s="706">
        <f t="shared" si="2"/>
        <v>100</v>
      </c>
      <c r="X14" s="1355"/>
      <c r="Y14" s="3709"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710"/>
      <c r="Q15" s="1352"/>
      <c r="R15" s="705"/>
      <c r="S15" s="706"/>
      <c r="T15" s="705"/>
      <c r="U15" s="706"/>
      <c r="V15" s="705"/>
      <c r="W15" s="706"/>
      <c r="X15" s="1355"/>
      <c r="Y15" s="3710"/>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710"/>
      <c r="Q16" s="1352" t="str">
        <f>B16</f>
        <v>公共配套设施</v>
      </c>
      <c r="R16" s="705" t="s">
        <v>14</v>
      </c>
      <c r="S16" s="706">
        <f>F16</f>
        <v>100</v>
      </c>
      <c r="T16" s="705" t="s">
        <v>14</v>
      </c>
      <c r="U16" s="706">
        <f>H16</f>
        <v>100</v>
      </c>
      <c r="V16" s="705" t="s">
        <v>14</v>
      </c>
      <c r="W16" s="706">
        <f>J16</f>
        <v>100</v>
      </c>
      <c r="X16" s="1355"/>
      <c r="Y16" s="3710"/>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710"/>
      <c r="Q17" s="1352"/>
      <c r="R17" s="705"/>
      <c r="S17" s="706"/>
      <c r="T17" s="705"/>
      <c r="U17" s="706"/>
      <c r="V17" s="705"/>
      <c r="W17" s="706"/>
      <c r="X17" s="1355"/>
      <c r="Y17" s="3710"/>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710"/>
      <c r="Q18" s="1352" t="str">
        <f>B18</f>
        <v>基础设施水平</v>
      </c>
      <c r="R18" s="705" t="s">
        <v>14</v>
      </c>
      <c r="S18" s="706">
        <f>F18</f>
        <v>100</v>
      </c>
      <c r="T18" s="705" t="s">
        <v>14</v>
      </c>
      <c r="U18" s="706">
        <f>H18</f>
        <v>100</v>
      </c>
      <c r="V18" s="705" t="s">
        <v>14</v>
      </c>
      <c r="W18" s="706">
        <f>J18</f>
        <v>100</v>
      </c>
      <c r="X18" s="1355"/>
      <c r="Y18" s="3710"/>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710"/>
      <c r="Q19" s="1352"/>
      <c r="R19" s="705"/>
      <c r="S19" s="706"/>
      <c r="T19" s="705"/>
      <c r="U19" s="706"/>
      <c r="V19" s="705"/>
      <c r="W19" s="706"/>
      <c r="X19" s="1355"/>
      <c r="Y19" s="3710"/>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710"/>
      <c r="Q20" s="1352" t="str">
        <f>B20</f>
        <v>自然及人文环境</v>
      </c>
      <c r="R20" s="705" t="s">
        <v>14</v>
      </c>
      <c r="S20" s="706">
        <f>F20</f>
        <v>100</v>
      </c>
      <c r="T20" s="705" t="s">
        <v>14</v>
      </c>
      <c r="U20" s="706">
        <f>H20</f>
        <v>100</v>
      </c>
      <c r="V20" s="705" t="s">
        <v>14</v>
      </c>
      <c r="W20" s="706">
        <f>J20</f>
        <v>100</v>
      </c>
      <c r="X20" s="1355"/>
      <c r="Y20" s="3710"/>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710"/>
      <c r="Q21" s="1352"/>
      <c r="R21" s="705"/>
      <c r="S21" s="706"/>
      <c r="T21" s="705"/>
      <c r="U21" s="706"/>
      <c r="V21" s="705"/>
      <c r="W21" s="706"/>
      <c r="X21" s="1355"/>
      <c r="Y21" s="3710"/>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710"/>
      <c r="Q22" s="1352" t="str">
        <f>B22</f>
        <v>楼层</v>
      </c>
      <c r="R22" s="705" t="s">
        <v>14</v>
      </c>
      <c r="S22" s="706">
        <f>F22</f>
        <v>100</v>
      </c>
      <c r="T22" s="705" t="s">
        <v>14</v>
      </c>
      <c r="U22" s="706">
        <f>H22</f>
        <v>100</v>
      </c>
      <c r="V22" s="705" t="s">
        <v>14</v>
      </c>
      <c r="W22" s="706">
        <f>J22</f>
        <v>100</v>
      </c>
      <c r="X22" s="1355"/>
      <c r="Y22" s="3710"/>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710"/>
      <c r="Q23" s="1352">
        <f>B23</f>
        <v>111</v>
      </c>
      <c r="R23" s="705" t="s">
        <v>14</v>
      </c>
      <c r="S23" s="706">
        <f>F23</f>
        <v>100</v>
      </c>
      <c r="T23" s="705" t="s">
        <v>14</v>
      </c>
      <c r="U23" s="706">
        <f>H23</f>
        <v>100</v>
      </c>
      <c r="V23" s="705" t="s">
        <v>14</v>
      </c>
      <c r="W23" s="706">
        <f>J23</f>
        <v>100</v>
      </c>
      <c r="X23" s="1355"/>
      <c r="Y23" s="3710"/>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710"/>
      <c r="Q24" s="1352">
        <f t="shared" ref="Q24:Q34" si="11">B24</f>
        <v>111</v>
      </c>
      <c r="R24" s="705" t="s">
        <v>14</v>
      </c>
      <c r="S24" s="706">
        <f>F24</f>
        <v>100</v>
      </c>
      <c r="T24" s="705" t="s">
        <v>14</v>
      </c>
      <c r="U24" s="706">
        <f>H24</f>
        <v>100</v>
      </c>
      <c r="V24" s="705" t="s">
        <v>14</v>
      </c>
      <c r="W24" s="706">
        <f>J24</f>
        <v>100</v>
      </c>
      <c r="X24" s="1355"/>
      <c r="Y24" s="3710"/>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710"/>
      <c r="Q25" s="1343">
        <f t="shared" si="11"/>
        <v>111</v>
      </c>
      <c r="R25" s="701" t="s">
        <v>14</v>
      </c>
      <c r="S25" s="702">
        <f>F25</f>
        <v>100</v>
      </c>
      <c r="T25" s="701" t="s">
        <v>14</v>
      </c>
      <c r="U25" s="702">
        <f>H25</f>
        <v>100</v>
      </c>
      <c r="V25" s="701" t="s">
        <v>14</v>
      </c>
      <c r="W25" s="702">
        <f>J25</f>
        <v>100</v>
      </c>
      <c r="X25" s="703"/>
      <c r="Y25" s="3710"/>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58"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14"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714"/>
      <c r="Q27" s="707" t="str">
        <f t="shared" si="11"/>
        <v>成新率</v>
      </c>
      <c r="R27" s="708" t="s">
        <v>14</v>
      </c>
      <c r="S27" s="709" t="e">
        <f t="shared" si="12"/>
        <v>#N/A</v>
      </c>
      <c r="T27" s="708" t="s">
        <v>14</v>
      </c>
      <c r="U27" s="709" t="e">
        <f t="shared" si="13"/>
        <v>#N/A</v>
      </c>
      <c r="V27" s="708" t="s">
        <v>14</v>
      </c>
      <c r="W27" s="709" t="e">
        <f t="shared" si="14"/>
        <v>#N/A</v>
      </c>
      <c r="X27" s="710"/>
      <c r="Y27" s="3714"/>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714"/>
      <c r="Q28" s="1352" t="str">
        <f t="shared" si="11"/>
        <v>物业等级</v>
      </c>
      <c r="R28" s="705" t="s">
        <v>14</v>
      </c>
      <c r="S28" s="706">
        <f t="shared" si="12"/>
        <v>100</v>
      </c>
      <c r="T28" s="705" t="s">
        <v>14</v>
      </c>
      <c r="U28" s="706">
        <f t="shared" si="13"/>
        <v>100</v>
      </c>
      <c r="V28" s="705" t="s">
        <v>14</v>
      </c>
      <c r="W28" s="706">
        <f t="shared" si="14"/>
        <v>100</v>
      </c>
      <c r="X28" s="1355"/>
      <c r="Y28" s="3714"/>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714"/>
      <c r="Q29" s="1352" t="str">
        <f t="shared" si="11"/>
        <v>有无电梯</v>
      </c>
      <c r="R29" s="705" t="s">
        <v>14</v>
      </c>
      <c r="S29" s="706">
        <f t="shared" si="12"/>
        <v>100</v>
      </c>
      <c r="T29" s="705" t="s">
        <v>14</v>
      </c>
      <c r="U29" s="706">
        <f t="shared" si="13"/>
        <v>100</v>
      </c>
      <c r="V29" s="705" t="s">
        <v>14</v>
      </c>
      <c r="W29" s="706">
        <f t="shared" si="14"/>
        <v>100</v>
      </c>
      <c r="X29" s="1355"/>
      <c r="Y29" s="3714"/>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714"/>
      <c r="Q30" s="1352" t="str">
        <f t="shared" si="11"/>
        <v>建筑面积</v>
      </c>
      <c r="R30" s="705" t="s">
        <v>14</v>
      </c>
      <c r="S30" s="706" t="e">
        <f t="shared" si="12"/>
        <v>#N/A</v>
      </c>
      <c r="T30" s="705" t="s">
        <v>14</v>
      </c>
      <c r="U30" s="706" t="e">
        <f t="shared" si="13"/>
        <v>#N/A</v>
      </c>
      <c r="V30" s="705" t="s">
        <v>14</v>
      </c>
      <c r="W30" s="706" t="e">
        <f t="shared" si="14"/>
        <v>#N/A</v>
      </c>
      <c r="X30" s="1355"/>
      <c r="Y30" s="3714"/>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714"/>
      <c r="Q31" s="1343" t="str">
        <f t="shared" si="11"/>
        <v>是否封闭</v>
      </c>
      <c r="R31" s="701" t="s">
        <v>14</v>
      </c>
      <c r="S31" s="702">
        <f t="shared" si="12"/>
        <v>100</v>
      </c>
      <c r="T31" s="701" t="s">
        <v>14</v>
      </c>
      <c r="U31" s="702">
        <f t="shared" si="13"/>
        <v>100</v>
      </c>
      <c r="V31" s="701" t="s">
        <v>14</v>
      </c>
      <c r="W31" s="702">
        <f t="shared" si="14"/>
        <v>100</v>
      </c>
      <c r="X31" s="703"/>
      <c r="Y31" s="3714"/>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714" t="s">
        <v>1696</v>
      </c>
      <c r="Q32" s="1352">
        <f t="shared" si="11"/>
        <v>111</v>
      </c>
      <c r="R32" s="705" t="s">
        <v>14</v>
      </c>
      <c r="S32" s="706">
        <f t="shared" si="12"/>
        <v>100</v>
      </c>
      <c r="T32" s="705" t="s">
        <v>14</v>
      </c>
      <c r="U32" s="706">
        <f t="shared" si="13"/>
        <v>100</v>
      </c>
      <c r="V32" s="705" t="s">
        <v>14</v>
      </c>
      <c r="W32" s="706">
        <f t="shared" si="14"/>
        <v>100</v>
      </c>
      <c r="X32" s="1355"/>
      <c r="Y32" s="3714"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714"/>
      <c r="Q33" s="1352">
        <f t="shared" si="11"/>
        <v>111</v>
      </c>
      <c r="R33" s="705" t="s">
        <v>14</v>
      </c>
      <c r="S33" s="706">
        <f t="shared" si="12"/>
        <v>100</v>
      </c>
      <c r="T33" s="705" t="s">
        <v>14</v>
      </c>
      <c r="U33" s="706">
        <f t="shared" si="13"/>
        <v>100</v>
      </c>
      <c r="V33" s="705" t="s">
        <v>14</v>
      </c>
      <c r="W33" s="706">
        <f t="shared" si="14"/>
        <v>100</v>
      </c>
      <c r="X33" s="1355"/>
      <c r="Y33" s="3714"/>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714"/>
      <c r="Q34" s="1352">
        <f t="shared" si="11"/>
        <v>111</v>
      </c>
      <c r="R34" s="705" t="s">
        <v>14</v>
      </c>
      <c r="S34" s="706">
        <f t="shared" si="12"/>
        <v>100</v>
      </c>
      <c r="T34" s="705" t="s">
        <v>14</v>
      </c>
      <c r="U34" s="706">
        <f t="shared" si="13"/>
        <v>100</v>
      </c>
      <c r="V34" s="705" t="s">
        <v>14</v>
      </c>
      <c r="W34" s="706">
        <f t="shared" si="14"/>
        <v>100</v>
      </c>
      <c r="X34" s="1355"/>
      <c r="Y34" s="3714"/>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716" t="str">
        <f>A35</f>
        <v>成交单价（元/平方米）</v>
      </c>
      <c r="Q35" s="3716"/>
      <c r="R35" s="3717">
        <f>E35</f>
        <v>0</v>
      </c>
      <c r="S35" s="3717"/>
      <c r="T35" s="3717">
        <f>G35</f>
        <v>0</v>
      </c>
      <c r="U35" s="3717"/>
      <c r="V35" s="3717">
        <f>I35</f>
        <v>0</v>
      </c>
      <c r="W35" s="3717"/>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716" t="str">
        <f>A36</f>
        <v>比较价值（元/平方米）</v>
      </c>
      <c r="Q36" s="3716"/>
      <c r="R36" s="3717" t="e">
        <f>IF(F1="售价",ROUND(PRODUCT(R35,AA7:AA34),0),ROUND(PRODUCT(R35,AA7:AA34),1))</f>
        <v>#DIV/0!</v>
      </c>
      <c r="S36" s="3717"/>
      <c r="T36" s="3717" t="e">
        <f>IF(F1="售价",ROUND(PRODUCT(T35,AB7:AB34),0),ROUND(PRODUCT(T35,AB7:AB34),1))</f>
        <v>#DIV/0!</v>
      </c>
      <c r="U36" s="3717"/>
      <c r="V36" s="3717" t="e">
        <f>IF(F1="售价",ROUND(PRODUCT(V35,AC7:AC34),0),ROUND(PRODUCT(V35,AC7:AC34),1))</f>
        <v>#DIV/0!</v>
      </c>
      <c r="W36" s="3717"/>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55" t="str">
        <f>A37</f>
        <v>估价对象XX用房的比较价值（楼面单价，元/平方米）</v>
      </c>
      <c r="Q37" s="3756"/>
      <c r="R37" s="3759" t="e">
        <f>IF(F1="售价",ROUND(IF(D36="简单平均",AVERAGE(R36:W36),R36*F36+T36*H36+V36*J36),0),ROUND(IF(D36="简单平均",AVERAGE(R36:V36),R36*F36+T36*H36+V36*J36),1))</f>
        <v>#DIV/0!</v>
      </c>
      <c r="S37" s="3759"/>
      <c r="T37" s="3759"/>
      <c r="U37" s="3759"/>
      <c r="V37" s="3759"/>
      <c r="W37" s="3759"/>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2024-1</v>
      </c>
      <c r="D46" s="1185">
        <f>EDATE(C46,-1)</f>
        <v>45261</v>
      </c>
      <c r="E46" s="1185">
        <f t="shared" ref="E46:O46" si="16">EDATE(D46,-1)</f>
        <v>45231</v>
      </c>
      <c r="F46" s="1185">
        <f t="shared" si="16"/>
        <v>45200</v>
      </c>
      <c r="G46" s="1185">
        <f t="shared" si="16"/>
        <v>45170</v>
      </c>
      <c r="H46" s="1185">
        <f t="shared" si="16"/>
        <v>45139</v>
      </c>
      <c r="I46" s="1185">
        <f t="shared" si="16"/>
        <v>45108</v>
      </c>
      <c r="J46" s="1185">
        <f t="shared" si="16"/>
        <v>45078</v>
      </c>
      <c r="K46" s="1185">
        <f t="shared" si="16"/>
        <v>45047</v>
      </c>
      <c r="L46" s="1185">
        <f t="shared" si="16"/>
        <v>45017</v>
      </c>
      <c r="M46" s="1185">
        <f t="shared" si="16"/>
        <v>44986</v>
      </c>
      <c r="N46" s="1185">
        <f t="shared" si="16"/>
        <v>44958</v>
      </c>
      <c r="O46" s="1185">
        <f t="shared" si="16"/>
        <v>44927</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91" t="s">
        <v>1770</v>
      </c>
      <c r="D4" s="3692"/>
      <c r="E4" s="3693" t="s">
        <v>1771</v>
      </c>
      <c r="F4" s="3694"/>
      <c r="G4" s="3691" t="s">
        <v>1772</v>
      </c>
      <c r="H4" s="3692"/>
      <c r="I4" s="3691" t="s">
        <v>1773</v>
      </c>
      <c r="J4" s="3692"/>
      <c r="K4" s="559" t="s">
        <v>1774</v>
      </c>
      <c r="L4" s="2715"/>
      <c r="M4" s="2716"/>
      <c r="N4" s="2716"/>
      <c r="O4" s="2716"/>
      <c r="P4" s="3751" t="s">
        <v>1775</v>
      </c>
      <c r="Q4" s="3752"/>
      <c r="R4" s="3749" t="s">
        <v>1771</v>
      </c>
      <c r="S4" s="3750"/>
      <c r="T4" s="3749" t="s">
        <v>1772</v>
      </c>
      <c r="U4" s="3750"/>
      <c r="V4" s="3704" t="s">
        <v>1773</v>
      </c>
      <c r="W4" s="3704"/>
      <c r="X4" s="1355"/>
      <c r="Y4" s="3749" t="s">
        <v>1775</v>
      </c>
      <c r="Z4" s="3750"/>
      <c r="AA4" s="3748" t="s">
        <v>1771</v>
      </c>
      <c r="AB4" s="3671" t="s">
        <v>1772</v>
      </c>
      <c r="AC4" s="3748" t="s">
        <v>1773</v>
      </c>
    </row>
    <row r="5" spans="1:30" ht="15">
      <c r="A5" s="358"/>
      <c r="B5" s="359"/>
      <c r="C5" s="3681" t="s">
        <v>1673</v>
      </c>
      <c r="D5" s="3682"/>
      <c r="E5" s="3679" t="s">
        <v>1674</v>
      </c>
      <c r="F5" s="3680"/>
      <c r="G5" s="3681" t="s">
        <v>1675</v>
      </c>
      <c r="H5" s="3682"/>
      <c r="I5" s="3681" t="s">
        <v>1676</v>
      </c>
      <c r="J5" s="3682"/>
      <c r="K5" s="559"/>
      <c r="L5" s="2715"/>
      <c r="M5" s="2716"/>
      <c r="N5" s="2716"/>
      <c r="O5" s="2716"/>
      <c r="P5" s="3753"/>
      <c r="Q5" s="3698"/>
      <c r="R5" s="3677"/>
      <c r="S5" s="3678"/>
      <c r="T5" s="3677"/>
      <c r="U5" s="3678"/>
      <c r="V5" s="3704"/>
      <c r="W5" s="3704"/>
      <c r="X5" s="1355"/>
      <c r="Y5" s="3677"/>
      <c r="Z5" s="3678"/>
      <c r="AA5" s="3671"/>
      <c r="AB5" s="3671"/>
      <c r="AC5" s="3671"/>
    </row>
    <row r="6" spans="1:30" ht="15.75" thickBot="1">
      <c r="A6" s="360"/>
      <c r="B6" s="361"/>
      <c r="C6" s="3683" t="s">
        <v>1677</v>
      </c>
      <c r="D6" s="3684"/>
      <c r="E6" s="3685" t="s">
        <v>1677</v>
      </c>
      <c r="F6" s="3686"/>
      <c r="G6" s="3683" t="s">
        <v>1677</v>
      </c>
      <c r="H6" s="3684"/>
      <c r="I6" s="3683" t="s">
        <v>1677</v>
      </c>
      <c r="J6" s="3684"/>
      <c r="K6" s="559" t="s">
        <v>1678</v>
      </c>
      <c r="L6" s="2715"/>
      <c r="M6" s="2716"/>
      <c r="N6" s="2716"/>
      <c r="O6" s="2716"/>
      <c r="P6" s="3754"/>
      <c r="Q6" s="3700"/>
      <c r="R6" s="3677"/>
      <c r="S6" s="3678"/>
      <c r="T6" s="3701"/>
      <c r="U6" s="3702"/>
      <c r="V6" s="3704"/>
      <c r="W6" s="3704"/>
      <c r="X6" s="1355"/>
      <c r="Y6" s="3701"/>
      <c r="Z6" s="3702"/>
      <c r="AA6" s="3672"/>
      <c r="AB6" s="3672"/>
      <c r="AC6" s="3672"/>
    </row>
    <row r="7" spans="1:30" s="108" customFormat="1" ht="15.75" thickBot="1">
      <c r="A7" s="362" t="s">
        <v>1679</v>
      </c>
      <c r="B7" s="363"/>
      <c r="C7" s="364">
        <f>'数据-取费表'!B2</f>
        <v>45321</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73" t="s">
        <v>1680</v>
      </c>
      <c r="Q7" s="3706"/>
      <c r="R7" s="701" t="s">
        <v>14</v>
      </c>
      <c r="S7" s="702">
        <f t="shared" ref="S7:S15" si="0">F7</f>
        <v>0</v>
      </c>
      <c r="T7" s="701" t="s">
        <v>14</v>
      </c>
      <c r="U7" s="702">
        <f t="shared" ref="U7:U15" si="1">H7</f>
        <v>0</v>
      </c>
      <c r="V7" s="701" t="s">
        <v>14</v>
      </c>
      <c r="W7" s="702">
        <f t="shared" ref="W7:W15" si="2">J7</f>
        <v>0</v>
      </c>
      <c r="X7" s="703"/>
      <c r="Y7" s="3673" t="s">
        <v>1680</v>
      </c>
      <c r="Z7" s="3674"/>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73" t="s">
        <v>1683</v>
      </c>
      <c r="Q8" s="3674"/>
      <c r="R8" s="701" t="s">
        <v>14</v>
      </c>
      <c r="S8" s="702">
        <f t="shared" si="0"/>
        <v>0</v>
      </c>
      <c r="T8" s="701" t="s">
        <v>14</v>
      </c>
      <c r="U8" s="702">
        <f t="shared" si="1"/>
        <v>0</v>
      </c>
      <c r="V8" s="701" t="s">
        <v>14</v>
      </c>
      <c r="W8" s="702">
        <f t="shared" si="2"/>
        <v>0</v>
      </c>
      <c r="X8" s="703"/>
      <c r="Y8" s="3673" t="s">
        <v>1683</v>
      </c>
      <c r="Z8" s="3674"/>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716"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119</v>
      </c>
      <c r="G10" s="414"/>
      <c r="H10" s="127">
        <f>ROUND(100/'数据-取费表'!G16,0)</f>
        <v>119</v>
      </c>
      <c r="I10" s="414"/>
      <c r="J10" s="127">
        <f>ROUND(100/'数据-取费表'!G16,0)</f>
        <v>119</v>
      </c>
      <c r="K10" s="620"/>
      <c r="L10" s="2719"/>
      <c r="M10" s="2720"/>
      <c r="N10" s="2720"/>
      <c r="O10" s="2773"/>
      <c r="P10" s="3716"/>
      <c r="Q10" s="1343" t="str">
        <f t="shared" si="6"/>
        <v>土地使用年限（年）</v>
      </c>
      <c r="R10" s="701" t="s">
        <v>14</v>
      </c>
      <c r="S10" s="702">
        <f t="shared" si="0"/>
        <v>119</v>
      </c>
      <c r="T10" s="701" t="s">
        <v>14</v>
      </c>
      <c r="U10" s="702">
        <f t="shared" si="1"/>
        <v>119</v>
      </c>
      <c r="V10" s="701" t="s">
        <v>14</v>
      </c>
      <c r="W10" s="702">
        <f t="shared" si="2"/>
        <v>119</v>
      </c>
      <c r="X10" s="703"/>
      <c r="Y10" s="3646"/>
      <c r="Z10" s="52" t="str">
        <f t="shared" si="7"/>
        <v>土地使用年限（年）</v>
      </c>
      <c r="AA10" s="704">
        <f t="shared" si="3"/>
        <v>0.84033613445378152</v>
      </c>
      <c r="AB10" s="704">
        <f t="shared" si="4"/>
        <v>0.84033613445378152</v>
      </c>
      <c r="AC10" s="704">
        <f t="shared" si="5"/>
        <v>0.84033613445378152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716"/>
      <c r="Q11" s="1343" t="str">
        <f t="shared" si="6"/>
        <v>容积率</v>
      </c>
      <c r="R11" s="701" t="s">
        <v>14</v>
      </c>
      <c r="S11" s="702" t="e">
        <f t="shared" si="0"/>
        <v>#N/A</v>
      </c>
      <c r="T11" s="701" t="s">
        <v>14</v>
      </c>
      <c r="U11" s="702" t="e">
        <f t="shared" si="1"/>
        <v>#N/A</v>
      </c>
      <c r="V11" s="701" t="s">
        <v>14</v>
      </c>
      <c r="W11" s="702" t="e">
        <f t="shared" si="2"/>
        <v>#N/A</v>
      </c>
      <c r="X11" s="703"/>
      <c r="Y11" s="3646"/>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716"/>
      <c r="Q12" s="1343" t="str">
        <f t="shared" si="6"/>
        <v>配建</v>
      </c>
      <c r="R12" s="701" t="s">
        <v>14</v>
      </c>
      <c r="S12" s="702">
        <f t="shared" si="0"/>
        <v>100</v>
      </c>
      <c r="T12" s="701" t="s">
        <v>14</v>
      </c>
      <c r="U12" s="702">
        <f t="shared" si="1"/>
        <v>100</v>
      </c>
      <c r="V12" s="701" t="s">
        <v>14</v>
      </c>
      <c r="W12" s="702">
        <f t="shared" si="2"/>
        <v>100</v>
      </c>
      <c r="X12" s="703"/>
      <c r="Y12" s="3646"/>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716"/>
      <c r="Q13" s="1343">
        <f t="shared" si="6"/>
        <v>111</v>
      </c>
      <c r="R13" s="701" t="s">
        <v>14</v>
      </c>
      <c r="S13" s="702">
        <f t="shared" si="0"/>
        <v>100</v>
      </c>
      <c r="T13" s="701" t="s">
        <v>14</v>
      </c>
      <c r="U13" s="702">
        <f t="shared" si="1"/>
        <v>100</v>
      </c>
      <c r="V13" s="701" t="s">
        <v>14</v>
      </c>
      <c r="W13" s="702">
        <f t="shared" si="2"/>
        <v>100</v>
      </c>
      <c r="X13" s="703"/>
      <c r="Y13" s="3646"/>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716"/>
      <c r="Q14" s="1343">
        <f t="shared" si="6"/>
        <v>111</v>
      </c>
      <c r="R14" s="701" t="s">
        <v>14</v>
      </c>
      <c r="S14" s="702">
        <f t="shared" si="0"/>
        <v>100</v>
      </c>
      <c r="T14" s="701" t="s">
        <v>14</v>
      </c>
      <c r="U14" s="702">
        <f t="shared" si="1"/>
        <v>100</v>
      </c>
      <c r="V14" s="701" t="s">
        <v>14</v>
      </c>
      <c r="W14" s="702">
        <f t="shared" si="2"/>
        <v>100</v>
      </c>
      <c r="X14" s="703"/>
      <c r="Y14" s="3646"/>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709" t="s">
        <v>1691</v>
      </c>
      <c r="Q15" s="1352" t="str">
        <f t="shared" si="6"/>
        <v>居住社区成熟度</v>
      </c>
      <c r="R15" s="705" t="s">
        <v>14</v>
      </c>
      <c r="S15" s="706">
        <f t="shared" si="0"/>
        <v>100</v>
      </c>
      <c r="T15" s="705" t="s">
        <v>14</v>
      </c>
      <c r="U15" s="706">
        <f t="shared" si="1"/>
        <v>100</v>
      </c>
      <c r="V15" s="705" t="s">
        <v>14</v>
      </c>
      <c r="W15" s="706">
        <f t="shared" si="2"/>
        <v>100</v>
      </c>
      <c r="X15" s="1355"/>
      <c r="Y15" s="3709"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710"/>
      <c r="Q16" s="1352"/>
      <c r="R16" s="705"/>
      <c r="S16" s="706"/>
      <c r="T16" s="705"/>
      <c r="U16" s="706"/>
      <c r="V16" s="705"/>
      <c r="W16" s="706"/>
      <c r="X16" s="1355"/>
      <c r="Y16" s="3710"/>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710"/>
      <c r="Q17" s="1352" t="str">
        <f>B17</f>
        <v>商业繁华度</v>
      </c>
      <c r="R17" s="705" t="s">
        <v>14</v>
      </c>
      <c r="S17" s="706">
        <f>F17</f>
        <v>100</v>
      </c>
      <c r="T17" s="705" t="s">
        <v>14</v>
      </c>
      <c r="U17" s="706">
        <f>H17</f>
        <v>100</v>
      </c>
      <c r="V17" s="705" t="s">
        <v>14</v>
      </c>
      <c r="W17" s="706">
        <f>J17</f>
        <v>100</v>
      </c>
      <c r="X17" s="1355"/>
      <c r="Y17" s="3710"/>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710"/>
      <c r="Q18" s="1352"/>
      <c r="R18" s="705"/>
      <c r="S18" s="706"/>
      <c r="T18" s="705"/>
      <c r="U18" s="706"/>
      <c r="V18" s="705"/>
      <c r="W18" s="706"/>
      <c r="X18" s="1355"/>
      <c r="Y18" s="3710"/>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710"/>
      <c r="Q19" s="1352" t="str">
        <f>B19</f>
        <v>办公集聚程度</v>
      </c>
      <c r="R19" s="705" t="s">
        <v>14</v>
      </c>
      <c r="S19" s="706">
        <f>F19</f>
        <v>100</v>
      </c>
      <c r="T19" s="705" t="s">
        <v>14</v>
      </c>
      <c r="U19" s="706">
        <f>H19</f>
        <v>100</v>
      </c>
      <c r="V19" s="705" t="s">
        <v>14</v>
      </c>
      <c r="W19" s="706">
        <f>J19</f>
        <v>100</v>
      </c>
      <c r="X19" s="1355"/>
      <c r="Y19" s="3710"/>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710"/>
      <c r="Q20" s="1352"/>
      <c r="R20" s="705"/>
      <c r="S20" s="706"/>
      <c r="T20" s="705"/>
      <c r="U20" s="706"/>
      <c r="V20" s="705"/>
      <c r="W20" s="706"/>
      <c r="X20" s="1355"/>
      <c r="Y20" s="3710"/>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710"/>
      <c r="Q21" s="1352" t="str">
        <f>B21</f>
        <v>交通便捷度</v>
      </c>
      <c r="R21" s="705" t="s">
        <v>14</v>
      </c>
      <c r="S21" s="706">
        <f>F21</f>
        <v>100</v>
      </c>
      <c r="T21" s="705" t="s">
        <v>14</v>
      </c>
      <c r="U21" s="706">
        <f>H21</f>
        <v>100</v>
      </c>
      <c r="V21" s="705" t="s">
        <v>14</v>
      </c>
      <c r="W21" s="706">
        <f>J21</f>
        <v>100</v>
      </c>
      <c r="X21" s="1355"/>
      <c r="Y21" s="3710"/>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710"/>
      <c r="Q22" s="1352"/>
      <c r="R22" s="705"/>
      <c r="S22" s="706"/>
      <c r="T22" s="705"/>
      <c r="U22" s="706"/>
      <c r="V22" s="705"/>
      <c r="W22" s="706"/>
      <c r="X22" s="1355"/>
      <c r="Y22" s="3710"/>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710"/>
      <c r="Q23" s="1352" t="str">
        <f t="shared" ref="Q23:Q37" si="8">B23</f>
        <v>区域土地利用方向</v>
      </c>
      <c r="R23" s="705" t="s">
        <v>14</v>
      </c>
      <c r="S23" s="706">
        <f>F23</f>
        <v>100</v>
      </c>
      <c r="T23" s="705" t="s">
        <v>14</v>
      </c>
      <c r="U23" s="706">
        <f>H23</f>
        <v>100</v>
      </c>
      <c r="V23" s="705" t="s">
        <v>14</v>
      </c>
      <c r="W23" s="706">
        <f>J23</f>
        <v>100</v>
      </c>
      <c r="X23" s="1355"/>
      <c r="Y23" s="3710"/>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710"/>
      <c r="Q24" s="1352"/>
      <c r="R24" s="705"/>
      <c r="S24" s="706"/>
      <c r="T24" s="705"/>
      <c r="U24" s="706"/>
      <c r="V24" s="705"/>
      <c r="W24" s="706"/>
      <c r="X24" s="1355"/>
      <c r="Y24" s="3710"/>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710"/>
      <c r="Q25" s="1352" t="str">
        <f t="shared" si="8"/>
        <v>自然及人文环境状况</v>
      </c>
      <c r="R25" s="705" t="s">
        <v>14</v>
      </c>
      <c r="S25" s="706">
        <f>F25</f>
        <v>100</v>
      </c>
      <c r="T25" s="705" t="s">
        <v>14</v>
      </c>
      <c r="U25" s="706">
        <f>H25</f>
        <v>100</v>
      </c>
      <c r="V25" s="705" t="s">
        <v>14</v>
      </c>
      <c r="W25" s="706">
        <f>J25</f>
        <v>100</v>
      </c>
      <c r="X25" s="1355"/>
      <c r="Y25" s="3710"/>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710"/>
      <c r="Q26" s="1352"/>
      <c r="R26" s="705"/>
      <c r="S26" s="706"/>
      <c r="T26" s="705"/>
      <c r="U26" s="706"/>
      <c r="V26" s="705"/>
      <c r="W26" s="706"/>
      <c r="X26" s="1355"/>
      <c r="Y26" s="3710"/>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710"/>
      <c r="Q27" s="1343" t="str">
        <f t="shared" si="8"/>
        <v>公共配套设施</v>
      </c>
      <c r="R27" s="701" t="s">
        <v>14</v>
      </c>
      <c r="S27" s="702">
        <f>F27</f>
        <v>100</v>
      </c>
      <c r="T27" s="701" t="s">
        <v>14</v>
      </c>
      <c r="U27" s="702">
        <f>H27</f>
        <v>100</v>
      </c>
      <c r="V27" s="701" t="s">
        <v>14</v>
      </c>
      <c r="W27" s="702">
        <f>J27</f>
        <v>100</v>
      </c>
      <c r="X27" s="703"/>
      <c r="Y27" s="3710"/>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710"/>
      <c r="Q28" s="1343"/>
      <c r="R28" s="701"/>
      <c r="S28" s="702"/>
      <c r="T28" s="701"/>
      <c r="U28" s="702"/>
      <c r="V28" s="701"/>
      <c r="W28" s="702"/>
      <c r="X28" s="703"/>
      <c r="Y28" s="3710"/>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710"/>
      <c r="Q29" s="1343" t="str">
        <f t="shared" ref="Q29" si="9">B29</f>
        <v>基础设施水平</v>
      </c>
      <c r="R29" s="701" t="s">
        <v>14</v>
      </c>
      <c r="S29" s="702">
        <f>F29</f>
        <v>100</v>
      </c>
      <c r="T29" s="701" t="s">
        <v>14</v>
      </c>
      <c r="U29" s="702">
        <f>H29</f>
        <v>100</v>
      </c>
      <c r="V29" s="701" t="s">
        <v>14</v>
      </c>
      <c r="W29" s="702">
        <f>J29</f>
        <v>100</v>
      </c>
      <c r="X29" s="703"/>
      <c r="Y29" s="3710"/>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710"/>
      <c r="Q30" s="1343"/>
      <c r="R30" s="701"/>
      <c r="S30" s="702"/>
      <c r="T30" s="701"/>
      <c r="U30" s="702"/>
      <c r="V30" s="701"/>
      <c r="W30" s="702"/>
      <c r="X30" s="703"/>
      <c r="Y30" s="3710"/>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710"/>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10"/>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710"/>
      <c r="Q32" s="1352" t="str">
        <f t="shared" si="8"/>
        <v>毗邻道路的类型与等级</v>
      </c>
      <c r="R32" s="705" t="s">
        <v>14</v>
      </c>
      <c r="S32" s="706">
        <f t="shared" si="10"/>
        <v>100</v>
      </c>
      <c r="T32" s="705" t="s">
        <v>14</v>
      </c>
      <c r="U32" s="706">
        <f t="shared" si="11"/>
        <v>100</v>
      </c>
      <c r="V32" s="705" t="s">
        <v>14</v>
      </c>
      <c r="W32" s="706">
        <f t="shared" si="12"/>
        <v>100</v>
      </c>
      <c r="X32" s="1355"/>
      <c r="Y32" s="3710"/>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710"/>
      <c r="Q33" s="1352"/>
      <c r="R33" s="705"/>
      <c r="S33" s="706"/>
      <c r="T33" s="705"/>
      <c r="U33" s="706"/>
      <c r="V33" s="705"/>
      <c r="W33" s="706"/>
      <c r="X33" s="1355"/>
      <c r="Y33" s="3710"/>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710"/>
      <c r="Q34" s="1352" t="str">
        <f t="shared" si="8"/>
        <v>土地级别</v>
      </c>
      <c r="R34" s="705" t="s">
        <v>14</v>
      </c>
      <c r="S34" s="706">
        <f t="shared" si="10"/>
        <v>100</v>
      </c>
      <c r="T34" s="705" t="s">
        <v>14</v>
      </c>
      <c r="U34" s="706">
        <f t="shared" si="11"/>
        <v>100</v>
      </c>
      <c r="V34" s="705" t="s">
        <v>14</v>
      </c>
      <c r="W34" s="706">
        <f t="shared" si="12"/>
        <v>100</v>
      </c>
      <c r="X34" s="1355"/>
      <c r="Y34" s="3710"/>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710"/>
      <c r="Q35" s="1352">
        <f t="shared" si="8"/>
        <v>111</v>
      </c>
      <c r="R35" s="705" t="s">
        <v>14</v>
      </c>
      <c r="S35" s="706">
        <f t="shared" si="10"/>
        <v>100</v>
      </c>
      <c r="T35" s="705" t="s">
        <v>14</v>
      </c>
      <c r="U35" s="706">
        <f t="shared" si="11"/>
        <v>100</v>
      </c>
      <c r="V35" s="705" t="s">
        <v>14</v>
      </c>
      <c r="W35" s="706">
        <f t="shared" si="12"/>
        <v>100</v>
      </c>
      <c r="X35" s="1355"/>
      <c r="Y35" s="3710"/>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58" t="s">
        <v>1696</v>
      </c>
      <c r="Q36" s="1352">
        <f t="shared" si="8"/>
        <v>111</v>
      </c>
      <c r="R36" s="705" t="s">
        <v>14</v>
      </c>
      <c r="S36" s="706">
        <f t="shared" si="10"/>
        <v>100</v>
      </c>
      <c r="T36" s="705" t="s">
        <v>14</v>
      </c>
      <c r="U36" s="706">
        <f t="shared" si="11"/>
        <v>100</v>
      </c>
      <c r="V36" s="705" t="s">
        <v>14</v>
      </c>
      <c r="W36" s="706">
        <f t="shared" si="12"/>
        <v>100</v>
      </c>
      <c r="X36" s="1355"/>
      <c r="Y36" s="3714"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714"/>
      <c r="Q37" s="1352">
        <f t="shared" si="8"/>
        <v>111</v>
      </c>
      <c r="R37" s="708" t="s">
        <v>14</v>
      </c>
      <c r="S37" s="709">
        <f t="shared" si="10"/>
        <v>100</v>
      </c>
      <c r="T37" s="708" t="s">
        <v>14</v>
      </c>
      <c r="U37" s="709">
        <f t="shared" si="11"/>
        <v>100</v>
      </c>
      <c r="V37" s="708" t="s">
        <v>14</v>
      </c>
      <c r="W37" s="709">
        <f t="shared" si="12"/>
        <v>100</v>
      </c>
      <c r="X37" s="710"/>
      <c r="Y37" s="3714"/>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714"/>
      <c r="Q38" s="1352" t="str">
        <f>B38</f>
        <v>宗地面积</v>
      </c>
      <c r="R38" s="705" t="s">
        <v>14</v>
      </c>
      <c r="S38" s="706" t="e">
        <f t="shared" si="10"/>
        <v>#N/A</v>
      </c>
      <c r="T38" s="705" t="s">
        <v>14</v>
      </c>
      <c r="U38" s="706" t="e">
        <f t="shared" si="11"/>
        <v>#N/A</v>
      </c>
      <c r="V38" s="705" t="s">
        <v>14</v>
      </c>
      <c r="W38" s="706" t="e">
        <f t="shared" si="12"/>
        <v>#N/A</v>
      </c>
      <c r="X38" s="1355"/>
      <c r="Y38" s="3714"/>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714"/>
      <c r="Q39" s="1352" t="str">
        <f t="shared" ref="Q39:Q45" si="14">B39</f>
        <v>宗地形状</v>
      </c>
      <c r="R39" s="705" t="s">
        <v>14</v>
      </c>
      <c r="S39" s="706">
        <f t="shared" si="10"/>
        <v>100</v>
      </c>
      <c r="T39" s="705" t="s">
        <v>14</v>
      </c>
      <c r="U39" s="706">
        <f t="shared" si="11"/>
        <v>100</v>
      </c>
      <c r="V39" s="705" t="s">
        <v>14</v>
      </c>
      <c r="W39" s="706">
        <f t="shared" si="12"/>
        <v>100</v>
      </c>
      <c r="X39" s="1355"/>
      <c r="Y39" s="3714"/>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714"/>
      <c r="Q40" s="1352" t="str">
        <f t="shared" si="14"/>
        <v>临街宽度及深度</v>
      </c>
      <c r="R40" s="705" t="s">
        <v>14</v>
      </c>
      <c r="S40" s="706">
        <f t="shared" si="10"/>
        <v>100</v>
      </c>
      <c r="T40" s="705" t="s">
        <v>14</v>
      </c>
      <c r="U40" s="706">
        <f t="shared" si="11"/>
        <v>100</v>
      </c>
      <c r="V40" s="705" t="s">
        <v>14</v>
      </c>
      <c r="W40" s="706">
        <f t="shared" si="12"/>
        <v>100</v>
      </c>
      <c r="X40" s="1355"/>
      <c r="Y40" s="3714"/>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714"/>
      <c r="Q41" s="1352" t="str">
        <f t="shared" si="14"/>
        <v>宗地开发程度</v>
      </c>
      <c r="R41" s="701" t="s">
        <v>14</v>
      </c>
      <c r="S41" s="702">
        <f t="shared" si="10"/>
        <v>100</v>
      </c>
      <c r="T41" s="701" t="s">
        <v>14</v>
      </c>
      <c r="U41" s="702">
        <f t="shared" si="11"/>
        <v>100</v>
      </c>
      <c r="V41" s="701" t="s">
        <v>14</v>
      </c>
      <c r="W41" s="702">
        <f t="shared" si="12"/>
        <v>100</v>
      </c>
      <c r="X41" s="703"/>
      <c r="Y41" s="3714"/>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714" t="s">
        <v>1696</v>
      </c>
      <c r="Q42" s="1352" t="str">
        <f t="shared" si="14"/>
        <v>工程地质条件</v>
      </c>
      <c r="R42" s="705" t="s">
        <v>14</v>
      </c>
      <c r="S42" s="706">
        <f t="shared" si="10"/>
        <v>100</v>
      </c>
      <c r="T42" s="705" t="s">
        <v>14</v>
      </c>
      <c r="U42" s="706">
        <f t="shared" si="11"/>
        <v>100</v>
      </c>
      <c r="V42" s="705" t="s">
        <v>14</v>
      </c>
      <c r="W42" s="706">
        <f t="shared" si="12"/>
        <v>100</v>
      </c>
      <c r="X42" s="1355"/>
      <c r="Y42" s="3714"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714"/>
      <c r="Q43" s="1352">
        <f t="shared" si="14"/>
        <v>111</v>
      </c>
      <c r="R43" s="705" t="s">
        <v>14</v>
      </c>
      <c r="S43" s="706">
        <f t="shared" si="10"/>
        <v>100</v>
      </c>
      <c r="T43" s="705" t="s">
        <v>14</v>
      </c>
      <c r="U43" s="706">
        <f t="shared" si="11"/>
        <v>100</v>
      </c>
      <c r="V43" s="705" t="s">
        <v>14</v>
      </c>
      <c r="W43" s="706">
        <f t="shared" si="12"/>
        <v>100</v>
      </c>
      <c r="X43" s="1355"/>
      <c r="Y43" s="3714"/>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714"/>
      <c r="Q44" s="1352">
        <f t="shared" si="14"/>
        <v>111</v>
      </c>
      <c r="R44" s="705" t="s">
        <v>14</v>
      </c>
      <c r="S44" s="706">
        <f t="shared" si="10"/>
        <v>100</v>
      </c>
      <c r="T44" s="705" t="s">
        <v>14</v>
      </c>
      <c r="U44" s="706">
        <f t="shared" si="11"/>
        <v>100</v>
      </c>
      <c r="V44" s="705" t="s">
        <v>14</v>
      </c>
      <c r="W44" s="706">
        <f t="shared" si="12"/>
        <v>100</v>
      </c>
      <c r="X44" s="1355"/>
      <c r="Y44" s="3714"/>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714"/>
      <c r="Q45" s="1352">
        <f t="shared" si="14"/>
        <v>111</v>
      </c>
      <c r="R45" s="708" t="s">
        <v>14</v>
      </c>
      <c r="S45" s="709">
        <f t="shared" si="10"/>
        <v>100</v>
      </c>
      <c r="T45" s="708" t="s">
        <v>14</v>
      </c>
      <c r="U45" s="709">
        <f t="shared" si="11"/>
        <v>100</v>
      </c>
      <c r="V45" s="708" t="s">
        <v>14</v>
      </c>
      <c r="W45" s="709">
        <f t="shared" si="12"/>
        <v>100</v>
      </c>
      <c r="X45" s="710"/>
      <c r="Y45" s="3714"/>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716" t="str">
        <f>A46</f>
        <v>成交单价</v>
      </c>
      <c r="Q46" s="3716"/>
      <c r="R46" s="3704">
        <f>E46</f>
        <v>0</v>
      </c>
      <c r="S46" s="3704"/>
      <c r="T46" s="3704">
        <f>G46</f>
        <v>0</v>
      </c>
      <c r="U46" s="3704"/>
      <c r="V46" s="3704">
        <f>I46</f>
        <v>0</v>
      </c>
      <c r="W46" s="3704"/>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716" t="str">
        <f>A47</f>
        <v>比较价值（元/平方米）</v>
      </c>
      <c r="Q47" s="3716"/>
      <c r="R47" s="3760" t="e">
        <f>ROUND(PRODUCT(R46,AA7:AA45),0)</f>
        <v>#DIV/0!</v>
      </c>
      <c r="S47" s="3760"/>
      <c r="T47" s="3760" t="e">
        <f>ROUND(PRODUCT(T46,AB7:AB45),0)</f>
        <v>#DIV/0!</v>
      </c>
      <c r="U47" s="3760"/>
      <c r="V47" s="3760" t="e">
        <f>ROUND(PRODUCT(V46,AC7:AC45),0)</f>
        <v>#DIV/0!</v>
      </c>
      <c r="W47" s="3760"/>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55" t="str">
        <f>A48</f>
        <v>估价对象XX用房的比较价值（楼面单价，元/平方米）</v>
      </c>
      <c r="Q48" s="3756"/>
      <c r="R48" s="3761" t="e">
        <f>ROUND(IF(D47="简单平均",AVERAGE(R47:W47),R47*F47+T47*H47+V47*J47),0)</f>
        <v>#DIV/0!</v>
      </c>
      <c r="S48" s="3761"/>
      <c r="T48" s="3761"/>
      <c r="U48" s="3761"/>
      <c r="V48" s="3761"/>
      <c r="W48" s="3761"/>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91" t="s">
        <v>1887</v>
      </c>
      <c r="H55" s="3762"/>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37408.559999999998</v>
      </c>
      <c r="F56" s="886" t="e">
        <f t="shared" ref="F56:F64" si="15">ROUND(B56*E56/10000,0)</f>
        <v>#DIV/0!</v>
      </c>
      <c r="G56" s="3687"/>
      <c r="H56" s="3716"/>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0.7</v>
      </c>
      <c r="D57" s="945">
        <v>0.25</v>
      </c>
      <c r="E57" s="642"/>
      <c r="F57" s="886" t="e">
        <f t="shared" si="15"/>
        <v>#DIV/0!</v>
      </c>
      <c r="G57" s="3006" t="s">
        <v>1892</v>
      </c>
      <c r="H57" s="887" t="str">
        <f>项目基本情况!B37</f>
        <v>一级</v>
      </c>
      <c r="I57" s="891">
        <f>SUMIF(修正!A57:A68,H57,修正!B57:B68)</f>
        <v>0.7</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0.4</v>
      </c>
      <c r="D58" s="945">
        <v>0.25</v>
      </c>
      <c r="E58" s="642"/>
      <c r="F58" s="886" t="e">
        <f t="shared" si="15"/>
        <v>#DIV/0!</v>
      </c>
      <c r="G58" s="3007"/>
      <c r="H58" s="887" t="str">
        <f>项目基本情况!B37</f>
        <v>一级</v>
      </c>
      <c r="I58" s="891">
        <f>SUMIF(修正!A57:A68,H58,修正!C57:C68)</f>
        <v>0.4</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0.3</v>
      </c>
      <c r="D59" s="945">
        <v>0.25</v>
      </c>
      <c r="E59" s="642"/>
      <c r="F59" s="886" t="e">
        <f t="shared" si="15"/>
        <v>#DIV/0!</v>
      </c>
      <c r="G59" s="3007"/>
      <c r="H59" s="887" t="str">
        <f>项目基本情况!B37</f>
        <v>一级</v>
      </c>
      <c r="I59" s="891">
        <f>SUMIF(修正!A57:A68,H59,修正!D57:D68)</f>
        <v>0.3</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0.3</v>
      </c>
      <c r="D60" s="945">
        <v>0.25</v>
      </c>
      <c r="E60" s="217">
        <f>'数据-汇总表'!E11</f>
        <v>0</v>
      </c>
      <c r="F60" s="886" t="e">
        <f t="shared" si="15"/>
        <v>#DIV/0!</v>
      </c>
      <c r="G60" s="1987" t="s">
        <v>1896</v>
      </c>
      <c r="H60" s="887" t="str">
        <f>项目基本情况!C37</f>
        <v>一级</v>
      </c>
      <c r="I60" s="891">
        <f>SUMIF(修正!A57:A68,H60,修正!E57:E68)</f>
        <v>0.3</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0.3</v>
      </c>
      <c r="D61" s="945">
        <v>0.25</v>
      </c>
      <c r="E61" s="217">
        <f>'数据-汇总表'!E12</f>
        <v>0</v>
      </c>
      <c r="F61" s="886" t="e">
        <f t="shared" si="15"/>
        <v>#DIV/0!</v>
      </c>
      <c r="G61" s="892" t="s">
        <v>1898</v>
      </c>
      <c r="H61" s="887" t="str">
        <f>IF(G61="商业",项目基本情况!B37,IF(G61="办公",项目基本情况!C37,IF(G61="住宅",项目基本情况!D37,项目基本情况!E37)))</f>
        <v>一级</v>
      </c>
      <c r="I61" s="891">
        <f>SUMIF(修正!A57:A68,H61,修正!F57:F68)</f>
        <v>0.3</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21393.3</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0.2</v>
      </c>
      <c r="D63" s="945">
        <v>0.25</v>
      </c>
      <c r="E63" s="217">
        <f>'数据-汇总表'!E14</f>
        <v>0</v>
      </c>
      <c r="F63" s="886" t="e">
        <f t="shared" si="15"/>
        <v>#DIV/0!</v>
      </c>
      <c r="G63" s="1987" t="s">
        <v>1892</v>
      </c>
      <c r="H63" s="887" t="str">
        <f>项目基本情况!B37</f>
        <v>一级</v>
      </c>
      <c r="I63" s="891">
        <f>SUMIF(修正!A57:A68,H63,修正!G57:G68)</f>
        <v>0.2</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0.2</v>
      </c>
      <c r="D64" s="945">
        <v>0.25</v>
      </c>
      <c r="E64" s="217">
        <f>'数据-汇总表'!E15</f>
        <v>0</v>
      </c>
      <c r="F64" s="886" t="e">
        <f t="shared" si="15"/>
        <v>#DIV/0!</v>
      </c>
      <c r="G64" s="1988" t="s">
        <v>1896</v>
      </c>
      <c r="H64" s="897" t="str">
        <f>项目基本情况!C37</f>
        <v>一级</v>
      </c>
      <c r="I64" s="893">
        <f>SUMIF(修正!A57:A68,H64,修正!G57:G68)</f>
        <v>0.2</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58801.86</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2024-1-1</v>
      </c>
      <c r="D67" s="692">
        <f>EDATE(C67,-3)</f>
        <v>45200</v>
      </c>
      <c r="E67" s="692">
        <f>EDATE(D67,-3)</f>
        <v>45108</v>
      </c>
      <c r="F67" s="692">
        <f t="shared" ref="F67:O67" si="18">EDATE(E67,-3)</f>
        <v>45017</v>
      </c>
      <c r="G67" s="692">
        <f t="shared" si="18"/>
        <v>44927</v>
      </c>
      <c r="H67" s="692">
        <f t="shared" si="18"/>
        <v>44835</v>
      </c>
      <c r="I67" s="692">
        <f t="shared" si="18"/>
        <v>44743</v>
      </c>
      <c r="J67" s="692">
        <f t="shared" si="18"/>
        <v>44652</v>
      </c>
      <c r="K67" s="692">
        <f t="shared" si="18"/>
        <v>44562</v>
      </c>
      <c r="L67" s="692">
        <f t="shared" si="18"/>
        <v>44470</v>
      </c>
      <c r="M67" s="692">
        <f t="shared" si="18"/>
        <v>44378</v>
      </c>
      <c r="N67" s="692">
        <f t="shared" si="18"/>
        <v>44287</v>
      </c>
      <c r="O67" s="692">
        <f t="shared" si="18"/>
        <v>44197</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2024-1</v>
      </c>
      <c r="D69" s="1182" t="str">
        <f>YEAR(D67)&amp;"-"&amp;ROUNDUP(MONTH(D67)/3,0)</f>
        <v>2023-4</v>
      </c>
      <c r="E69" s="1182" t="str">
        <f t="shared" ref="E69:O69" si="19">YEAR(E67)&amp;"-"&amp;ROUNDUP(MONTH(E67)/3,0)</f>
        <v>2023-3</v>
      </c>
      <c r="F69" s="1182" t="str">
        <f t="shared" si="19"/>
        <v>2023-2</v>
      </c>
      <c r="G69" s="1182" t="str">
        <f t="shared" si="19"/>
        <v>2023-1</v>
      </c>
      <c r="H69" s="1182" t="str">
        <f t="shared" si="19"/>
        <v>2022-4</v>
      </c>
      <c r="I69" s="1182" t="str">
        <f t="shared" si="19"/>
        <v>2022-3</v>
      </c>
      <c r="J69" s="1182" t="str">
        <f t="shared" si="19"/>
        <v>2022-2</v>
      </c>
      <c r="K69" s="1182" t="str">
        <f t="shared" si="19"/>
        <v>2022-1</v>
      </c>
      <c r="L69" s="1182" t="str">
        <f t="shared" si="19"/>
        <v>2021-4</v>
      </c>
      <c r="M69" s="1182" t="str">
        <f t="shared" si="19"/>
        <v>2021-3</v>
      </c>
      <c r="N69" s="1182" t="str">
        <f t="shared" si="19"/>
        <v>2021-2</v>
      </c>
      <c r="O69" s="1182" t="str">
        <f t="shared" si="19"/>
        <v>2021-1</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751" t="s">
        <v>1775</v>
      </c>
      <c r="Q4" s="3752"/>
      <c r="R4" s="3749" t="s">
        <v>1771</v>
      </c>
      <c r="S4" s="3750"/>
      <c r="T4" s="3749" t="s">
        <v>1772</v>
      </c>
      <c r="U4" s="3750"/>
      <c r="V4" s="3704" t="s">
        <v>1773</v>
      </c>
      <c r="W4" s="3704"/>
      <c r="X4" s="1355"/>
      <c r="Y4" s="3749" t="s">
        <v>1775</v>
      </c>
      <c r="Z4" s="3750"/>
      <c r="AA4" s="3748" t="s">
        <v>1771</v>
      </c>
      <c r="AB4" s="3671" t="s">
        <v>1772</v>
      </c>
      <c r="AC4" s="3748" t="s">
        <v>1773</v>
      </c>
    </row>
    <row r="5" spans="1:29" ht="15">
      <c r="A5" s="358"/>
      <c r="B5" s="359"/>
      <c r="C5" s="3681" t="s">
        <v>1673</v>
      </c>
      <c r="D5" s="3682"/>
      <c r="E5" s="3679" t="s">
        <v>1674</v>
      </c>
      <c r="F5" s="3680"/>
      <c r="G5" s="3681" t="s">
        <v>1675</v>
      </c>
      <c r="H5" s="3682"/>
      <c r="I5" s="3681" t="s">
        <v>1676</v>
      </c>
      <c r="J5" s="3682"/>
      <c r="K5" s="559"/>
      <c r="L5" s="2715"/>
      <c r="M5" s="2716"/>
      <c r="N5" s="2716"/>
      <c r="O5" s="2716"/>
      <c r="P5" s="3753"/>
      <c r="Q5" s="3698"/>
      <c r="R5" s="3677"/>
      <c r="S5" s="3678"/>
      <c r="T5" s="3677"/>
      <c r="U5" s="3678"/>
      <c r="V5" s="3704"/>
      <c r="W5" s="3704"/>
      <c r="X5" s="1355"/>
      <c r="Y5" s="3677"/>
      <c r="Z5" s="3678"/>
      <c r="AA5" s="3671"/>
      <c r="AB5" s="3671"/>
      <c r="AC5" s="3671"/>
    </row>
    <row r="6" spans="1:29" ht="15.75" thickBot="1">
      <c r="A6" s="360"/>
      <c r="B6" s="361"/>
      <c r="C6" s="3763" t="s">
        <v>1919</v>
      </c>
      <c r="D6" s="3764"/>
      <c r="E6" s="3765" t="s">
        <v>1919</v>
      </c>
      <c r="F6" s="3766"/>
      <c r="G6" s="3763" t="s">
        <v>1919</v>
      </c>
      <c r="H6" s="3764"/>
      <c r="I6" s="3763" t="s">
        <v>1919</v>
      </c>
      <c r="J6" s="3764"/>
      <c r="K6" s="559" t="s">
        <v>1678</v>
      </c>
      <c r="L6" s="2715"/>
      <c r="M6" s="2716"/>
      <c r="N6" s="2716"/>
      <c r="O6" s="2716"/>
      <c r="P6" s="3754"/>
      <c r="Q6" s="3700"/>
      <c r="R6" s="3677"/>
      <c r="S6" s="3678"/>
      <c r="T6" s="3701"/>
      <c r="U6" s="3702"/>
      <c r="V6" s="3704"/>
      <c r="W6" s="3704"/>
      <c r="X6" s="1355"/>
      <c r="Y6" s="3701"/>
      <c r="Z6" s="3702"/>
      <c r="AA6" s="3672"/>
      <c r="AB6" s="3672"/>
      <c r="AC6" s="3672"/>
    </row>
    <row r="7" spans="1:29" s="108" customFormat="1" ht="15.75" thickBot="1">
      <c r="A7" s="362" t="s">
        <v>1679</v>
      </c>
      <c r="B7" s="363"/>
      <c r="C7" s="364">
        <f>'数据-取费表'!B2</f>
        <v>45321</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73" t="s">
        <v>1680</v>
      </c>
      <c r="Q7" s="3706"/>
      <c r="R7" s="701" t="s">
        <v>14</v>
      </c>
      <c r="S7" s="702">
        <f t="shared" ref="S7:S15" si="0">F7</f>
        <v>0</v>
      </c>
      <c r="T7" s="701" t="s">
        <v>14</v>
      </c>
      <c r="U7" s="702">
        <f t="shared" ref="U7:U15" si="1">H7</f>
        <v>0</v>
      </c>
      <c r="V7" s="701" t="s">
        <v>14</v>
      </c>
      <c r="W7" s="702">
        <f t="shared" ref="W7:W15" si="2">J7</f>
        <v>0</v>
      </c>
      <c r="X7" s="703"/>
      <c r="Y7" s="3673" t="s">
        <v>1680</v>
      </c>
      <c r="Z7" s="3674"/>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73" t="s">
        <v>1683</v>
      </c>
      <c r="Q8" s="3674"/>
      <c r="R8" s="701" t="s">
        <v>14</v>
      </c>
      <c r="S8" s="702">
        <f t="shared" si="0"/>
        <v>0</v>
      </c>
      <c r="T8" s="701" t="s">
        <v>14</v>
      </c>
      <c r="U8" s="702">
        <f t="shared" si="1"/>
        <v>0</v>
      </c>
      <c r="V8" s="701" t="s">
        <v>14</v>
      </c>
      <c r="W8" s="702">
        <f t="shared" si="2"/>
        <v>0</v>
      </c>
      <c r="X8" s="703"/>
      <c r="Y8" s="3673" t="s">
        <v>1683</v>
      </c>
      <c r="Z8" s="3674"/>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716"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119</v>
      </c>
      <c r="G10" s="383"/>
      <c r="H10" s="127">
        <f>ROUND(100/'数据-取费表'!G16,0)</f>
        <v>119</v>
      </c>
      <c r="I10" s="383"/>
      <c r="J10" s="127">
        <f>ROUND(100/'数据-取费表'!G16,0)</f>
        <v>119</v>
      </c>
      <c r="K10" s="620"/>
      <c r="L10" s="2719"/>
      <c r="M10" s="2720"/>
      <c r="N10" s="2720"/>
      <c r="O10" s="2773"/>
      <c r="P10" s="3716"/>
      <c r="Q10" s="1343" t="str">
        <f t="shared" si="6"/>
        <v>土地使用年限（年）</v>
      </c>
      <c r="R10" s="701" t="s">
        <v>14</v>
      </c>
      <c r="S10" s="702">
        <f t="shared" si="0"/>
        <v>119</v>
      </c>
      <c r="T10" s="701" t="s">
        <v>14</v>
      </c>
      <c r="U10" s="702">
        <f t="shared" si="1"/>
        <v>119</v>
      </c>
      <c r="V10" s="701" t="s">
        <v>14</v>
      </c>
      <c r="W10" s="702">
        <f t="shared" si="2"/>
        <v>119</v>
      </c>
      <c r="X10" s="703"/>
      <c r="Y10" s="3646"/>
      <c r="Z10" s="52" t="str">
        <f t="shared" si="7"/>
        <v>土地使用年限（年）</v>
      </c>
      <c r="AA10" s="704">
        <f t="shared" si="3"/>
        <v>0.84033613445378152</v>
      </c>
      <c r="AB10" s="704">
        <f t="shared" si="4"/>
        <v>0.84033613445378152</v>
      </c>
      <c r="AC10" s="704">
        <f t="shared" si="5"/>
        <v>0.84033613445378152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716"/>
      <c r="Q11" s="1343" t="str">
        <f t="shared" si="6"/>
        <v>容积率</v>
      </c>
      <c r="R11" s="701" t="s">
        <v>14</v>
      </c>
      <c r="S11" s="702" t="e">
        <f t="shared" si="0"/>
        <v>#N/A</v>
      </c>
      <c r="T11" s="701" t="s">
        <v>14</v>
      </c>
      <c r="U11" s="702" t="e">
        <f t="shared" si="1"/>
        <v>#N/A</v>
      </c>
      <c r="V11" s="701" t="s">
        <v>14</v>
      </c>
      <c r="W11" s="702" t="e">
        <f t="shared" si="2"/>
        <v>#N/A</v>
      </c>
      <c r="X11" s="703"/>
      <c r="Y11" s="3646"/>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716"/>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716"/>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716"/>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709" t="s">
        <v>1691</v>
      </c>
      <c r="Q15" s="1352" t="str">
        <f t="shared" si="6"/>
        <v>产业集聚程度</v>
      </c>
      <c r="R15" s="705" t="s">
        <v>14</v>
      </c>
      <c r="S15" s="706">
        <f t="shared" si="0"/>
        <v>100</v>
      </c>
      <c r="T15" s="705" t="s">
        <v>14</v>
      </c>
      <c r="U15" s="706">
        <f t="shared" si="1"/>
        <v>100</v>
      </c>
      <c r="V15" s="705" t="s">
        <v>14</v>
      </c>
      <c r="W15" s="706">
        <f t="shared" si="2"/>
        <v>100</v>
      </c>
      <c r="X15" s="1355"/>
      <c r="Y15" s="3709"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710"/>
      <c r="Q16" s="1352"/>
      <c r="R16" s="705"/>
      <c r="S16" s="706"/>
      <c r="T16" s="705"/>
      <c r="U16" s="706"/>
      <c r="V16" s="705"/>
      <c r="W16" s="706"/>
      <c r="X16" s="1355"/>
      <c r="Y16" s="3710"/>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710"/>
      <c r="Q17" s="1352" t="str">
        <f>B17</f>
        <v>交通便捷度</v>
      </c>
      <c r="R17" s="705" t="s">
        <v>14</v>
      </c>
      <c r="S17" s="706">
        <f>F17</f>
        <v>100</v>
      </c>
      <c r="T17" s="705" t="s">
        <v>14</v>
      </c>
      <c r="U17" s="706">
        <f>H17</f>
        <v>100</v>
      </c>
      <c r="V17" s="705" t="s">
        <v>14</v>
      </c>
      <c r="W17" s="706">
        <f>J17</f>
        <v>100</v>
      </c>
      <c r="X17" s="1355"/>
      <c r="Y17" s="3710"/>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710"/>
      <c r="Q18" s="1352"/>
      <c r="R18" s="705"/>
      <c r="S18" s="706"/>
      <c r="T18" s="705"/>
      <c r="U18" s="706"/>
      <c r="V18" s="705"/>
      <c r="W18" s="706"/>
      <c r="X18" s="1355"/>
      <c r="Y18" s="3710"/>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710"/>
      <c r="Q19" s="1352" t="str">
        <f t="shared" ref="Q19:Q33" si="8">B19</f>
        <v>区域土地利用方向</v>
      </c>
      <c r="R19" s="705" t="s">
        <v>14</v>
      </c>
      <c r="S19" s="706">
        <f>F19</f>
        <v>100</v>
      </c>
      <c r="T19" s="705" t="s">
        <v>14</v>
      </c>
      <c r="U19" s="706">
        <f>H19</f>
        <v>100</v>
      </c>
      <c r="V19" s="705" t="s">
        <v>14</v>
      </c>
      <c r="W19" s="706">
        <f>J19</f>
        <v>100</v>
      </c>
      <c r="X19" s="1355"/>
      <c r="Y19" s="3710"/>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710"/>
      <c r="Q20" s="1352"/>
      <c r="R20" s="705"/>
      <c r="S20" s="706"/>
      <c r="T20" s="705"/>
      <c r="U20" s="706"/>
      <c r="V20" s="705"/>
      <c r="W20" s="706"/>
      <c r="X20" s="1355"/>
      <c r="Y20" s="3710"/>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710"/>
      <c r="Q21" s="1352" t="str">
        <f t="shared" si="8"/>
        <v>环境状况</v>
      </c>
      <c r="R21" s="705" t="s">
        <v>14</v>
      </c>
      <c r="S21" s="706">
        <f>F21</f>
        <v>100</v>
      </c>
      <c r="T21" s="705" t="s">
        <v>14</v>
      </c>
      <c r="U21" s="706">
        <f>H21</f>
        <v>100</v>
      </c>
      <c r="V21" s="705" t="s">
        <v>14</v>
      </c>
      <c r="W21" s="706">
        <f>J21</f>
        <v>100</v>
      </c>
      <c r="X21" s="1355"/>
      <c r="Y21" s="3710"/>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710"/>
      <c r="Q22" s="1352"/>
      <c r="R22" s="705"/>
      <c r="S22" s="706"/>
      <c r="T22" s="705"/>
      <c r="U22" s="706"/>
      <c r="V22" s="705"/>
      <c r="W22" s="706"/>
      <c r="X22" s="1355"/>
      <c r="Y22" s="3710"/>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710"/>
      <c r="Q23" s="1343" t="str">
        <f t="shared" si="8"/>
        <v>公共配套设施</v>
      </c>
      <c r="R23" s="701" t="s">
        <v>14</v>
      </c>
      <c r="S23" s="702">
        <f>F23</f>
        <v>100</v>
      </c>
      <c r="T23" s="701" t="s">
        <v>14</v>
      </c>
      <c r="U23" s="702">
        <f>H23</f>
        <v>100</v>
      </c>
      <c r="V23" s="701" t="s">
        <v>14</v>
      </c>
      <c r="W23" s="702">
        <f>J23</f>
        <v>100</v>
      </c>
      <c r="X23" s="703"/>
      <c r="Y23" s="3710"/>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710"/>
      <c r="Q24" s="1343"/>
      <c r="R24" s="701"/>
      <c r="S24" s="702"/>
      <c r="T24" s="701"/>
      <c r="U24" s="702"/>
      <c r="V24" s="701"/>
      <c r="W24" s="702"/>
      <c r="X24" s="703"/>
      <c r="Y24" s="3710"/>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710"/>
      <c r="Q25" s="1343" t="str">
        <f t="shared" ref="Q25" si="9">B25</f>
        <v>基础设施水平</v>
      </c>
      <c r="R25" s="701" t="s">
        <v>14</v>
      </c>
      <c r="S25" s="702">
        <f>F25</f>
        <v>100</v>
      </c>
      <c r="T25" s="701" t="s">
        <v>14</v>
      </c>
      <c r="U25" s="702">
        <f>H25</f>
        <v>100</v>
      </c>
      <c r="V25" s="701" t="s">
        <v>14</v>
      </c>
      <c r="W25" s="702">
        <f>J25</f>
        <v>100</v>
      </c>
      <c r="X25" s="703"/>
      <c r="Y25" s="3710"/>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710"/>
      <c r="Q26" s="1343"/>
      <c r="R26" s="701"/>
      <c r="S26" s="702"/>
      <c r="T26" s="701"/>
      <c r="U26" s="702"/>
      <c r="V26" s="701"/>
      <c r="W26" s="702"/>
      <c r="X26" s="703"/>
      <c r="Y26" s="3710"/>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710"/>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10"/>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710"/>
      <c r="Q28" s="1352" t="str">
        <f t="shared" si="8"/>
        <v>毗邻道路的类型与等级</v>
      </c>
      <c r="R28" s="705" t="s">
        <v>14</v>
      </c>
      <c r="S28" s="706">
        <f t="shared" si="10"/>
        <v>100</v>
      </c>
      <c r="T28" s="705" t="s">
        <v>14</v>
      </c>
      <c r="U28" s="706">
        <f t="shared" si="11"/>
        <v>100</v>
      </c>
      <c r="V28" s="705" t="s">
        <v>14</v>
      </c>
      <c r="W28" s="706">
        <f t="shared" si="12"/>
        <v>100</v>
      </c>
      <c r="X28" s="1355"/>
      <c r="Y28" s="3710"/>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710"/>
      <c r="Q29" s="1352"/>
      <c r="R29" s="705"/>
      <c r="S29" s="706"/>
      <c r="T29" s="705"/>
      <c r="U29" s="706"/>
      <c r="V29" s="705"/>
      <c r="W29" s="706"/>
      <c r="X29" s="1355"/>
      <c r="Y29" s="3710"/>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710"/>
      <c r="Q30" s="1352" t="str">
        <f t="shared" si="8"/>
        <v>土地级别</v>
      </c>
      <c r="R30" s="705" t="s">
        <v>14</v>
      </c>
      <c r="S30" s="706">
        <f t="shared" si="10"/>
        <v>100</v>
      </c>
      <c r="T30" s="705" t="s">
        <v>14</v>
      </c>
      <c r="U30" s="706">
        <f t="shared" si="11"/>
        <v>100</v>
      </c>
      <c r="V30" s="705" t="s">
        <v>14</v>
      </c>
      <c r="W30" s="706">
        <f t="shared" si="12"/>
        <v>100</v>
      </c>
      <c r="X30" s="1355"/>
      <c r="Y30" s="3710"/>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710"/>
      <c r="Q31" s="1352">
        <f t="shared" si="8"/>
        <v>111</v>
      </c>
      <c r="R31" s="705" t="s">
        <v>14</v>
      </c>
      <c r="S31" s="706">
        <f t="shared" si="10"/>
        <v>100</v>
      </c>
      <c r="T31" s="705" t="s">
        <v>14</v>
      </c>
      <c r="U31" s="706">
        <f t="shared" si="11"/>
        <v>100</v>
      </c>
      <c r="V31" s="705" t="s">
        <v>14</v>
      </c>
      <c r="W31" s="706">
        <f t="shared" si="12"/>
        <v>100</v>
      </c>
      <c r="X31" s="1355"/>
      <c r="Y31" s="3710"/>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58" t="s">
        <v>1696</v>
      </c>
      <c r="Q32" s="1352">
        <f t="shared" si="8"/>
        <v>111</v>
      </c>
      <c r="R32" s="705" t="s">
        <v>14</v>
      </c>
      <c r="S32" s="706">
        <f t="shared" si="10"/>
        <v>100</v>
      </c>
      <c r="T32" s="705" t="s">
        <v>14</v>
      </c>
      <c r="U32" s="706">
        <f t="shared" si="11"/>
        <v>100</v>
      </c>
      <c r="V32" s="705" t="s">
        <v>14</v>
      </c>
      <c r="W32" s="706">
        <f t="shared" si="12"/>
        <v>100</v>
      </c>
      <c r="X32" s="1355"/>
      <c r="Y32" s="3714"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714"/>
      <c r="Q33" s="1352">
        <f t="shared" si="8"/>
        <v>111</v>
      </c>
      <c r="R33" s="708" t="s">
        <v>14</v>
      </c>
      <c r="S33" s="709">
        <f t="shared" si="10"/>
        <v>100</v>
      </c>
      <c r="T33" s="708" t="s">
        <v>14</v>
      </c>
      <c r="U33" s="709">
        <f t="shared" si="11"/>
        <v>100</v>
      </c>
      <c r="V33" s="708" t="s">
        <v>14</v>
      </c>
      <c r="W33" s="709">
        <f t="shared" si="12"/>
        <v>100</v>
      </c>
      <c r="X33" s="710"/>
      <c r="Y33" s="3714"/>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714"/>
      <c r="Q34" s="1352" t="str">
        <f>B34</f>
        <v>宗地面积</v>
      </c>
      <c r="R34" s="705" t="s">
        <v>14</v>
      </c>
      <c r="S34" s="706" t="e">
        <f t="shared" si="10"/>
        <v>#N/A</v>
      </c>
      <c r="T34" s="705" t="s">
        <v>14</v>
      </c>
      <c r="U34" s="706" t="e">
        <f t="shared" si="11"/>
        <v>#N/A</v>
      </c>
      <c r="V34" s="705" t="s">
        <v>14</v>
      </c>
      <c r="W34" s="706" t="e">
        <f t="shared" si="12"/>
        <v>#N/A</v>
      </c>
      <c r="X34" s="1355"/>
      <c r="Y34" s="3714"/>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714"/>
      <c r="Q35" s="1352" t="str">
        <f t="shared" ref="Q35:Q40" si="14">B35</f>
        <v>宗地形状</v>
      </c>
      <c r="R35" s="705" t="s">
        <v>14</v>
      </c>
      <c r="S35" s="706">
        <f t="shared" si="10"/>
        <v>100</v>
      </c>
      <c r="T35" s="705" t="s">
        <v>14</v>
      </c>
      <c r="U35" s="706">
        <f t="shared" si="11"/>
        <v>100</v>
      </c>
      <c r="V35" s="705" t="s">
        <v>14</v>
      </c>
      <c r="W35" s="706">
        <f t="shared" si="12"/>
        <v>100</v>
      </c>
      <c r="X35" s="1355"/>
      <c r="Y35" s="3714"/>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714"/>
      <c r="Q36" s="1352" t="str">
        <f t="shared" si="14"/>
        <v>宗地开发程度</v>
      </c>
      <c r="R36" s="701" t="s">
        <v>14</v>
      </c>
      <c r="S36" s="702">
        <f t="shared" si="10"/>
        <v>100</v>
      </c>
      <c r="T36" s="701" t="s">
        <v>14</v>
      </c>
      <c r="U36" s="702">
        <f t="shared" si="11"/>
        <v>100</v>
      </c>
      <c r="V36" s="701" t="s">
        <v>14</v>
      </c>
      <c r="W36" s="702">
        <f t="shared" si="12"/>
        <v>100</v>
      </c>
      <c r="X36" s="703"/>
      <c r="Y36" s="3714"/>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714" t="s">
        <v>1696</v>
      </c>
      <c r="Q37" s="1352" t="str">
        <f t="shared" si="14"/>
        <v>工程地质条件</v>
      </c>
      <c r="R37" s="705" t="s">
        <v>14</v>
      </c>
      <c r="S37" s="706">
        <f t="shared" si="10"/>
        <v>100</v>
      </c>
      <c r="T37" s="705" t="s">
        <v>14</v>
      </c>
      <c r="U37" s="706">
        <f t="shared" si="11"/>
        <v>100</v>
      </c>
      <c r="V37" s="705" t="s">
        <v>14</v>
      </c>
      <c r="W37" s="706">
        <f t="shared" si="12"/>
        <v>100</v>
      </c>
      <c r="X37" s="1355"/>
      <c r="Y37" s="3714"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714"/>
      <c r="Q38" s="1352">
        <f t="shared" si="14"/>
        <v>111</v>
      </c>
      <c r="R38" s="705" t="s">
        <v>14</v>
      </c>
      <c r="S38" s="706">
        <f t="shared" si="10"/>
        <v>100</v>
      </c>
      <c r="T38" s="705" t="s">
        <v>14</v>
      </c>
      <c r="U38" s="706">
        <f t="shared" si="11"/>
        <v>100</v>
      </c>
      <c r="V38" s="705" t="s">
        <v>14</v>
      </c>
      <c r="W38" s="706">
        <f t="shared" si="12"/>
        <v>100</v>
      </c>
      <c r="X38" s="1355"/>
      <c r="Y38" s="3714"/>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714"/>
      <c r="Q39" s="1352">
        <f t="shared" si="14"/>
        <v>111</v>
      </c>
      <c r="R39" s="705" t="s">
        <v>14</v>
      </c>
      <c r="S39" s="706">
        <f t="shared" si="10"/>
        <v>100</v>
      </c>
      <c r="T39" s="705" t="s">
        <v>14</v>
      </c>
      <c r="U39" s="706">
        <f t="shared" si="11"/>
        <v>100</v>
      </c>
      <c r="V39" s="705" t="s">
        <v>14</v>
      </c>
      <c r="W39" s="706">
        <f t="shared" si="12"/>
        <v>100</v>
      </c>
      <c r="X39" s="1355"/>
      <c r="Y39" s="3714"/>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714"/>
      <c r="Q40" s="1352">
        <f t="shared" si="14"/>
        <v>111</v>
      </c>
      <c r="R40" s="708" t="s">
        <v>14</v>
      </c>
      <c r="S40" s="709">
        <f t="shared" si="10"/>
        <v>100</v>
      </c>
      <c r="T40" s="708" t="s">
        <v>14</v>
      </c>
      <c r="U40" s="709">
        <f t="shared" si="11"/>
        <v>100</v>
      </c>
      <c r="V40" s="708" t="s">
        <v>14</v>
      </c>
      <c r="W40" s="709">
        <f t="shared" si="12"/>
        <v>100</v>
      </c>
      <c r="X40" s="710"/>
      <c r="Y40" s="3714"/>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716" t="str">
        <f>A41</f>
        <v>成交单价</v>
      </c>
      <c r="Q41" s="3716"/>
      <c r="R41" s="3704">
        <f>E41</f>
        <v>0</v>
      </c>
      <c r="S41" s="3704"/>
      <c r="T41" s="3704">
        <f>G41</f>
        <v>0</v>
      </c>
      <c r="U41" s="3704"/>
      <c r="V41" s="3704">
        <f>I41</f>
        <v>0</v>
      </c>
      <c r="W41" s="3704"/>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716" t="str">
        <f>A42</f>
        <v>比较价值（元/平方米）</v>
      </c>
      <c r="Q42" s="3716"/>
      <c r="R42" s="3760" t="e">
        <f>ROUND(PRODUCT(R41,AA7:AA40),0)</f>
        <v>#DIV/0!</v>
      </c>
      <c r="S42" s="3760"/>
      <c r="T42" s="3760" t="e">
        <f>ROUND(PRODUCT(T41,AB7:AB40),0)</f>
        <v>#DIV/0!</v>
      </c>
      <c r="U42" s="3760"/>
      <c r="V42" s="3760" t="e">
        <f>ROUND(PRODUCT(V41,AC7:AC40),0)</f>
        <v>#DIV/0!</v>
      </c>
      <c r="W42" s="3760"/>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55" t="str">
        <f>A43</f>
        <v>估价对象XX用房的比较价值（楼面单价，元/平方米）</v>
      </c>
      <c r="Q43" s="3756"/>
      <c r="R43" s="3761" t="e">
        <f>ROUND(IF(D42="简单平均",AVERAGE(R42:W42),R42*F42+T42*H42+V42*J42),0)</f>
        <v>#DIV/0!</v>
      </c>
      <c r="S43" s="3761"/>
      <c r="T43" s="3761"/>
      <c r="U43" s="3761"/>
      <c r="V43" s="3761"/>
      <c r="W43" s="3761"/>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91" t="s">
        <v>1887</v>
      </c>
      <c r="H50" s="3762"/>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37408.559999999998</v>
      </c>
      <c r="F51" s="639" t="e">
        <f t="shared" ref="F51:F60" si="15">ROUND(B51*E51/10000,0)</f>
        <v>#DIV/0!</v>
      </c>
      <c r="G51" s="3687"/>
      <c r="H51" s="3716"/>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0.7</v>
      </c>
      <c r="D52" s="945">
        <v>0.25</v>
      </c>
      <c r="E52" s="642"/>
      <c r="F52" s="639" t="e">
        <f t="shared" si="15"/>
        <v>#DIV/0!</v>
      </c>
      <c r="G52" s="3006" t="s">
        <v>1892</v>
      </c>
      <c r="H52" s="887" t="str">
        <f>项目基本情况!B37</f>
        <v>一级</v>
      </c>
      <c r="I52" s="773">
        <f>SUMIF(修正!A57:A68,H52,修正!B57:B68)</f>
        <v>0.7</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0.4</v>
      </c>
      <c r="D53" s="945">
        <v>0.25</v>
      </c>
      <c r="E53" s="642"/>
      <c r="F53" s="639" t="e">
        <f t="shared" si="15"/>
        <v>#DIV/0!</v>
      </c>
      <c r="G53" s="3007"/>
      <c r="H53" s="887" t="str">
        <f>项目基本情况!B37</f>
        <v>一级</v>
      </c>
      <c r="I53" s="773">
        <f>SUMIF(修正!A57:A68,H53,修正!C57:C68)</f>
        <v>0.4</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0.3</v>
      </c>
      <c r="D54" s="945">
        <v>0.25</v>
      </c>
      <c r="E54" s="642"/>
      <c r="F54" s="639" t="e">
        <f t="shared" si="15"/>
        <v>#DIV/0!</v>
      </c>
      <c r="G54" s="3007"/>
      <c r="H54" s="887" t="str">
        <f>项目基本情况!B37</f>
        <v>一级</v>
      </c>
      <c r="I54" s="773">
        <f>SUMIF(修正!A57:A68,H54,修正!D57:D68)</f>
        <v>0.3</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0.3</v>
      </c>
      <c r="D56" s="945">
        <v>0.25</v>
      </c>
      <c r="E56" s="217">
        <f>'数据-汇总表'!E11</f>
        <v>0</v>
      </c>
      <c r="F56" s="639" t="e">
        <f t="shared" si="15"/>
        <v>#DIV/0!</v>
      </c>
      <c r="G56" s="1987" t="s">
        <v>1896</v>
      </c>
      <c r="H56" s="887" t="str">
        <f>项目基本情况!C37</f>
        <v>一级</v>
      </c>
      <c r="I56" s="773">
        <f>SUMIF(修正!A57:A68,H56,修正!E57:E68)</f>
        <v>0.3</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0.3</v>
      </c>
      <c r="D57" s="945">
        <v>0.25</v>
      </c>
      <c r="E57" s="217">
        <f>'数据-汇总表'!E12</f>
        <v>0</v>
      </c>
      <c r="F57" s="639" t="e">
        <f t="shared" si="15"/>
        <v>#DIV/0!</v>
      </c>
      <c r="G57" s="892" t="s">
        <v>1898</v>
      </c>
      <c r="H57" s="887" t="str">
        <f>IF(G57="商业",项目基本情况!B37,IF(G57="办公",项目基本情况!C37,IF(G57="住宅",项目基本情况!D37,项目基本情况!E37)))</f>
        <v>一级</v>
      </c>
      <c r="I57" s="773">
        <f>SUMIF(修正!A57:A68,H57,修正!F57:F68)</f>
        <v>0.3</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21393.3</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0.2</v>
      </c>
      <c r="D59" s="945">
        <v>0.25</v>
      </c>
      <c r="E59" s="217">
        <f>'数据-汇总表'!E14</f>
        <v>0</v>
      </c>
      <c r="F59" s="639" t="e">
        <f t="shared" si="15"/>
        <v>#DIV/0!</v>
      </c>
      <c r="G59" s="1987" t="s">
        <v>1892</v>
      </c>
      <c r="H59" s="887" t="str">
        <f>项目基本情况!B37</f>
        <v>一级</v>
      </c>
      <c r="I59" s="773">
        <f>SUMIF(修正!A57:A68,H59,修正!G57:G68)</f>
        <v>0.2</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0.2</v>
      </c>
      <c r="D60" s="945">
        <v>0.25</v>
      </c>
      <c r="E60" s="217">
        <f>'数据-汇总表'!E15</f>
        <v>0</v>
      </c>
      <c r="F60" s="639" t="e">
        <f t="shared" si="15"/>
        <v>#DIV/0!</v>
      </c>
      <c r="G60" s="1988" t="s">
        <v>1896</v>
      </c>
      <c r="H60" s="897" t="str">
        <f>项目基本情况!C37</f>
        <v>一级</v>
      </c>
      <c r="I60" s="773">
        <f>SUMIF(修正!A57:A68,H60,修正!G57:G68)</f>
        <v>0.2</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11305.41</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2024-1-1</v>
      </c>
      <c r="D63" s="692">
        <f>EDATE(C63,-3)</f>
        <v>45200</v>
      </c>
      <c r="E63" s="692">
        <f>EDATE(D63,-3)</f>
        <v>45108</v>
      </c>
      <c r="F63" s="692">
        <f t="shared" ref="F63:O63" si="18">EDATE(E63,-3)</f>
        <v>45017</v>
      </c>
      <c r="G63" s="692">
        <f t="shared" si="18"/>
        <v>44927</v>
      </c>
      <c r="H63" s="692">
        <f t="shared" si="18"/>
        <v>44835</v>
      </c>
      <c r="I63" s="692">
        <f t="shared" si="18"/>
        <v>44743</v>
      </c>
      <c r="J63" s="692">
        <f t="shared" si="18"/>
        <v>44652</v>
      </c>
      <c r="K63" s="692">
        <f t="shared" si="18"/>
        <v>44562</v>
      </c>
      <c r="L63" s="692">
        <f t="shared" si="18"/>
        <v>44470</v>
      </c>
      <c r="M63" s="692">
        <f t="shared" si="18"/>
        <v>44378</v>
      </c>
      <c r="N63" s="692">
        <f t="shared" si="18"/>
        <v>44287</v>
      </c>
      <c r="O63" s="692">
        <f t="shared" si="18"/>
        <v>44197</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2024-1</v>
      </c>
      <c r="D65" s="1182" t="str">
        <f t="shared" ref="D65:O65" si="19">YEAR(D63)&amp;"-"&amp;ROUNDUP(MONTH(D63)/3,0)</f>
        <v>2023-4</v>
      </c>
      <c r="E65" s="1182" t="str">
        <f t="shared" si="19"/>
        <v>2023-3</v>
      </c>
      <c r="F65" s="1182" t="str">
        <f t="shared" si="19"/>
        <v>2023-2</v>
      </c>
      <c r="G65" s="1182" t="str">
        <f t="shared" si="19"/>
        <v>2023-1</v>
      </c>
      <c r="H65" s="1182" t="str">
        <f t="shared" si="19"/>
        <v>2022-4</v>
      </c>
      <c r="I65" s="1182" t="str">
        <f t="shared" si="19"/>
        <v>2022-3</v>
      </c>
      <c r="J65" s="1182" t="str">
        <f t="shared" si="19"/>
        <v>2022-2</v>
      </c>
      <c r="K65" s="1182" t="str">
        <f t="shared" si="19"/>
        <v>2022-1</v>
      </c>
      <c r="L65" s="1182" t="str">
        <f t="shared" si="19"/>
        <v>2021-4</v>
      </c>
      <c r="M65" s="1182" t="str">
        <f t="shared" si="19"/>
        <v>2021-3</v>
      </c>
      <c r="N65" s="1182" t="str">
        <f t="shared" si="19"/>
        <v>2021-2</v>
      </c>
      <c r="O65" s="1182" t="str">
        <f t="shared" si="19"/>
        <v>2021-1</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70" t="s">
        <v>2084</v>
      </c>
      <c r="D1" s="3771"/>
      <c r="E1" s="3771"/>
      <c r="F1" s="3771"/>
      <c r="G1" s="3771"/>
      <c r="H1" s="3771"/>
      <c r="I1" s="3771"/>
      <c r="J1" s="3771"/>
      <c r="K1" s="3771"/>
      <c r="L1" s="3771"/>
      <c r="M1" s="3771"/>
      <c r="N1" s="3771"/>
      <c r="O1" s="3771"/>
      <c r="P1" s="3771"/>
      <c r="Q1" s="3771"/>
      <c r="R1" s="3771"/>
      <c r="S1" s="3772"/>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67" t="s">
        <v>27</v>
      </c>
      <c r="D22" s="3768"/>
      <c r="E22" s="3768"/>
      <c r="F22" s="3768"/>
      <c r="G22" s="3768"/>
      <c r="H22" s="3768"/>
      <c r="I22" s="3768"/>
      <c r="J22" s="3768"/>
      <c r="K22" s="3768"/>
      <c r="L22" s="3768"/>
      <c r="M22" s="3768"/>
      <c r="N22" s="3768"/>
      <c r="O22" s="3768"/>
      <c r="P22" s="3768"/>
      <c r="Q22" s="3769"/>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157420</v>
      </c>
      <c r="C2" s="2145" t="s">
        <v>2074</v>
      </c>
      <c r="D2" s="2145" t="s">
        <v>2075</v>
      </c>
      <c r="E2" s="2612">
        <f ca="1">SUMIF(E6:E13,"&lt;&gt;#ref!",E6:E13)</f>
        <v>68805.62</v>
      </c>
      <c r="F2" s="2793"/>
      <c r="G2" s="2793"/>
      <c r="H2" s="2793"/>
      <c r="I2" s="2793"/>
      <c r="J2" s="2793"/>
      <c r="K2" s="2793"/>
      <c r="L2" s="2793"/>
      <c r="M2" s="2793"/>
      <c r="N2" s="2793"/>
      <c r="O2" s="2793"/>
      <c r="P2" s="2793"/>
    </row>
    <row r="3" spans="1:16" ht="15.75">
      <c r="A3" s="2145" t="s">
        <v>2076</v>
      </c>
      <c r="B3" s="2602">
        <f ca="1">ROUND(B2*10000/E2,0)</f>
        <v>22879</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157420</v>
      </c>
      <c r="C6" s="2145" t="s">
        <v>2074</v>
      </c>
      <c r="D6" s="2793"/>
      <c r="E6" s="2612">
        <f ca="1">SUMIF(INDIRECT("'"&amp;A6&amp;"'"&amp;"!C:C"),"建筑面积",INDIRECT("'"&amp;A6&amp;"'"&amp;"!D:D"))</f>
        <v>68805.62</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13"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2598</v>
      </c>
      <c r="B1" s="3072" t="s">
        <v>2599</v>
      </c>
      <c r="C1" s="3072" t="s">
        <v>2600</v>
      </c>
      <c r="D1" s="3072" t="s">
        <v>2601</v>
      </c>
      <c r="E1" s="3072" t="s">
        <v>2602</v>
      </c>
      <c r="F1" s="3072" t="s">
        <v>2603</v>
      </c>
      <c r="G1" s="3072" t="s">
        <v>2604</v>
      </c>
      <c r="H1" s="3072" t="s">
        <v>2605</v>
      </c>
      <c r="I1" s="3072" t="s">
        <v>2606</v>
      </c>
      <c r="J1" s="3072" t="s">
        <v>2607</v>
      </c>
      <c r="K1" s="3072" t="s">
        <v>2608</v>
      </c>
      <c r="L1" s="3072" t="s">
        <v>2609</v>
      </c>
      <c r="M1" s="3073" t="s">
        <v>2610</v>
      </c>
    </row>
    <row r="2" spans="1:13" ht="19.5" customHeight="1">
      <c r="A2" s="3075" t="s">
        <v>2611</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2612</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2613</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2614</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2615</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2616</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2617</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2618</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2619</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2620</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2621</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2622</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2623</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2624</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2625</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2626</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2627</v>
      </c>
      <c r="B18" s="3097"/>
      <c r="C18" s="3098"/>
      <c r="D18" s="3098"/>
      <c r="E18" s="3097"/>
      <c r="F18" s="3098"/>
      <c r="G18" s="3098"/>
    </row>
    <row r="19" spans="1:13" ht="19.5" customHeight="1" thickBot="1">
      <c r="A19" s="3095" t="s">
        <v>2628</v>
      </c>
      <c r="B19" s="3100" t="s">
        <v>2629</v>
      </c>
      <c r="C19" s="3100" t="s">
        <v>2630</v>
      </c>
      <c r="D19" s="3101"/>
      <c r="E19" s="3095" t="s">
        <v>2631</v>
      </c>
      <c r="F19" s="3102"/>
      <c r="G19" s="3102"/>
    </row>
    <row r="20" spans="1:13" ht="19.5" customHeight="1">
      <c r="A20" s="3780" t="s">
        <v>2611</v>
      </c>
      <c r="B20" s="3773" t="s">
        <v>2632</v>
      </c>
      <c r="C20" s="3103" t="s">
        <v>2443</v>
      </c>
      <c r="D20" s="3104"/>
      <c r="E20" s="3105">
        <v>1</v>
      </c>
      <c r="F20" s="3106" t="s">
        <v>2444</v>
      </c>
      <c r="G20" s="3106"/>
    </row>
    <row r="21" spans="1:13" ht="19.5" customHeight="1">
      <c r="A21" s="3781"/>
      <c r="B21" s="3774"/>
      <c r="C21" s="3107" t="s">
        <v>2445</v>
      </c>
      <c r="D21" s="3108"/>
      <c r="E21" s="3109">
        <v>1</v>
      </c>
      <c r="F21" s="3106" t="s">
        <v>2446</v>
      </c>
      <c r="G21" s="3106"/>
    </row>
    <row r="22" spans="1:13" ht="19.5" customHeight="1">
      <c r="A22" s="3781"/>
      <c r="B22" s="3774"/>
      <c r="C22" s="3107" t="s">
        <v>2447</v>
      </c>
      <c r="D22" s="3108"/>
      <c r="E22" s="3109">
        <v>0.9</v>
      </c>
      <c r="F22" s="3106" t="s">
        <v>2448</v>
      </c>
      <c r="G22" s="3106"/>
    </row>
    <row r="23" spans="1:13" ht="19.5" customHeight="1">
      <c r="A23" s="3781"/>
      <c r="B23" s="3774"/>
      <c r="C23" s="3107" t="s">
        <v>2449</v>
      </c>
      <c r="D23" s="3108"/>
      <c r="E23" s="3109">
        <v>0.9</v>
      </c>
      <c r="F23" s="3106" t="s">
        <v>2450</v>
      </c>
      <c r="G23" s="3106"/>
    </row>
    <row r="24" spans="1:13" ht="19.5" customHeight="1">
      <c r="A24" s="3781"/>
      <c r="B24" s="3774"/>
      <c r="C24" s="3107" t="s">
        <v>2451</v>
      </c>
      <c r="D24" s="3108"/>
      <c r="E24" s="3109">
        <v>0.8</v>
      </c>
      <c r="F24" s="3106" t="s">
        <v>2452</v>
      </c>
      <c r="G24" s="3106"/>
    </row>
    <row r="25" spans="1:13" ht="19.5" customHeight="1" thickBot="1">
      <c r="A25" s="3782"/>
      <c r="B25" s="3775"/>
      <c r="C25" s="3110" t="s">
        <v>2453</v>
      </c>
      <c r="D25" s="3111"/>
      <c r="E25" s="3112">
        <v>0.8</v>
      </c>
      <c r="F25" s="3106" t="s">
        <v>2454</v>
      </c>
      <c r="G25" s="3106"/>
    </row>
    <row r="26" spans="1:13" ht="19.5" customHeight="1" thickBot="1">
      <c r="A26" s="3113" t="s">
        <v>2633</v>
      </c>
      <c r="B26" s="3114" t="s">
        <v>2632</v>
      </c>
      <c r="C26" s="3115" t="s">
        <v>2634</v>
      </c>
      <c r="D26" s="3116"/>
      <c r="E26" s="3117">
        <v>1</v>
      </c>
      <c r="F26" s="3106" t="s">
        <v>2455</v>
      </c>
      <c r="G26" s="3106"/>
    </row>
    <row r="27" spans="1:13" ht="19.5" customHeight="1">
      <c r="A27" s="3776" t="s">
        <v>2635</v>
      </c>
      <c r="B27" s="3773" t="s">
        <v>2616</v>
      </c>
      <c r="C27" s="3103" t="s">
        <v>2456</v>
      </c>
      <c r="D27" s="3104"/>
      <c r="E27" s="3105">
        <v>1</v>
      </c>
      <c r="F27" s="3106" t="s">
        <v>2457</v>
      </c>
      <c r="G27" s="3106"/>
    </row>
    <row r="28" spans="1:13" ht="19.5" customHeight="1">
      <c r="A28" s="3777"/>
      <c r="B28" s="3774"/>
      <c r="C28" s="3107" t="s">
        <v>2458</v>
      </c>
      <c r="D28" s="3108"/>
      <c r="E28" s="3109">
        <v>1</v>
      </c>
      <c r="F28" s="3106" t="s">
        <v>2459</v>
      </c>
      <c r="G28" s="3106"/>
    </row>
    <row r="29" spans="1:13" ht="19.5" customHeight="1">
      <c r="A29" s="3777"/>
      <c r="B29" s="3774"/>
      <c r="C29" s="3107" t="s">
        <v>2460</v>
      </c>
      <c r="D29" s="3108"/>
      <c r="E29" s="3109">
        <v>0.8</v>
      </c>
      <c r="F29" s="3106" t="s">
        <v>2461</v>
      </c>
      <c r="G29" s="3106"/>
    </row>
    <row r="30" spans="1:13" ht="19.5" customHeight="1">
      <c r="A30" s="3777"/>
      <c r="B30" s="3774"/>
      <c r="C30" s="3107" t="s">
        <v>2462</v>
      </c>
      <c r="D30" s="3108"/>
      <c r="E30" s="3109">
        <v>0.8</v>
      </c>
      <c r="F30" s="3106" t="s">
        <v>2463</v>
      </c>
      <c r="G30" s="3106"/>
    </row>
    <row r="31" spans="1:13" ht="19.5" customHeight="1">
      <c r="A31" s="3777"/>
      <c r="B31" s="3774"/>
      <c r="C31" s="3107" t="s">
        <v>2464</v>
      </c>
      <c r="D31" s="3108"/>
      <c r="E31" s="3109">
        <v>0.8</v>
      </c>
      <c r="F31" s="3106" t="s">
        <v>2465</v>
      </c>
      <c r="G31" s="3106"/>
    </row>
    <row r="32" spans="1:13" ht="19.5" customHeight="1">
      <c r="A32" s="3777"/>
      <c r="B32" s="3774"/>
      <c r="C32" s="3107" t="s">
        <v>2466</v>
      </c>
      <c r="D32" s="3108"/>
      <c r="E32" s="3109">
        <v>0.7</v>
      </c>
      <c r="F32" s="3106" t="s">
        <v>2467</v>
      </c>
      <c r="G32" s="3106"/>
    </row>
    <row r="33" spans="1:7" ht="19.5" customHeight="1">
      <c r="A33" s="3777"/>
      <c r="B33" s="3774"/>
      <c r="C33" s="3107" t="s">
        <v>2468</v>
      </c>
      <c r="D33" s="3108"/>
      <c r="E33" s="3109">
        <v>0.8</v>
      </c>
      <c r="F33" s="3106" t="s">
        <v>2469</v>
      </c>
      <c r="G33" s="3106"/>
    </row>
    <row r="34" spans="1:7" ht="19.5" customHeight="1">
      <c r="A34" s="3777"/>
      <c r="B34" s="3774"/>
      <c r="C34" s="3107" t="s">
        <v>2470</v>
      </c>
      <c r="D34" s="3108"/>
      <c r="E34" s="3109">
        <v>0.6</v>
      </c>
      <c r="F34" s="3106" t="s">
        <v>2471</v>
      </c>
      <c r="G34" s="3106"/>
    </row>
    <row r="35" spans="1:7" ht="19.5" customHeight="1">
      <c r="A35" s="3777"/>
      <c r="B35" s="3774"/>
      <c r="C35" s="3107" t="s">
        <v>2472</v>
      </c>
      <c r="D35" s="3108"/>
      <c r="E35" s="3109">
        <v>0.2</v>
      </c>
      <c r="F35" s="3106" t="s">
        <v>2473</v>
      </c>
      <c r="G35" s="3106"/>
    </row>
    <row r="36" spans="1:7" ht="19.5" customHeight="1">
      <c r="A36" s="3777"/>
      <c r="B36" s="3774"/>
      <c r="C36" s="3107" t="s">
        <v>2474</v>
      </c>
      <c r="D36" s="3108"/>
      <c r="E36" s="3109">
        <v>0.2</v>
      </c>
      <c r="F36" s="3106" t="s">
        <v>2475</v>
      </c>
      <c r="G36" s="3106"/>
    </row>
    <row r="37" spans="1:7" ht="19.5" customHeight="1">
      <c r="A37" s="3777"/>
      <c r="B37" s="3779" t="s">
        <v>2636</v>
      </c>
      <c r="C37" s="3107" t="s">
        <v>2476</v>
      </c>
      <c r="D37" s="3108"/>
      <c r="E37" s="3109">
        <v>0.6</v>
      </c>
      <c r="F37" s="3106" t="s">
        <v>2477</v>
      </c>
      <c r="G37" s="3106"/>
    </row>
    <row r="38" spans="1:7" ht="19.5" customHeight="1">
      <c r="A38" s="3777"/>
      <c r="B38" s="3774"/>
      <c r="C38" s="3107" t="s">
        <v>2478</v>
      </c>
      <c r="D38" s="3108"/>
      <c r="E38" s="3109">
        <v>0.6</v>
      </c>
      <c r="F38" s="3106" t="s">
        <v>2479</v>
      </c>
      <c r="G38" s="3106"/>
    </row>
    <row r="39" spans="1:7" ht="19.5" customHeight="1" thickBot="1">
      <c r="A39" s="3778"/>
      <c r="B39" s="3775"/>
      <c r="C39" s="3110" t="s">
        <v>2480</v>
      </c>
      <c r="D39" s="3111"/>
      <c r="E39" s="3112">
        <v>0.6</v>
      </c>
      <c r="F39" s="3106" t="s">
        <v>2481</v>
      </c>
      <c r="G39" s="3106"/>
    </row>
    <row r="40" spans="1:7" ht="19.5" customHeight="1" thickBot="1">
      <c r="A40" s="3113" t="s">
        <v>2613</v>
      </c>
      <c r="B40" s="3114" t="s">
        <v>2613</v>
      </c>
      <c r="C40" s="3115" t="s">
        <v>2637</v>
      </c>
      <c r="D40" s="3116"/>
      <c r="E40" s="3117">
        <v>1</v>
      </c>
      <c r="F40" s="3106" t="s">
        <v>2482</v>
      </c>
      <c r="G40" s="3106"/>
    </row>
    <row r="41" spans="1:7" ht="19.5" customHeight="1">
      <c r="A41" s="3780" t="s">
        <v>2614</v>
      </c>
      <c r="B41" s="3773" t="s">
        <v>2638</v>
      </c>
      <c r="C41" s="3103" t="s">
        <v>2483</v>
      </c>
      <c r="D41" s="3104"/>
      <c r="E41" s="3105">
        <v>1</v>
      </c>
      <c r="F41" s="3106" t="s">
        <v>2484</v>
      </c>
      <c r="G41" s="3106"/>
    </row>
    <row r="42" spans="1:7" ht="19.5" customHeight="1">
      <c r="A42" s="3781"/>
      <c r="B42" s="3774"/>
      <c r="C42" s="3107" t="s">
        <v>2485</v>
      </c>
      <c r="D42" s="3108"/>
      <c r="E42" s="3109">
        <v>1</v>
      </c>
      <c r="F42" s="3106" t="s">
        <v>2486</v>
      </c>
      <c r="G42" s="3106"/>
    </row>
    <row r="43" spans="1:7" ht="19.5" customHeight="1">
      <c r="A43" s="3781"/>
      <c r="B43" s="3783"/>
      <c r="C43" s="3107" t="s">
        <v>2487</v>
      </c>
      <c r="D43" s="3108"/>
      <c r="E43" s="3109">
        <v>1.5</v>
      </c>
      <c r="F43" s="3106" t="s">
        <v>2488</v>
      </c>
      <c r="G43" s="3106"/>
    </row>
    <row r="44" spans="1:7" ht="19.5" customHeight="1">
      <c r="A44" s="3781"/>
      <c r="B44" s="3118" t="s">
        <v>2639</v>
      </c>
      <c r="C44" s="3107" t="s">
        <v>2640</v>
      </c>
      <c r="D44" s="3108"/>
      <c r="E44" s="3109">
        <v>2</v>
      </c>
      <c r="F44" s="3106" t="s">
        <v>2489</v>
      </c>
      <c r="G44" s="3106"/>
    </row>
    <row r="45" spans="1:7" ht="19.5" customHeight="1">
      <c r="A45" s="3781"/>
      <c r="B45" s="3779" t="s">
        <v>2641</v>
      </c>
      <c r="C45" s="3107" t="s">
        <v>2490</v>
      </c>
      <c r="D45" s="3108"/>
      <c r="E45" s="3109">
        <v>1</v>
      </c>
      <c r="F45" s="3106" t="s">
        <v>2491</v>
      </c>
      <c r="G45" s="3106"/>
    </row>
    <row r="46" spans="1:7" ht="19.5" customHeight="1">
      <c r="A46" s="3781"/>
      <c r="B46" s="3774"/>
      <c r="C46" s="3107" t="s">
        <v>2492</v>
      </c>
      <c r="D46" s="3108"/>
      <c r="E46" s="3109">
        <v>1</v>
      </c>
      <c r="F46" s="3106" t="s">
        <v>2493</v>
      </c>
      <c r="G46" s="3106"/>
    </row>
    <row r="47" spans="1:7" ht="19.5" customHeight="1">
      <c r="A47" s="3781"/>
      <c r="B47" s="3774"/>
      <c r="C47" s="3107" t="s">
        <v>2494</v>
      </c>
      <c r="D47" s="3108"/>
      <c r="E47" s="3109">
        <v>1</v>
      </c>
      <c r="F47" s="3106" t="s">
        <v>2495</v>
      </c>
      <c r="G47" s="3106"/>
    </row>
    <row r="48" spans="1:7" ht="19.5" customHeight="1">
      <c r="A48" s="3781"/>
      <c r="B48" s="3774"/>
      <c r="C48" s="3107" t="s">
        <v>2496</v>
      </c>
      <c r="D48" s="3108"/>
      <c r="E48" s="3109">
        <v>1</v>
      </c>
      <c r="F48" s="3106" t="s">
        <v>2497</v>
      </c>
      <c r="G48" s="3106"/>
    </row>
    <row r="49" spans="1:7" ht="19.5" customHeight="1">
      <c r="A49" s="3781"/>
      <c r="B49" s="3774"/>
      <c r="C49" s="3107" t="s">
        <v>2498</v>
      </c>
      <c r="D49" s="3108"/>
      <c r="E49" s="3109">
        <v>1</v>
      </c>
      <c r="F49" s="3106" t="s">
        <v>2499</v>
      </c>
      <c r="G49" s="3106"/>
    </row>
    <row r="50" spans="1:7" ht="19.5" customHeight="1">
      <c r="A50" s="3781"/>
      <c r="B50" s="3774"/>
      <c r="C50" s="3107" t="s">
        <v>2500</v>
      </c>
      <c r="D50" s="3108"/>
      <c r="E50" s="3109">
        <v>1</v>
      </c>
      <c r="F50" s="3106" t="s">
        <v>2501</v>
      </c>
      <c r="G50" s="3106"/>
    </row>
    <row r="51" spans="1:7" ht="19.5" customHeight="1" thickBot="1">
      <c r="A51" s="3782"/>
      <c r="B51" s="3775"/>
      <c r="C51" s="3110" t="s">
        <v>2502</v>
      </c>
      <c r="D51" s="3111"/>
      <c r="E51" s="3112">
        <v>1</v>
      </c>
      <c r="F51" s="3106" t="s">
        <v>2503</v>
      </c>
      <c r="G51" s="3106"/>
    </row>
    <row r="52" spans="1:7" ht="19.5" customHeight="1">
      <c r="A52" s="3119"/>
      <c r="B52" s="3119"/>
      <c r="C52" s="3119"/>
      <c r="D52" s="3119"/>
      <c r="E52" s="3119"/>
      <c r="F52" s="3119"/>
      <c r="G52" s="3119"/>
    </row>
    <row r="54" spans="1:7" ht="19.5" customHeight="1">
      <c r="A54" s="3120"/>
      <c r="B54" s="3092" t="s">
        <v>2642</v>
      </c>
      <c r="C54" s="3092" t="s">
        <v>2642</v>
      </c>
      <c r="D54" s="3092" t="s">
        <v>2642</v>
      </c>
      <c r="E54" s="3095" t="s">
        <v>2642</v>
      </c>
      <c r="F54" s="3095" t="s">
        <v>2643</v>
      </c>
      <c r="G54" s="3095" t="s">
        <v>2644</v>
      </c>
    </row>
    <row r="55" spans="1:7" ht="19.5" customHeight="1">
      <c r="A55" s="3121"/>
      <c r="B55" s="3095" t="s">
        <v>2611</v>
      </c>
      <c r="C55" s="3095" t="s">
        <v>2611</v>
      </c>
      <c r="D55" s="3095" t="s">
        <v>2611</v>
      </c>
      <c r="E55" s="3092" t="s">
        <v>2612</v>
      </c>
      <c r="F55" s="3092" t="s">
        <v>2614</v>
      </c>
      <c r="G55" s="3092" t="s">
        <v>2645</v>
      </c>
    </row>
    <row r="56" spans="1:7" ht="19.5" customHeight="1">
      <c r="A56" s="3122"/>
      <c r="B56" s="3092">
        <v>1</v>
      </c>
      <c r="C56" s="3092">
        <v>2</v>
      </c>
      <c r="D56" s="3092">
        <v>3</v>
      </c>
      <c r="E56" s="3123" t="s">
        <v>2646</v>
      </c>
      <c r="F56" s="3123" t="s">
        <v>2646</v>
      </c>
      <c r="G56" s="3123" t="s">
        <v>2646</v>
      </c>
    </row>
    <row r="57" spans="1:7" ht="19.5" customHeight="1">
      <c r="A57" s="3124" t="s">
        <v>2599</v>
      </c>
      <c r="B57" s="3092">
        <v>0.7</v>
      </c>
      <c r="C57" s="3092">
        <v>0.4</v>
      </c>
      <c r="D57" s="3092">
        <v>0.3</v>
      </c>
      <c r="E57" s="3123">
        <v>0.3</v>
      </c>
      <c r="F57" s="3092">
        <v>0.3</v>
      </c>
      <c r="G57" s="3092">
        <v>0.2</v>
      </c>
    </row>
    <row r="58" spans="1:7" ht="19.5" customHeight="1">
      <c r="A58" s="3124" t="s">
        <v>2600</v>
      </c>
      <c r="B58" s="3092">
        <v>0.7</v>
      </c>
      <c r="C58" s="3092">
        <v>0.4</v>
      </c>
      <c r="D58" s="3092">
        <v>0.3</v>
      </c>
      <c r="E58" s="3092">
        <v>0.3</v>
      </c>
      <c r="F58" s="3092">
        <v>0.3</v>
      </c>
      <c r="G58" s="3092">
        <v>0.2</v>
      </c>
    </row>
    <row r="59" spans="1:7" ht="19.5" customHeight="1">
      <c r="A59" s="3124" t="s">
        <v>2601</v>
      </c>
      <c r="B59" s="3092">
        <v>0.6</v>
      </c>
      <c r="C59" s="3092">
        <v>0.3</v>
      </c>
      <c r="D59" s="3092">
        <v>0.25</v>
      </c>
      <c r="E59" s="3092">
        <v>0.25</v>
      </c>
      <c r="F59" s="3092">
        <v>0.25</v>
      </c>
      <c r="G59" s="3092">
        <v>0.15</v>
      </c>
    </row>
    <row r="60" spans="1:7" ht="19.5" customHeight="1">
      <c r="A60" s="3124" t="s">
        <v>2602</v>
      </c>
      <c r="B60" s="3092">
        <v>0.6</v>
      </c>
      <c r="C60" s="3092">
        <v>0.3</v>
      </c>
      <c r="D60" s="3092">
        <v>0.25</v>
      </c>
      <c r="E60" s="3092">
        <v>0.25</v>
      </c>
      <c r="F60" s="3092">
        <v>0.25</v>
      </c>
      <c r="G60" s="3092">
        <v>0.15</v>
      </c>
    </row>
    <row r="61" spans="1:7" ht="19.5" customHeight="1">
      <c r="A61" s="3124" t="s">
        <v>2603</v>
      </c>
      <c r="B61" s="3092">
        <v>0.6</v>
      </c>
      <c r="C61" s="3092">
        <v>0.3</v>
      </c>
      <c r="D61" s="3092">
        <v>0.25</v>
      </c>
      <c r="E61" s="3092">
        <v>0.25</v>
      </c>
      <c r="F61" s="3092">
        <v>0.25</v>
      </c>
      <c r="G61" s="3092">
        <v>0.15</v>
      </c>
    </row>
    <row r="62" spans="1:7" ht="19.5" customHeight="1">
      <c r="A62" s="3124" t="s">
        <v>2604</v>
      </c>
      <c r="B62" s="3092">
        <v>0.6</v>
      </c>
      <c r="C62" s="3092">
        <v>0.3</v>
      </c>
      <c r="D62" s="3092">
        <v>0.25</v>
      </c>
      <c r="E62" s="3092">
        <v>0.25</v>
      </c>
      <c r="F62" s="3092">
        <v>0.25</v>
      </c>
      <c r="G62" s="3092">
        <v>0.15</v>
      </c>
    </row>
    <row r="63" spans="1:7" ht="19.5" customHeight="1">
      <c r="A63" s="3124" t="s">
        <v>2605</v>
      </c>
      <c r="B63" s="3092">
        <v>0.6</v>
      </c>
      <c r="C63" s="3092">
        <v>0.3</v>
      </c>
      <c r="D63" s="3092">
        <v>0.25</v>
      </c>
      <c r="E63" s="3092">
        <v>0.25</v>
      </c>
      <c r="F63" s="3092">
        <v>0.25</v>
      </c>
      <c r="G63" s="3092">
        <v>0.15</v>
      </c>
    </row>
    <row r="64" spans="1:7" ht="19.5" customHeight="1">
      <c r="A64" s="3124" t="s">
        <v>2606</v>
      </c>
      <c r="B64" s="3092">
        <v>0.5</v>
      </c>
      <c r="C64" s="3092">
        <v>0.2</v>
      </c>
      <c r="D64" s="3092">
        <v>0.2</v>
      </c>
      <c r="E64" s="3092">
        <v>0.2</v>
      </c>
      <c r="F64" s="3092">
        <v>0.2</v>
      </c>
      <c r="G64" s="3092">
        <v>0.1</v>
      </c>
    </row>
    <row r="65" spans="1:7" ht="19.5" customHeight="1">
      <c r="A65" s="3124" t="s">
        <v>2607</v>
      </c>
      <c r="B65" s="3092">
        <v>0.5</v>
      </c>
      <c r="C65" s="3092">
        <v>0.2</v>
      </c>
      <c r="D65" s="3092">
        <v>0.2</v>
      </c>
      <c r="E65" s="3092">
        <v>0.2</v>
      </c>
      <c r="F65" s="3092">
        <v>0.2</v>
      </c>
      <c r="G65" s="3092">
        <v>0.1</v>
      </c>
    </row>
    <row r="66" spans="1:7" ht="19.5" customHeight="1">
      <c r="A66" s="3124" t="s">
        <v>2608</v>
      </c>
      <c r="B66" s="3092">
        <v>0.5</v>
      </c>
      <c r="C66" s="3092">
        <v>0.2</v>
      </c>
      <c r="D66" s="3092">
        <v>0.2</v>
      </c>
      <c r="E66" s="3092">
        <v>0.2</v>
      </c>
      <c r="F66" s="3092">
        <v>0.2</v>
      </c>
      <c r="G66" s="3092">
        <v>0.1</v>
      </c>
    </row>
    <row r="67" spans="1:7" ht="19.5" customHeight="1">
      <c r="A67" s="3124" t="s">
        <v>2609</v>
      </c>
      <c r="B67" s="3092">
        <v>0.5</v>
      </c>
      <c r="C67" s="3092">
        <v>0.2</v>
      </c>
      <c r="D67" s="3092">
        <v>0.2</v>
      </c>
      <c r="E67" s="3092">
        <v>0.2</v>
      </c>
      <c r="F67" s="3092">
        <v>0.2</v>
      </c>
      <c r="G67" s="3092">
        <v>0.1</v>
      </c>
    </row>
    <row r="68" spans="1:7" ht="19.5" customHeight="1">
      <c r="A68" s="3124" t="s">
        <v>2610</v>
      </c>
      <c r="B68" s="3092">
        <v>0.5</v>
      </c>
      <c r="C68" s="3092">
        <v>0.2</v>
      </c>
      <c r="D68" s="3092">
        <v>0.2</v>
      </c>
      <c r="E68" s="3092">
        <v>0.2</v>
      </c>
      <c r="F68" s="3092">
        <v>0.2</v>
      </c>
      <c r="G68" s="3092">
        <v>0.1</v>
      </c>
    </row>
    <row r="70" spans="1:7" ht="19.5" customHeight="1">
      <c r="A70" s="3125"/>
      <c r="B70" s="3126"/>
      <c r="C70" s="3126"/>
      <c r="D70" s="3126" t="s">
        <v>2647</v>
      </c>
      <c r="E70" s="3126"/>
      <c r="F70" s="3126"/>
    </row>
    <row r="71" spans="1:7" ht="19.5" customHeight="1">
      <c r="A71" s="3118" t="s">
        <v>2648</v>
      </c>
      <c r="B71" s="3118" t="s">
        <v>2649</v>
      </c>
      <c r="C71" s="3118" t="s">
        <v>2650</v>
      </c>
      <c r="D71" s="3118" t="s">
        <v>2651</v>
      </c>
      <c r="E71" s="3118" t="s">
        <v>2652</v>
      </c>
      <c r="F71" s="3118" t="s">
        <v>2653</v>
      </c>
    </row>
    <row r="72" spans="1:7" ht="13.5">
      <c r="A72" s="3118"/>
      <c r="B72" s="3118"/>
      <c r="C72" s="3118" t="s">
        <v>2654</v>
      </c>
      <c r="D72" s="3118"/>
      <c r="E72" s="3118" t="s">
        <v>2625</v>
      </c>
      <c r="F72" s="3118" t="s">
        <v>2625</v>
      </c>
    </row>
    <row r="73" spans="1:7" ht="13.5">
      <c r="A73" s="3118">
        <v>1</v>
      </c>
      <c r="B73" s="3779" t="s">
        <v>2655</v>
      </c>
      <c r="C73" s="3092" t="s">
        <v>2656</v>
      </c>
      <c r="D73" s="3092" t="s">
        <v>2657</v>
      </c>
      <c r="E73" s="3118">
        <v>0.2</v>
      </c>
      <c r="F73" s="3118">
        <v>25</v>
      </c>
    </row>
    <row r="74" spans="1:7" ht="24">
      <c r="A74" s="3118">
        <v>2</v>
      </c>
      <c r="B74" s="3774"/>
      <c r="C74" s="3092" t="s">
        <v>2658</v>
      </c>
      <c r="D74" s="3092" t="s">
        <v>2659</v>
      </c>
      <c r="E74" s="3118">
        <v>0.2</v>
      </c>
      <c r="F74" s="3118">
        <v>25</v>
      </c>
    </row>
    <row r="75" spans="1:7" ht="24">
      <c r="A75" s="3118">
        <v>3</v>
      </c>
      <c r="B75" s="3774"/>
      <c r="C75" s="3092" t="s">
        <v>2660</v>
      </c>
      <c r="D75" s="3092" t="s">
        <v>2661</v>
      </c>
      <c r="E75" s="3118">
        <v>0.2</v>
      </c>
      <c r="F75" s="3118">
        <v>25</v>
      </c>
    </row>
    <row r="76" spans="1:7" ht="13.5">
      <c r="A76" s="3118">
        <v>4</v>
      </c>
      <c r="B76" s="3774"/>
      <c r="C76" s="3092" t="s">
        <v>2662</v>
      </c>
      <c r="D76" s="3092" t="s">
        <v>2663</v>
      </c>
      <c r="E76" s="3118">
        <v>0.15</v>
      </c>
      <c r="F76" s="3118">
        <v>20</v>
      </c>
    </row>
    <row r="77" spans="1:7" ht="24">
      <c r="A77" s="3118">
        <v>5</v>
      </c>
      <c r="B77" s="3774"/>
      <c r="C77" s="3092" t="s">
        <v>2664</v>
      </c>
      <c r="D77" s="3092" t="s">
        <v>2665</v>
      </c>
      <c r="E77" s="3118">
        <v>0.15</v>
      </c>
      <c r="F77" s="3118">
        <v>20</v>
      </c>
    </row>
    <row r="78" spans="1:7" ht="24">
      <c r="A78" s="3118">
        <v>6</v>
      </c>
      <c r="B78" s="3774"/>
      <c r="C78" s="3092" t="s">
        <v>2666</v>
      </c>
      <c r="D78" s="3092" t="s">
        <v>2667</v>
      </c>
      <c r="E78" s="3118">
        <v>0.15</v>
      </c>
      <c r="F78" s="3118">
        <v>20</v>
      </c>
    </row>
    <row r="79" spans="1:7" ht="24">
      <c r="A79" s="3118">
        <v>7</v>
      </c>
      <c r="B79" s="3774"/>
      <c r="C79" s="3092" t="s">
        <v>2668</v>
      </c>
      <c r="D79" s="3092" t="s">
        <v>2669</v>
      </c>
      <c r="E79" s="3118">
        <v>0.15</v>
      </c>
      <c r="F79" s="3118">
        <v>20</v>
      </c>
    </row>
    <row r="80" spans="1:7" ht="24">
      <c r="A80" s="3118">
        <v>8</v>
      </c>
      <c r="B80" s="3774"/>
      <c r="C80" s="3092" t="s">
        <v>2670</v>
      </c>
      <c r="D80" s="3092" t="s">
        <v>2671</v>
      </c>
      <c r="E80" s="3118">
        <v>0.1</v>
      </c>
      <c r="F80" s="3118">
        <v>15</v>
      </c>
    </row>
    <row r="81" spans="1:6" ht="24">
      <c r="A81" s="3118">
        <v>9</v>
      </c>
      <c r="B81" s="3774"/>
      <c r="C81" s="3092" t="s">
        <v>2672</v>
      </c>
      <c r="D81" s="3092" t="s">
        <v>2673</v>
      </c>
      <c r="E81" s="3118">
        <v>0.1</v>
      </c>
      <c r="F81" s="3118">
        <v>15</v>
      </c>
    </row>
    <row r="82" spans="1:6" ht="24">
      <c r="A82" s="3118">
        <v>10</v>
      </c>
      <c r="B82" s="3774"/>
      <c r="C82" s="3092" t="s">
        <v>2674</v>
      </c>
      <c r="D82" s="3092" t="s">
        <v>2675</v>
      </c>
      <c r="E82" s="3118">
        <v>0.1</v>
      </c>
      <c r="F82" s="3118">
        <v>15</v>
      </c>
    </row>
    <row r="83" spans="1:6" ht="24">
      <c r="A83" s="3118">
        <v>11</v>
      </c>
      <c r="B83" s="3774"/>
      <c r="C83" s="3092" t="s">
        <v>2676</v>
      </c>
      <c r="D83" s="3092" t="s">
        <v>2677</v>
      </c>
      <c r="E83" s="3118">
        <v>0.1</v>
      </c>
      <c r="F83" s="3118">
        <v>15</v>
      </c>
    </row>
    <row r="84" spans="1:6" ht="24">
      <c r="A84" s="3118">
        <v>12</v>
      </c>
      <c r="B84" s="3774"/>
      <c r="C84" s="3092" t="s">
        <v>2678</v>
      </c>
      <c r="D84" s="3092" t="s">
        <v>2679</v>
      </c>
      <c r="E84" s="3118">
        <v>0.1</v>
      </c>
      <c r="F84" s="3118">
        <v>15</v>
      </c>
    </row>
    <row r="85" spans="1:6" ht="13.5">
      <c r="A85" s="3118">
        <v>13</v>
      </c>
      <c r="B85" s="3774"/>
      <c r="C85" s="3092" t="s">
        <v>2680</v>
      </c>
      <c r="D85" s="3092" t="s">
        <v>2681</v>
      </c>
      <c r="E85" s="3118">
        <v>0.1</v>
      </c>
      <c r="F85" s="3118">
        <v>15</v>
      </c>
    </row>
    <row r="86" spans="1:6" ht="13.5">
      <c r="A86" s="3118">
        <v>14</v>
      </c>
      <c r="B86" s="3774"/>
      <c r="C86" s="3092" t="s">
        <v>2682</v>
      </c>
      <c r="D86" s="3092" t="s">
        <v>2683</v>
      </c>
      <c r="E86" s="3118">
        <v>0.1</v>
      </c>
      <c r="F86" s="3118">
        <v>15</v>
      </c>
    </row>
    <row r="87" spans="1:6" ht="13.5">
      <c r="A87" s="3118">
        <v>15</v>
      </c>
      <c r="B87" s="3774"/>
      <c r="C87" s="3092" t="s">
        <v>2684</v>
      </c>
      <c r="D87" s="3092" t="s">
        <v>2685</v>
      </c>
      <c r="E87" s="3118">
        <v>0.1</v>
      </c>
      <c r="F87" s="3118">
        <v>15</v>
      </c>
    </row>
    <row r="88" spans="1:6" ht="24">
      <c r="A88" s="3118">
        <v>16</v>
      </c>
      <c r="B88" s="3774"/>
      <c r="C88" s="3092" t="s">
        <v>2686</v>
      </c>
      <c r="D88" s="3092" t="s">
        <v>2687</v>
      </c>
      <c r="E88" s="3118">
        <v>0.1</v>
      </c>
      <c r="F88" s="3118">
        <v>15</v>
      </c>
    </row>
    <row r="89" spans="1:6" ht="24">
      <c r="A89" s="3118">
        <v>17</v>
      </c>
      <c r="B89" s="3783"/>
      <c r="C89" s="3092" t="s">
        <v>2688</v>
      </c>
      <c r="D89" s="3092" t="s">
        <v>2689</v>
      </c>
      <c r="E89" s="3118">
        <v>0.1</v>
      </c>
      <c r="F89" s="3118">
        <v>15</v>
      </c>
    </row>
    <row r="90" spans="1:6" ht="13.5">
      <c r="A90" s="3118">
        <v>18</v>
      </c>
      <c r="B90" s="3779" t="s">
        <v>2690</v>
      </c>
      <c r="C90" s="3092" t="s">
        <v>2691</v>
      </c>
      <c r="D90" s="3092" t="s">
        <v>2692</v>
      </c>
      <c r="E90" s="3118">
        <v>0.2</v>
      </c>
      <c r="F90" s="3118">
        <v>25</v>
      </c>
    </row>
    <row r="91" spans="1:6" ht="24">
      <c r="A91" s="3118">
        <v>19</v>
      </c>
      <c r="B91" s="3774"/>
      <c r="C91" s="3092" t="s">
        <v>2693</v>
      </c>
      <c r="D91" s="3092" t="s">
        <v>2694</v>
      </c>
      <c r="E91" s="3118">
        <v>0.2</v>
      </c>
      <c r="F91" s="3118">
        <v>25</v>
      </c>
    </row>
    <row r="92" spans="1:6" ht="13.5">
      <c r="A92" s="3118">
        <v>20</v>
      </c>
      <c r="B92" s="3774"/>
      <c r="C92" s="3092" t="s">
        <v>2695</v>
      </c>
      <c r="D92" s="3092" t="s">
        <v>2696</v>
      </c>
      <c r="E92" s="3118">
        <v>0.15</v>
      </c>
      <c r="F92" s="3118">
        <v>20</v>
      </c>
    </row>
    <row r="93" spans="1:6" ht="13.5">
      <c r="A93" s="3118">
        <v>21</v>
      </c>
      <c r="B93" s="3774"/>
      <c r="C93" s="3092" t="s">
        <v>2697</v>
      </c>
      <c r="D93" s="3092" t="s">
        <v>2698</v>
      </c>
      <c r="E93" s="3118">
        <v>0.15</v>
      </c>
      <c r="F93" s="3118">
        <v>20</v>
      </c>
    </row>
    <row r="94" spans="1:6" ht="13.5">
      <c r="A94" s="3118">
        <v>22</v>
      </c>
      <c r="B94" s="3774"/>
      <c r="C94" s="3092" t="s">
        <v>2699</v>
      </c>
      <c r="D94" s="3092" t="s">
        <v>2700</v>
      </c>
      <c r="E94" s="3118">
        <v>0.15</v>
      </c>
      <c r="F94" s="3118">
        <v>20</v>
      </c>
    </row>
    <row r="95" spans="1:6" ht="36">
      <c r="A95" s="3118">
        <v>23</v>
      </c>
      <c r="B95" s="3774"/>
      <c r="C95" s="3092" t="s">
        <v>2701</v>
      </c>
      <c r="D95" s="3092" t="s">
        <v>2702</v>
      </c>
      <c r="E95" s="3118">
        <v>0.15</v>
      </c>
      <c r="F95" s="3118">
        <v>20</v>
      </c>
    </row>
    <row r="96" spans="1:6" ht="13.5">
      <c r="A96" s="3118">
        <v>24</v>
      </c>
      <c r="B96" s="3774"/>
      <c r="C96" s="3092" t="s">
        <v>2703</v>
      </c>
      <c r="D96" s="3092" t="s">
        <v>2704</v>
      </c>
      <c r="E96" s="3118">
        <v>0.1</v>
      </c>
      <c r="F96" s="3118">
        <v>15</v>
      </c>
    </row>
    <row r="97" spans="1:6" ht="13.5">
      <c r="A97" s="3118">
        <v>25</v>
      </c>
      <c r="B97" s="3774"/>
      <c r="C97" s="3092" t="s">
        <v>2705</v>
      </c>
      <c r="D97" s="3092" t="s">
        <v>2706</v>
      </c>
      <c r="E97" s="3118">
        <v>0.1</v>
      </c>
      <c r="F97" s="3118">
        <v>15</v>
      </c>
    </row>
    <row r="98" spans="1:6" ht="24">
      <c r="A98" s="3118">
        <v>26</v>
      </c>
      <c r="B98" s="3774"/>
      <c r="C98" s="3092" t="s">
        <v>2707</v>
      </c>
      <c r="D98" s="3092" t="s">
        <v>2708</v>
      </c>
      <c r="E98" s="3118">
        <v>0.1</v>
      </c>
      <c r="F98" s="3118">
        <v>15</v>
      </c>
    </row>
    <row r="99" spans="1:6" ht="24">
      <c r="A99" s="3118">
        <v>27</v>
      </c>
      <c r="B99" s="3774"/>
      <c r="C99" s="3092" t="s">
        <v>2709</v>
      </c>
      <c r="D99" s="3092" t="s">
        <v>2710</v>
      </c>
      <c r="E99" s="3118">
        <v>0.1</v>
      </c>
      <c r="F99" s="3118">
        <v>15</v>
      </c>
    </row>
    <row r="100" spans="1:6" ht="13.5">
      <c r="A100" s="3118">
        <v>28</v>
      </c>
      <c r="B100" s="3774"/>
      <c r="C100" s="3092" t="s">
        <v>2711</v>
      </c>
      <c r="D100" s="3092" t="s">
        <v>2712</v>
      </c>
      <c r="E100" s="3118">
        <v>0.1</v>
      </c>
      <c r="F100" s="3118">
        <v>15</v>
      </c>
    </row>
    <row r="101" spans="1:6" ht="13.5">
      <c r="A101" s="3118">
        <v>29</v>
      </c>
      <c r="B101" s="3774"/>
      <c r="C101" s="3092" t="s">
        <v>2713</v>
      </c>
      <c r="D101" s="3092" t="s">
        <v>2714</v>
      </c>
      <c r="E101" s="3118">
        <v>0.1</v>
      </c>
      <c r="F101" s="3118">
        <v>15</v>
      </c>
    </row>
    <row r="102" spans="1:6" ht="13.5">
      <c r="A102" s="3118">
        <v>30</v>
      </c>
      <c r="B102" s="3774"/>
      <c r="C102" s="3092" t="s">
        <v>2715</v>
      </c>
      <c r="D102" s="3092" t="s">
        <v>2716</v>
      </c>
      <c r="E102" s="3118">
        <v>0.1</v>
      </c>
      <c r="F102" s="3118">
        <v>15</v>
      </c>
    </row>
    <row r="103" spans="1:6" ht="24">
      <c r="A103" s="3118">
        <v>31</v>
      </c>
      <c r="B103" s="3774"/>
      <c r="C103" s="3092" t="s">
        <v>2717</v>
      </c>
      <c r="D103" s="3092" t="s">
        <v>2718</v>
      </c>
      <c r="E103" s="3118">
        <v>0.1</v>
      </c>
      <c r="F103" s="3118">
        <v>15</v>
      </c>
    </row>
    <row r="104" spans="1:6" ht="24">
      <c r="A104" s="3118">
        <v>32</v>
      </c>
      <c r="B104" s="3774"/>
      <c r="C104" s="3092" t="s">
        <v>2719</v>
      </c>
      <c r="D104" s="3092" t="s">
        <v>2720</v>
      </c>
      <c r="E104" s="3118">
        <v>0.1</v>
      </c>
      <c r="F104" s="3118">
        <v>15</v>
      </c>
    </row>
    <row r="105" spans="1:6" ht="24">
      <c r="A105" s="3118">
        <v>33</v>
      </c>
      <c r="B105" s="3774"/>
      <c r="C105" s="3092" t="s">
        <v>2721</v>
      </c>
      <c r="D105" s="3092" t="s">
        <v>2722</v>
      </c>
      <c r="E105" s="3118">
        <v>0.1</v>
      </c>
      <c r="F105" s="3118">
        <v>15</v>
      </c>
    </row>
    <row r="106" spans="1:6" ht="24">
      <c r="A106" s="3118">
        <v>34</v>
      </c>
      <c r="B106" s="3783"/>
      <c r="C106" s="3092" t="s">
        <v>2723</v>
      </c>
      <c r="D106" s="3092" t="s">
        <v>2724</v>
      </c>
      <c r="E106" s="3118">
        <v>0.1</v>
      </c>
      <c r="F106" s="3118">
        <v>15</v>
      </c>
    </row>
    <row r="107" spans="1:6" ht="24">
      <c r="A107" s="3118">
        <v>35</v>
      </c>
      <c r="B107" s="3779" t="s">
        <v>2725</v>
      </c>
      <c r="C107" s="3118" t="s">
        <v>2726</v>
      </c>
      <c r="D107" s="3092" t="s">
        <v>2727</v>
      </c>
      <c r="E107" s="3118">
        <v>0.15</v>
      </c>
      <c r="F107" s="3118">
        <v>20</v>
      </c>
    </row>
    <row r="108" spans="1:6" ht="13.5">
      <c r="A108" s="3118">
        <v>36</v>
      </c>
      <c r="B108" s="3774"/>
      <c r="C108" s="3118" t="s">
        <v>2728</v>
      </c>
      <c r="D108" s="3092" t="s">
        <v>2729</v>
      </c>
      <c r="E108" s="3118">
        <v>0.15</v>
      </c>
      <c r="F108" s="3118">
        <v>20</v>
      </c>
    </row>
    <row r="109" spans="1:6" ht="13.5">
      <c r="A109" s="3118">
        <v>37</v>
      </c>
      <c r="B109" s="3774"/>
      <c r="C109" s="3118" t="s">
        <v>2730</v>
      </c>
      <c r="D109" s="3092" t="s">
        <v>2731</v>
      </c>
      <c r="E109" s="3118">
        <v>0.15</v>
      </c>
      <c r="F109" s="3118">
        <v>20</v>
      </c>
    </row>
    <row r="110" spans="1:6" ht="13.5">
      <c r="A110" s="3118">
        <v>38</v>
      </c>
      <c r="B110" s="3774"/>
      <c r="C110" s="3118" t="s">
        <v>2732</v>
      </c>
      <c r="D110" s="3092" t="s">
        <v>2733</v>
      </c>
      <c r="E110" s="3118">
        <v>0.1</v>
      </c>
      <c r="F110" s="3118">
        <v>15</v>
      </c>
    </row>
    <row r="111" spans="1:6" ht="24">
      <c r="A111" s="3118">
        <v>39</v>
      </c>
      <c r="B111" s="3774"/>
      <c r="C111" s="3118" t="s">
        <v>2734</v>
      </c>
      <c r="D111" s="3092" t="s">
        <v>2735</v>
      </c>
      <c r="E111" s="3118">
        <v>0.1</v>
      </c>
      <c r="F111" s="3118">
        <v>15</v>
      </c>
    </row>
    <row r="112" spans="1:6" ht="24">
      <c r="A112" s="3118">
        <v>40</v>
      </c>
      <c r="B112" s="3783"/>
      <c r="C112" s="3118" t="s">
        <v>2736</v>
      </c>
      <c r="D112" s="3092" t="s">
        <v>2737</v>
      </c>
      <c r="E112" s="3118">
        <v>0.1</v>
      </c>
      <c r="F112" s="3118">
        <v>15</v>
      </c>
    </row>
    <row r="113" spans="1:6" ht="13.5">
      <c r="A113" s="3118">
        <v>41</v>
      </c>
      <c r="B113" s="3784" t="s">
        <v>2738</v>
      </c>
      <c r="C113" s="3118" t="s">
        <v>2739</v>
      </c>
      <c r="D113" s="3092" t="s">
        <v>2740</v>
      </c>
      <c r="E113" s="3118">
        <v>0.1</v>
      </c>
      <c r="F113" s="3118">
        <v>15</v>
      </c>
    </row>
    <row r="114" spans="1:6" ht="13.5">
      <c r="A114" s="3118">
        <v>42</v>
      </c>
      <c r="B114" s="3784"/>
      <c r="C114" s="3118" t="s">
        <v>2741</v>
      </c>
      <c r="D114" s="3092" t="s">
        <v>2742</v>
      </c>
      <c r="E114" s="3118">
        <v>0.1</v>
      </c>
      <c r="F114" s="3118">
        <v>15</v>
      </c>
    </row>
    <row r="115" spans="1:6" ht="24">
      <c r="A115" s="3118">
        <v>43</v>
      </c>
      <c r="B115" s="3784"/>
      <c r="C115" s="3118" t="s">
        <v>2743</v>
      </c>
      <c r="D115" s="3092" t="s">
        <v>2744</v>
      </c>
      <c r="E115" s="3118">
        <v>0.1</v>
      </c>
      <c r="F115" s="3118">
        <v>15</v>
      </c>
    </row>
    <row r="116" spans="1:6" ht="13.5">
      <c r="A116" s="3118">
        <v>44</v>
      </c>
      <c r="B116" s="3779" t="s">
        <v>2745</v>
      </c>
      <c r="C116" s="3118" t="s">
        <v>2746</v>
      </c>
      <c r="D116" s="3092" t="s">
        <v>2747</v>
      </c>
      <c r="E116" s="3118">
        <v>0.1</v>
      </c>
      <c r="F116" s="3118">
        <v>15</v>
      </c>
    </row>
    <row r="117" spans="1:6" ht="24">
      <c r="A117" s="3118">
        <v>45</v>
      </c>
      <c r="B117" s="3783"/>
      <c r="C117" s="3092" t="s">
        <v>2748</v>
      </c>
      <c r="D117" s="3092" t="s">
        <v>2749</v>
      </c>
      <c r="E117" s="3118">
        <v>0.1</v>
      </c>
      <c r="F117" s="3118">
        <v>15</v>
      </c>
    </row>
    <row r="118" spans="1:6" ht="24">
      <c r="A118" s="3118">
        <v>46</v>
      </c>
      <c r="B118" s="3779" t="s">
        <v>2750</v>
      </c>
      <c r="C118" s="3118" t="s">
        <v>2751</v>
      </c>
      <c r="D118" s="3092" t="s">
        <v>2752</v>
      </c>
      <c r="E118" s="3118">
        <v>0.1</v>
      </c>
      <c r="F118" s="3118">
        <v>15</v>
      </c>
    </row>
    <row r="119" spans="1:6" ht="24">
      <c r="A119" s="3118">
        <v>47</v>
      </c>
      <c r="B119" s="3783"/>
      <c r="C119" s="3118" t="s">
        <v>2753</v>
      </c>
      <c r="D119" s="3092" t="s">
        <v>2754</v>
      </c>
      <c r="E119" s="3118">
        <v>0.1</v>
      </c>
      <c r="F119" s="3118">
        <v>15</v>
      </c>
    </row>
    <row r="120" spans="1:6" ht="13.5">
      <c r="A120" s="3118">
        <v>48</v>
      </c>
      <c r="B120" s="3779" t="s">
        <v>2755</v>
      </c>
      <c r="C120" s="3118" t="s">
        <v>2756</v>
      </c>
      <c r="D120" s="3092" t="s">
        <v>2757</v>
      </c>
      <c r="E120" s="3118">
        <v>0.1</v>
      </c>
      <c r="F120" s="3118">
        <v>15</v>
      </c>
    </row>
    <row r="121" spans="1:6" ht="13.5">
      <c r="A121" s="3118">
        <v>49</v>
      </c>
      <c r="B121" s="3783"/>
      <c r="C121" s="3118" t="s">
        <v>2758</v>
      </c>
      <c r="D121" s="3092" t="s">
        <v>2759</v>
      </c>
      <c r="E121" s="3118">
        <v>0.1</v>
      </c>
      <c r="F121" s="3118">
        <v>15</v>
      </c>
    </row>
    <row r="122" spans="1:6" ht="24">
      <c r="A122" s="3118">
        <v>50</v>
      </c>
      <c r="B122" s="3784" t="s">
        <v>2760</v>
      </c>
      <c r="C122" s="3118" t="s">
        <v>2761</v>
      </c>
      <c r="D122" s="3092" t="s">
        <v>2762</v>
      </c>
      <c r="E122" s="3118">
        <v>0.1</v>
      </c>
      <c r="F122" s="3118">
        <v>15</v>
      </c>
    </row>
    <row r="123" spans="1:6" ht="24">
      <c r="A123" s="3118">
        <v>51</v>
      </c>
      <c r="B123" s="3784"/>
      <c r="C123" s="3118" t="s">
        <v>2763</v>
      </c>
      <c r="D123" s="3092" t="s">
        <v>2764</v>
      </c>
      <c r="E123" s="3118">
        <v>0.1</v>
      </c>
      <c r="F123" s="3118">
        <v>15</v>
      </c>
    </row>
    <row r="124" spans="1:6" ht="24">
      <c r="A124" s="3118">
        <v>52</v>
      </c>
      <c r="B124" s="3784" t="s">
        <v>2765</v>
      </c>
      <c r="C124" s="3118" t="s">
        <v>2766</v>
      </c>
      <c r="D124" s="3092" t="s">
        <v>2767</v>
      </c>
      <c r="E124" s="3118">
        <v>0.1</v>
      </c>
      <c r="F124" s="3118">
        <v>15</v>
      </c>
    </row>
    <row r="125" spans="1:6" ht="24">
      <c r="A125" s="3118">
        <v>53</v>
      </c>
      <c r="B125" s="3784"/>
      <c r="C125" s="3118" t="s">
        <v>2768</v>
      </c>
      <c r="D125" s="3092" t="s">
        <v>2769</v>
      </c>
      <c r="E125" s="3118">
        <v>0.1</v>
      </c>
      <c r="F125" s="3118">
        <v>15</v>
      </c>
    </row>
    <row r="126" spans="1:6" ht="13.5">
      <c r="A126" s="3118">
        <v>54</v>
      </c>
      <c r="B126" s="3118" t="s">
        <v>2770</v>
      </c>
      <c r="C126" s="3118" t="s">
        <v>2771</v>
      </c>
      <c r="D126" s="3092" t="s">
        <v>2772</v>
      </c>
      <c r="E126" s="3118">
        <v>0.1</v>
      </c>
      <c r="F126" s="3118">
        <v>15</v>
      </c>
    </row>
    <row r="127" spans="1:6" ht="13.5">
      <c r="A127" s="3118">
        <v>55</v>
      </c>
      <c r="B127" s="3784" t="s">
        <v>2773</v>
      </c>
      <c r="C127" s="3118" t="s">
        <v>2774</v>
      </c>
      <c r="D127" s="3092" t="s">
        <v>2775</v>
      </c>
      <c r="E127" s="3118">
        <v>0.1</v>
      </c>
      <c r="F127" s="3118">
        <v>15</v>
      </c>
    </row>
    <row r="128" spans="1:6" ht="13.5">
      <c r="A128" s="3118">
        <v>56</v>
      </c>
      <c r="B128" s="3784"/>
      <c r="C128" s="3118" t="s">
        <v>2776</v>
      </c>
      <c r="D128" s="3092" t="s">
        <v>2777</v>
      </c>
      <c r="E128" s="3118">
        <v>0.1</v>
      </c>
      <c r="F128" s="3118">
        <v>15</v>
      </c>
    </row>
    <row r="129" spans="1:6" ht="24">
      <c r="A129" s="3118">
        <v>57</v>
      </c>
      <c r="B129" s="3784"/>
      <c r="C129" s="3118" t="s">
        <v>2778</v>
      </c>
      <c r="D129" s="3092" t="s">
        <v>2779</v>
      </c>
      <c r="E129" s="3118">
        <v>0.1</v>
      </c>
      <c r="F129" s="3118">
        <v>15</v>
      </c>
    </row>
    <row r="130" spans="1:6" ht="24">
      <c r="A130" s="3118">
        <v>58</v>
      </c>
      <c r="B130" s="3784" t="s">
        <v>2780</v>
      </c>
      <c r="C130" s="3118" t="s">
        <v>2781</v>
      </c>
      <c r="D130" s="3092" t="s">
        <v>2782</v>
      </c>
      <c r="E130" s="3118">
        <v>0.1</v>
      </c>
      <c r="F130" s="3118">
        <v>15</v>
      </c>
    </row>
    <row r="131" spans="1:6" ht="13.5">
      <c r="A131" s="3118">
        <v>59</v>
      </c>
      <c r="B131" s="3784"/>
      <c r="C131" s="3118" t="s">
        <v>2783</v>
      </c>
      <c r="D131" s="3092" t="s">
        <v>2784</v>
      </c>
      <c r="E131" s="3118">
        <v>0.1</v>
      </c>
      <c r="F131" s="3118">
        <v>15</v>
      </c>
    </row>
    <row r="132" spans="1:6" ht="13.5">
      <c r="A132" s="3118">
        <v>60</v>
      </c>
      <c r="B132" s="3779" t="s">
        <v>2785</v>
      </c>
      <c r="C132" s="3118" t="s">
        <v>2786</v>
      </c>
      <c r="D132" s="3092" t="s">
        <v>2787</v>
      </c>
      <c r="E132" s="3118">
        <v>0.1</v>
      </c>
      <c r="F132" s="3118">
        <v>15</v>
      </c>
    </row>
    <row r="133" spans="1:6" ht="13.5">
      <c r="A133" s="3118">
        <v>61</v>
      </c>
      <c r="B133" s="3783"/>
      <c r="C133" s="3118" t="s">
        <v>2788</v>
      </c>
      <c r="D133" s="3092" t="s">
        <v>2789</v>
      </c>
      <c r="E133" s="3118">
        <v>0.1</v>
      </c>
      <c r="F133" s="3118">
        <v>15</v>
      </c>
    </row>
    <row r="134" spans="1:6" ht="24">
      <c r="A134" s="3118">
        <v>62</v>
      </c>
      <c r="B134" s="3118" t="s">
        <v>2790</v>
      </c>
      <c r="C134" s="3118" t="s">
        <v>2791</v>
      </c>
      <c r="D134" s="3092" t="s">
        <v>2792</v>
      </c>
      <c r="E134" s="3118">
        <v>0.1</v>
      </c>
      <c r="F134" s="3118">
        <v>15</v>
      </c>
    </row>
    <row r="135" spans="1:6" ht="13.5">
      <c r="A135" s="3118">
        <v>63</v>
      </c>
      <c r="B135" s="3784" t="s">
        <v>2793</v>
      </c>
      <c r="C135" s="3118" t="s">
        <v>2794</v>
      </c>
      <c r="D135" s="3092" t="s">
        <v>2795</v>
      </c>
      <c r="E135" s="3118">
        <v>0.1</v>
      </c>
      <c r="F135" s="3118">
        <v>15</v>
      </c>
    </row>
    <row r="136" spans="1:6" ht="13.5">
      <c r="A136" s="3118">
        <v>64</v>
      </c>
      <c r="B136" s="3784"/>
      <c r="C136" s="3118" t="s">
        <v>2796</v>
      </c>
      <c r="D136" s="3092" t="s">
        <v>2797</v>
      </c>
      <c r="E136" s="3118">
        <v>0.1</v>
      </c>
      <c r="F136" s="3118">
        <v>15</v>
      </c>
    </row>
    <row r="137" spans="1:6" ht="13.5">
      <c r="A137" s="3118">
        <v>65</v>
      </c>
      <c r="B137" s="3118" t="s">
        <v>2798</v>
      </c>
      <c r="C137" s="3118" t="s">
        <v>2799</v>
      </c>
      <c r="D137" s="3092" t="s">
        <v>2800</v>
      </c>
      <c r="E137" s="3118">
        <v>0.1</v>
      </c>
      <c r="F137" s="3118">
        <v>15</v>
      </c>
    </row>
    <row r="138" spans="1:6" ht="13.5">
      <c r="A138" s="3118"/>
      <c r="B138" s="3118"/>
      <c r="C138" s="3118"/>
      <c r="D138" s="3118"/>
      <c r="E138" s="3118" t="s">
        <v>2801</v>
      </c>
      <c r="F138" s="3118" t="s">
        <v>2801</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2802</v>
      </c>
      <c r="B1" s="3127"/>
      <c r="C1" s="3127"/>
      <c r="D1" s="3127"/>
      <c r="E1" s="3127"/>
      <c r="F1" s="3127"/>
      <c r="G1" s="3127"/>
      <c r="H1" s="3127"/>
      <c r="I1" s="3127"/>
      <c r="J1" s="3127"/>
      <c r="K1" s="3127"/>
      <c r="L1" s="3127"/>
      <c r="M1" s="3127"/>
      <c r="N1" s="749"/>
    </row>
    <row r="2" spans="1:20">
      <c r="A2" s="3128" t="s">
        <v>2803</v>
      </c>
      <c r="B2" s="3129" t="s">
        <v>2599</v>
      </c>
      <c r="C2" s="3129" t="s">
        <v>2600</v>
      </c>
      <c r="D2" s="3129" t="s">
        <v>2601</v>
      </c>
      <c r="E2" s="3129" t="s">
        <v>2602</v>
      </c>
      <c r="F2" s="3129" t="s">
        <v>2603</v>
      </c>
      <c r="G2" s="3129" t="s">
        <v>2604</v>
      </c>
      <c r="H2" s="3130" t="s">
        <v>2605</v>
      </c>
      <c r="I2" s="3130" t="s">
        <v>2606</v>
      </c>
      <c r="J2" s="3131" t="s">
        <v>2607</v>
      </c>
      <c r="K2" s="3131" t="s">
        <v>2608</v>
      </c>
      <c r="L2" s="3131" t="s">
        <v>2609</v>
      </c>
      <c r="M2" s="3132" t="s">
        <v>2610</v>
      </c>
      <c r="Q2" s="3142" t="s">
        <v>2808</v>
      </c>
      <c r="R2" s="3142" t="s">
        <v>2809</v>
      </c>
      <c r="S2" s="3142" t="s">
        <v>2810</v>
      </c>
      <c r="T2" s="3142" t="s">
        <v>2811</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2804</v>
      </c>
      <c r="B93" s="3127"/>
      <c r="C93" s="3127"/>
      <c r="D93" s="3127"/>
      <c r="E93" s="3127"/>
      <c r="F93" s="3127"/>
      <c r="G93" s="3127"/>
      <c r="H93" s="3127"/>
      <c r="I93" s="3127"/>
      <c r="J93" s="3127"/>
      <c r="K93" s="3127"/>
      <c r="L93" s="3127"/>
      <c r="M93" s="3127"/>
    </row>
    <row r="94" spans="1:20">
      <c r="A94" s="3128" t="s">
        <v>2803</v>
      </c>
      <c r="B94" s="3129" t="s">
        <v>2599</v>
      </c>
      <c r="C94" s="3129" t="s">
        <v>2600</v>
      </c>
      <c r="D94" s="3129" t="s">
        <v>2601</v>
      </c>
      <c r="E94" s="3129" t="s">
        <v>2602</v>
      </c>
      <c r="F94" s="3129" t="s">
        <v>2603</v>
      </c>
      <c r="G94" s="3129" t="s">
        <v>2604</v>
      </c>
      <c r="H94" s="3130" t="s">
        <v>2605</v>
      </c>
      <c r="I94" s="3130" t="s">
        <v>2606</v>
      </c>
      <c r="J94" s="3131" t="s">
        <v>2607</v>
      </c>
      <c r="K94" s="3131" t="s">
        <v>2608</v>
      </c>
      <c r="L94" s="3131" t="s">
        <v>2609</v>
      </c>
      <c r="M94" s="3132" t="s">
        <v>2610</v>
      </c>
      <c r="N94" s="750">
        <f>SUMPRODUCT((A95:A184=ROUNDDOWN(基准地价修正!G3,1))*(B94:M94=基准地价修正!G2)*(B95:M184))</f>
        <v>1.0082</v>
      </c>
      <c r="Q94" s="3142" t="s">
        <v>2808</v>
      </c>
      <c r="R94" s="3142" t="s">
        <v>2809</v>
      </c>
      <c r="S94" s="3142" t="s">
        <v>2810</v>
      </c>
      <c r="T94" s="3142" t="s">
        <v>2811</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2805</v>
      </c>
      <c r="B185" s="3127"/>
      <c r="C185" s="3127"/>
      <c r="D185" s="3127"/>
      <c r="E185" s="3127"/>
      <c r="F185" s="3127"/>
      <c r="G185" s="3127"/>
      <c r="H185" s="3127"/>
      <c r="I185" s="3127"/>
      <c r="J185" s="3127"/>
      <c r="K185" s="3127"/>
      <c r="L185" s="3127"/>
      <c r="M185" s="3127"/>
    </row>
    <row r="186" spans="1:20">
      <c r="A186" s="3128" t="s">
        <v>2803</v>
      </c>
      <c r="B186" s="3129" t="s">
        <v>2599</v>
      </c>
      <c r="C186" s="3129" t="s">
        <v>2600</v>
      </c>
      <c r="D186" s="3129" t="s">
        <v>2601</v>
      </c>
      <c r="E186" s="3129" t="s">
        <v>2602</v>
      </c>
      <c r="F186" s="3129" t="s">
        <v>2603</v>
      </c>
      <c r="G186" s="3129" t="s">
        <v>2604</v>
      </c>
      <c r="H186" s="3130" t="s">
        <v>2605</v>
      </c>
      <c r="I186" s="3130" t="s">
        <v>2606</v>
      </c>
      <c r="J186" s="3131" t="s">
        <v>2607</v>
      </c>
      <c r="K186" s="3131" t="s">
        <v>2608</v>
      </c>
      <c r="L186" s="3131" t="s">
        <v>2609</v>
      </c>
      <c r="M186" s="3132" t="s">
        <v>2610</v>
      </c>
      <c r="Q186" s="3142" t="s">
        <v>2808</v>
      </c>
      <c r="R186" s="3142" t="s">
        <v>2809</v>
      </c>
      <c r="S186" s="3142" t="s">
        <v>2810</v>
      </c>
      <c r="T186" s="3142" t="s">
        <v>2811</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2806</v>
      </c>
      <c r="B277" s="3127"/>
      <c r="C277" s="3127"/>
      <c r="D277" s="3127"/>
      <c r="E277" s="3127"/>
      <c r="F277" s="3127"/>
      <c r="G277" s="3127"/>
      <c r="H277" s="3127"/>
      <c r="I277" s="3127"/>
      <c r="J277" s="3127"/>
      <c r="K277" s="3127"/>
      <c r="L277" s="3127"/>
      <c r="M277" s="3127"/>
    </row>
    <row r="278" spans="1:21">
      <c r="A278" s="3128" t="s">
        <v>2803</v>
      </c>
      <c r="B278" s="3129" t="s">
        <v>2599</v>
      </c>
      <c r="C278" s="3129" t="s">
        <v>2600</v>
      </c>
      <c r="D278" s="3129" t="s">
        <v>2601</v>
      </c>
      <c r="E278" s="3129" t="s">
        <v>2602</v>
      </c>
      <c r="F278" s="3129" t="s">
        <v>2603</v>
      </c>
      <c r="G278" s="3129" t="s">
        <v>2604</v>
      </c>
      <c r="H278" s="3130" t="s">
        <v>2605</v>
      </c>
      <c r="I278" s="3130" t="s">
        <v>2606</v>
      </c>
      <c r="J278" s="3131" t="s">
        <v>2607</v>
      </c>
      <c r="K278" s="3131" t="s">
        <v>2608</v>
      </c>
      <c r="L278" s="3131" t="s">
        <v>2609</v>
      </c>
      <c r="M278" s="3132" t="s">
        <v>2610</v>
      </c>
      <c r="Q278" s="3142" t="s">
        <v>2808</v>
      </c>
      <c r="R278" s="3142" t="s">
        <v>2809</v>
      </c>
      <c r="S278" s="3142" t="s">
        <v>2812</v>
      </c>
      <c r="T278" s="3142" t="s">
        <v>2813</v>
      </c>
      <c r="U278" s="3142" t="s">
        <v>2811</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2807</v>
      </c>
      <c r="B369" s="3140"/>
      <c r="C369" s="3140"/>
      <c r="D369" s="3140"/>
      <c r="E369" s="3140"/>
      <c r="F369" s="3140"/>
      <c r="G369" s="3140"/>
      <c r="H369" s="3140"/>
      <c r="I369" s="3140"/>
      <c r="J369" s="3140"/>
      <c r="K369" s="3140"/>
      <c r="L369" s="3140"/>
      <c r="M369" s="3140"/>
    </row>
    <row r="370" spans="1:20">
      <c r="A370" s="3128" t="s">
        <v>2803</v>
      </c>
      <c r="B370" s="3129" t="s">
        <v>2599</v>
      </c>
      <c r="C370" s="3129" t="s">
        <v>2600</v>
      </c>
      <c r="D370" s="3129" t="s">
        <v>2601</v>
      </c>
      <c r="E370" s="3129" t="s">
        <v>2602</v>
      </c>
      <c r="F370" s="3129" t="s">
        <v>2603</v>
      </c>
      <c r="G370" s="3129" t="s">
        <v>2604</v>
      </c>
      <c r="H370" s="3130" t="s">
        <v>2605</v>
      </c>
      <c r="I370" s="3130" t="s">
        <v>2606</v>
      </c>
      <c r="J370" s="3131" t="s">
        <v>2607</v>
      </c>
      <c r="K370" s="3131" t="s">
        <v>2608</v>
      </c>
      <c r="L370" s="3131" t="s">
        <v>2609</v>
      </c>
      <c r="M370" s="3132" t="s">
        <v>2610</v>
      </c>
      <c r="N370" s="750">
        <f>SUMPRODUCT((A371:A460=ROUNDDOWN(基准地价修正!G3,1))*(B370:M370=基准地价修正!G2)*(B371:M460))</f>
        <v>0.95489999999999997</v>
      </c>
      <c r="Q370" s="3142" t="s">
        <v>2808</v>
      </c>
      <c r="R370" s="3142" t="s">
        <v>2809</v>
      </c>
      <c r="S370" s="3142" t="s">
        <v>2810</v>
      </c>
      <c r="T370" s="3142" t="s">
        <v>2811</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64131</v>
      </c>
      <c r="C2" s="2" t="s">
        <v>106</v>
      </c>
      <c r="D2" s="199"/>
      <c r="E2" s="199"/>
      <c r="F2" s="199"/>
      <c r="G2" s="199"/>
    </row>
    <row r="3" spans="1:7" s="200" customFormat="1" ht="18" customHeight="1" thickBot="1">
      <c r="A3" s="203" t="s">
        <v>58</v>
      </c>
      <c r="B3" s="204">
        <f ca="1">ROUND(B2*10000/'数据-汇总表'!E3,0)</f>
        <v>9321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1376</v>
      </c>
      <c r="D10" s="845">
        <f>'数据-汇总表'!E6</f>
        <v>68805.62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1376</v>
      </c>
      <c r="D19" s="849">
        <f>'数据-汇总表'!E3</f>
        <v>68805.62</v>
      </c>
      <c r="E19" s="211">
        <f>'数据-取费表'!B31</f>
        <v>200</v>
      </c>
      <c r="F19" s="231"/>
      <c r="G19" s="1" t="s">
        <v>436</v>
      </c>
    </row>
    <row r="20" spans="1:7" s="214" customFormat="1" ht="13.5" customHeight="1">
      <c r="A20" s="777" t="s">
        <v>419</v>
      </c>
      <c r="B20" s="210" t="s">
        <v>77</v>
      </c>
      <c r="C20" s="232">
        <f>ROUND((C5+C19)*F20,0)</f>
        <v>440</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1559</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97</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2915</v>
      </c>
      <c r="D27" s="235">
        <f>C29</f>
        <v>2.5999999999999999E-3</v>
      </c>
      <c r="E27" s="236" t="s">
        <v>99</v>
      </c>
      <c r="F27" s="246">
        <f>'数据-取费表'!Q16</f>
        <v>0.13</v>
      </c>
      <c r="G27" s="247" t="s">
        <v>431</v>
      </c>
    </row>
    <row r="28" spans="1:7" s="214" customFormat="1" ht="13.5" customHeight="1">
      <c r="A28" s="780" t="s">
        <v>349</v>
      </c>
      <c r="B28" s="248" t="s">
        <v>424</v>
      </c>
      <c r="C28" s="249">
        <f>ROUND((C5+C19+C20)*F27*'数据-取费表'!B21/'数据-取费表'!B20,0)</f>
        <v>2915</v>
      </c>
      <c r="D28" s="235"/>
      <c r="E28" s="236"/>
      <c r="F28" s="246"/>
      <c r="G28" s="247"/>
    </row>
    <row r="29" spans="1:7" s="214" customFormat="1" ht="13.5" customHeight="1">
      <c r="A29" s="780" t="s">
        <v>347</v>
      </c>
      <c r="B29" s="248" t="s">
        <v>425</v>
      </c>
      <c r="C29" s="238">
        <f>ROUND(C21*F27*'数据-取费表'!B21/'数据-取费表'!B20,4)</f>
        <v>2.5999999999999999E-3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29133</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33178</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29861</v>
      </c>
      <c r="D34" s="217"/>
      <c r="E34" s="220"/>
      <c r="F34" s="257">
        <f>IF('数据-取费表'!B24=0,1,'数据-取费表'!N16)</f>
        <v>1</v>
      </c>
      <c r="G34" s="219" t="s">
        <v>89</v>
      </c>
    </row>
    <row r="35" spans="1:7" ht="13.5" customHeight="1">
      <c r="A35" s="780" t="s">
        <v>351</v>
      </c>
      <c r="B35" s="215" t="s">
        <v>33</v>
      </c>
      <c r="C35" s="220">
        <f>ROUND(C34*F35,0)</f>
        <v>1493</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1376</v>
      </c>
      <c r="D37" s="217">
        <f>'数据-汇总表'!E3</f>
        <v>68805.62</v>
      </c>
      <c r="E37" s="249">
        <f>'数据-取费表'!B35</f>
        <v>200</v>
      </c>
      <c r="F37" s="259"/>
      <c r="G37" s="261" t="s">
        <v>92</v>
      </c>
    </row>
    <row r="38" spans="1:7" ht="13.5" customHeight="1">
      <c r="A38" s="780" t="s">
        <v>354</v>
      </c>
      <c r="B38" s="215" t="s">
        <v>36</v>
      </c>
      <c r="C38" s="220">
        <f>ROUND(C34*F38,0)</f>
        <v>448</v>
      </c>
      <c r="D38" s="220"/>
      <c r="E38" s="220"/>
      <c r="F38" s="259">
        <f>'数据-取费表'!B36</f>
        <v>1.4999999999999999E-2</v>
      </c>
      <c r="G38" s="219" t="s">
        <v>90</v>
      </c>
    </row>
    <row r="39" spans="1:7" s="214" customFormat="1" ht="13.5" customHeight="1">
      <c r="A39" s="777" t="s">
        <v>338</v>
      </c>
      <c r="B39" s="210" t="s">
        <v>77</v>
      </c>
      <c r="C39" s="232">
        <f>ROUND(C33*F20,0)</f>
        <v>664</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1168</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1145</v>
      </c>
      <c r="D42" s="238"/>
      <c r="E42" s="238"/>
      <c r="F42" s="239"/>
      <c r="G42" s="3721" t="s">
        <v>94</v>
      </c>
    </row>
    <row r="43" spans="1:7" ht="13.5" customHeight="1">
      <c r="A43" s="780" t="s">
        <v>347</v>
      </c>
      <c r="B43" s="215" t="s">
        <v>426</v>
      </c>
      <c r="C43" s="238">
        <f ca="1">ROUND(IF('数据-取费表'!B22&lt;=1,C39*F22*'数据-取费表'!B21/2,C39*(POWER((1+F22),'数据-取费表'!B21/2)-1)),0)</f>
        <v>23</v>
      </c>
      <c r="D43" s="238"/>
      <c r="E43" s="238"/>
      <c r="F43" s="239"/>
      <c r="G43" s="3722"/>
    </row>
    <row r="44" spans="1:7" ht="13.5" customHeight="1">
      <c r="A44" s="780" t="s">
        <v>348</v>
      </c>
      <c r="B44" s="215" t="s">
        <v>428</v>
      </c>
      <c r="C44" s="238">
        <f ca="1">ROUND(IF('数据-取费表'!B22&lt;=1,C40*F22*'数据-取费表'!B21/2,C40*(POWER((1+F22),'数据-取费表'!B21/2)-1)),4)</f>
        <v>6.9999999999999999E-4</v>
      </c>
      <c r="D44" s="238"/>
      <c r="E44" s="238"/>
      <c r="F44" s="239"/>
      <c r="G44" s="3723"/>
    </row>
    <row r="45" spans="1:7" s="214" customFormat="1" ht="13.5" customHeight="1">
      <c r="A45" s="777" t="s">
        <v>341</v>
      </c>
      <c r="B45" s="244" t="s">
        <v>85</v>
      </c>
      <c r="C45" s="245">
        <f>C46</f>
        <v>4399</v>
      </c>
      <c r="D45" s="235">
        <f>C47</f>
        <v>2.5999999999999999E-3</v>
      </c>
      <c r="E45" s="236" t="s">
        <v>102</v>
      </c>
      <c r="F45" s="246"/>
      <c r="G45" s="247" t="s">
        <v>434</v>
      </c>
    </row>
    <row r="46" spans="1:7" s="214" customFormat="1" ht="13.5" customHeight="1">
      <c r="A46" s="780" t="s">
        <v>349</v>
      </c>
      <c r="B46" s="248" t="s">
        <v>427</v>
      </c>
      <c r="C46" s="249">
        <f>ROUND((C33+C39)*F27,0)</f>
        <v>4399</v>
      </c>
      <c r="D46" s="263"/>
      <c r="E46" s="236"/>
      <c r="F46" s="246"/>
      <c r="G46" s="247"/>
    </row>
    <row r="47" spans="1:7" s="214" customFormat="1" ht="13.5" customHeight="1">
      <c r="A47" s="780" t="s">
        <v>347</v>
      </c>
      <c r="B47" s="248" t="s">
        <v>429</v>
      </c>
      <c r="C47" s="238">
        <f>ROUND(C40*F27,4)</f>
        <v>2.5999999999999999E-3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42680</v>
      </c>
      <c r="D49" s="232"/>
      <c r="E49" s="232"/>
      <c r="F49" s="264"/>
      <c r="G49" s="234" t="s">
        <v>435</v>
      </c>
    </row>
    <row r="50" spans="1:7" s="258" customFormat="1" ht="24">
      <c r="A50" s="777" t="s">
        <v>344</v>
      </c>
      <c r="B50" s="210" t="s">
        <v>97</v>
      </c>
      <c r="C50" s="232"/>
      <c r="D50" s="232"/>
      <c r="E50" s="232"/>
      <c r="F50" s="264">
        <f>IF('数据-取费表'!B24=0,'数据-取费表'!N16,1)</f>
        <v>0.82</v>
      </c>
      <c r="G50" s="247" t="s">
        <v>98</v>
      </c>
    </row>
    <row r="51" spans="1:7" ht="16.5" customHeight="1">
      <c r="A51" s="777" t="s">
        <v>345</v>
      </c>
      <c r="B51" s="210" t="s">
        <v>105</v>
      </c>
      <c r="C51" s="232">
        <f ca="1">ROUND(C49*F50,0)</f>
        <v>34998</v>
      </c>
      <c r="D51" s="232"/>
      <c r="E51" s="232"/>
      <c r="F51" s="264"/>
      <c r="G51" s="234" t="s">
        <v>37</v>
      </c>
    </row>
    <row r="52" spans="1:7" s="208" customFormat="1" ht="16.5" thickBot="1">
      <c r="A52" s="265" t="s">
        <v>38</v>
      </c>
      <c r="B52" s="266"/>
      <c r="C52" s="267">
        <f ca="1">C31+C51</f>
        <v>64131</v>
      </c>
      <c r="D52" s="266"/>
      <c r="E52" s="266"/>
      <c r="F52" s="266"/>
      <c r="G52" s="268"/>
    </row>
    <row r="55" spans="1:7" ht="15">
      <c r="B55" s="270" t="s">
        <v>39</v>
      </c>
      <c r="C55" s="271"/>
    </row>
    <row r="56" spans="1:7">
      <c r="B56" s="273" t="s">
        <v>40</v>
      </c>
      <c r="C56" s="274">
        <f ca="1">ROUND(C51/C52,3)</f>
        <v>0.54600000000000004</v>
      </c>
    </row>
    <row r="57" spans="1:7">
      <c r="B57" s="273" t="s">
        <v>41</v>
      </c>
      <c r="C57" s="275">
        <f ca="1">1-C56</f>
        <v>0.45399999999999996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7" t="s">
        <v>2843</v>
      </c>
      <c r="B1" s="3787"/>
      <c r="C1" s="3787"/>
      <c r="D1" s="3787"/>
      <c r="E1" s="3787"/>
      <c r="F1" s="3787"/>
      <c r="G1" s="3788"/>
      <c r="I1" s="3223" t="s">
        <v>2844</v>
      </c>
      <c r="J1" s="3224" t="s">
        <v>2845</v>
      </c>
      <c r="K1" s="3224" t="s">
        <v>2846</v>
      </c>
      <c r="L1" s="3224" t="s">
        <v>2847</v>
      </c>
      <c r="M1" s="3224" t="s">
        <v>2848</v>
      </c>
      <c r="N1" s="3224" t="s">
        <v>2849</v>
      </c>
      <c r="O1" s="3224" t="s">
        <v>2850</v>
      </c>
      <c r="P1" s="3224" t="s">
        <v>2851</v>
      </c>
      <c r="Q1" s="3224" t="s">
        <v>2852</v>
      </c>
      <c r="R1" s="3224" t="s">
        <v>2853</v>
      </c>
      <c r="S1" s="3224" t="s">
        <v>2854</v>
      </c>
      <c r="T1" s="3225" t="s">
        <v>2855</v>
      </c>
    </row>
    <row r="2" spans="1:20" ht="12" thickBot="1">
      <c r="A2" s="3227" t="s">
        <v>2856</v>
      </c>
      <c r="B2" s="3227"/>
      <c r="C2" s="3227"/>
      <c r="D2" s="3227"/>
      <c r="E2" s="3227"/>
      <c r="F2" s="3227"/>
      <c r="G2" s="3228" t="s">
        <v>2857</v>
      </c>
      <c r="I2" s="3229" t="s">
        <v>2858</v>
      </c>
      <c r="J2" s="3229" t="s">
        <v>2859</v>
      </c>
      <c r="K2" s="3229" t="s">
        <v>2860</v>
      </c>
      <c r="L2" s="3229" t="s">
        <v>2861</v>
      </c>
      <c r="M2" s="3229" t="s">
        <v>2862</v>
      </c>
      <c r="N2" s="3229" t="s">
        <v>2863</v>
      </c>
      <c r="O2" s="3229" t="s">
        <v>2864</v>
      </c>
      <c r="P2" s="3229" t="s">
        <v>2865</v>
      </c>
      <c r="Q2" s="3229" t="s">
        <v>2866</v>
      </c>
      <c r="R2" s="3229" t="s">
        <v>2867</v>
      </c>
      <c r="S2" s="3229" t="s">
        <v>2868</v>
      </c>
      <c r="T2" s="3229" t="s">
        <v>2869</v>
      </c>
    </row>
    <row r="3" spans="1:20" s="3235" customFormat="1">
      <c r="A3" s="3785" t="s">
        <v>2870</v>
      </c>
      <c r="B3" s="3230"/>
      <c r="C3" s="3231" t="s">
        <v>2815</v>
      </c>
      <c r="D3" s="3231" t="s">
        <v>2871</v>
      </c>
      <c r="E3" s="3231" t="s">
        <v>2817</v>
      </c>
      <c r="F3" s="3231" t="s">
        <v>2872</v>
      </c>
      <c r="G3" s="3231" t="s">
        <v>2635</v>
      </c>
      <c r="H3" s="3232"/>
      <c r="I3" s="3233" t="s">
        <v>2873</v>
      </c>
      <c r="J3" s="3234" t="s">
        <v>128</v>
      </c>
      <c r="K3" s="3234" t="s">
        <v>129</v>
      </c>
      <c r="L3" s="3233" t="s">
        <v>130</v>
      </c>
      <c r="M3" s="3233" t="s">
        <v>131</v>
      </c>
      <c r="N3" s="3233" t="s">
        <v>132</v>
      </c>
      <c r="O3" s="3233" t="s">
        <v>133</v>
      </c>
      <c r="P3" s="3233" t="s">
        <v>134</v>
      </c>
      <c r="Q3" s="3233" t="s">
        <v>135</v>
      </c>
      <c r="R3" s="3233" t="s">
        <v>136</v>
      </c>
      <c r="S3" s="3233" t="s">
        <v>2874</v>
      </c>
      <c r="T3" s="3233" t="s">
        <v>2875</v>
      </c>
    </row>
    <row r="4" spans="1:20" s="3235" customFormat="1" ht="12" thickBot="1">
      <c r="A4" s="3786"/>
      <c r="B4" s="3236" t="s">
        <v>2876</v>
      </c>
      <c r="C4" s="3236" t="s">
        <v>2877</v>
      </c>
      <c r="D4" s="3236" t="s">
        <v>2877</v>
      </c>
      <c r="E4" s="3236" t="s">
        <v>2877</v>
      </c>
      <c r="F4" s="3237" t="s">
        <v>2877</v>
      </c>
      <c r="G4" s="3237" t="s">
        <v>2877</v>
      </c>
      <c r="H4" s="3232"/>
      <c r="I4" s="3234" t="s">
        <v>137</v>
      </c>
      <c r="J4" s="3234" t="s">
        <v>111</v>
      </c>
      <c r="K4" s="3234" t="s">
        <v>138</v>
      </c>
      <c r="L4" s="3233" t="s">
        <v>139</v>
      </c>
      <c r="M4" s="3233" t="s">
        <v>140</v>
      </c>
      <c r="N4" s="3233" t="s">
        <v>141</v>
      </c>
      <c r="O4" s="3233" t="s">
        <v>142</v>
      </c>
      <c r="P4" s="3233" t="s">
        <v>143</v>
      </c>
      <c r="Q4" s="3233" t="s">
        <v>2878</v>
      </c>
      <c r="R4" s="3233" t="s">
        <v>2879</v>
      </c>
      <c r="S4" s="3233" t="s">
        <v>2880</v>
      </c>
      <c r="T4" s="3233" t="s">
        <v>2881</v>
      </c>
    </row>
    <row r="5" spans="1:20">
      <c r="A5" s="3238" t="s">
        <v>2844</v>
      </c>
      <c r="B5" s="3229" t="s">
        <v>2858</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2882</v>
      </c>
      <c r="R5" s="3233" t="s">
        <v>2883</v>
      </c>
      <c r="S5" s="3233" t="s">
        <v>153</v>
      </c>
      <c r="T5" s="3233" t="s">
        <v>2884</v>
      </c>
    </row>
    <row r="6" spans="1:20" ht="12" thickBot="1">
      <c r="A6" s="3233" t="s">
        <v>144</v>
      </c>
      <c r="B6" s="3233" t="s">
        <v>2873</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2885</v>
      </c>
      <c r="Q6" s="3233" t="s">
        <v>2886</v>
      </c>
      <c r="R6" s="3233" t="s">
        <v>161</v>
      </c>
      <c r="S6" s="3233" t="s">
        <v>2887</v>
      </c>
      <c r="T6" s="3233" t="s">
        <v>2888</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2889</v>
      </c>
      <c r="Q7" s="3233" t="s">
        <v>2890</v>
      </c>
      <c r="R7" s="3233" t="s">
        <v>2891</v>
      </c>
      <c r="S7" s="3233" t="s">
        <v>2892</v>
      </c>
      <c r="T7" s="3233" t="s">
        <v>2893</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2894</v>
      </c>
      <c r="Q8" s="3233" t="s">
        <v>174</v>
      </c>
      <c r="R8" s="3233" t="s">
        <v>2895</v>
      </c>
      <c r="S8" s="3233" t="s">
        <v>2896</v>
      </c>
      <c r="T8" s="3240" t="s">
        <v>2897</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2898</v>
      </c>
      <c r="Q9" s="3233" t="s">
        <v>182</v>
      </c>
      <c r="R9" s="3233" t="s">
        <v>183</v>
      </c>
      <c r="S9" s="3233" t="s">
        <v>200</v>
      </c>
    </row>
    <row r="10" spans="1:20">
      <c r="A10" s="3238" t="s">
        <v>184</v>
      </c>
      <c r="B10" s="3229" t="s">
        <v>2859</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2899</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2900</v>
      </c>
      <c r="P11" s="3233" t="s">
        <v>191</v>
      </c>
      <c r="Q11" s="3233" t="s">
        <v>199</v>
      </c>
      <c r="R11" s="3233" t="s">
        <v>2901</v>
      </c>
      <c r="S11" s="3233" t="s">
        <v>2902</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2903</v>
      </c>
      <c r="P12" s="3233" t="s">
        <v>2904</v>
      </c>
      <c r="Q12" s="3233" t="s">
        <v>2905</v>
      </c>
      <c r="R12" s="3233" t="s">
        <v>2906</v>
      </c>
      <c r="S12" s="3233" t="s">
        <v>2907</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2908</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2909</v>
      </c>
      <c r="K14" s="3234" t="s">
        <v>215</v>
      </c>
      <c r="L14" s="3233" t="s">
        <v>216</v>
      </c>
      <c r="M14" s="3233" t="s">
        <v>217</v>
      </c>
      <c r="N14" s="3233" t="s">
        <v>218</v>
      </c>
      <c r="O14" s="3233" t="s">
        <v>240</v>
      </c>
      <c r="P14" s="3233" t="s">
        <v>213</v>
      </c>
      <c r="Q14" s="3233" t="s">
        <v>2910</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2911</v>
      </c>
      <c r="P15" s="3233" t="s">
        <v>2912</v>
      </c>
      <c r="Q15" s="3233" t="s">
        <v>242</v>
      </c>
      <c r="R15" s="3233" t="s">
        <v>2913</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2914</v>
      </c>
      <c r="P16" s="3233" t="s">
        <v>227</v>
      </c>
      <c r="Q16" s="3233" t="s">
        <v>250</v>
      </c>
      <c r="R16" s="3233" t="s">
        <v>207</v>
      </c>
      <c r="S16" s="3233" t="s">
        <v>2915</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2916</v>
      </c>
      <c r="P17" s="3233" t="s">
        <v>2917</v>
      </c>
      <c r="Q17" s="3233" t="s">
        <v>256</v>
      </c>
      <c r="R17" s="3233" t="s">
        <v>2918</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2919</v>
      </c>
      <c r="P18" s="3233" t="s">
        <v>241</v>
      </c>
      <c r="Q18" s="3233" t="s">
        <v>2920</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2921</v>
      </c>
      <c r="P19" s="3233" t="s">
        <v>249</v>
      </c>
      <c r="Q19" s="3233" t="s">
        <v>2922</v>
      </c>
      <c r="R19" s="3233" t="s">
        <v>265</v>
      </c>
      <c r="S19" s="3233" t="s">
        <v>2923</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2924</v>
      </c>
      <c r="P20" s="3233" t="s">
        <v>2925</v>
      </c>
      <c r="Q20" s="3233" t="s">
        <v>290</v>
      </c>
      <c r="R20" s="3233" t="s">
        <v>2926</v>
      </c>
      <c r="S20" s="3233" t="s">
        <v>277</v>
      </c>
    </row>
    <row r="21" spans="1:19" ht="14.25" customHeight="1" thickBot="1">
      <c r="A21" s="3233" t="s">
        <v>184</v>
      </c>
      <c r="B21" s="3234" t="s">
        <v>208</v>
      </c>
      <c r="C21" s="3233">
        <v>32370</v>
      </c>
      <c r="D21" s="3233">
        <v>26730</v>
      </c>
      <c r="E21" s="3233">
        <v>26640</v>
      </c>
      <c r="F21" s="3233"/>
      <c r="G21" s="3233">
        <v>19440</v>
      </c>
      <c r="J21" s="3240" t="s">
        <v>2927</v>
      </c>
      <c r="K21" s="3234" t="s">
        <v>267</v>
      </c>
      <c r="L21" s="3233" t="s">
        <v>268</v>
      </c>
      <c r="M21" s="3233" t="s">
        <v>269</v>
      </c>
      <c r="N21" s="3233" t="s">
        <v>270</v>
      </c>
      <c r="O21" s="3233" t="s">
        <v>264</v>
      </c>
      <c r="P21" s="3233" t="s">
        <v>283</v>
      </c>
      <c r="Q21" s="3233" t="s">
        <v>293</v>
      </c>
      <c r="R21" s="3233" t="s">
        <v>2928</v>
      </c>
      <c r="S21" s="3240" t="s">
        <v>2929</v>
      </c>
    </row>
    <row r="22" spans="1:19" ht="14.25" customHeight="1">
      <c r="A22" s="3233" t="s">
        <v>184</v>
      </c>
      <c r="B22" s="3234" t="s">
        <v>2909</v>
      </c>
      <c r="C22" s="3233">
        <v>29830</v>
      </c>
      <c r="D22" s="3233">
        <v>27600</v>
      </c>
      <c r="E22" s="3233">
        <v>28150</v>
      </c>
      <c r="F22" s="3233"/>
      <c r="G22" s="3233">
        <v>20080</v>
      </c>
      <c r="K22" s="3234" t="s">
        <v>2930</v>
      </c>
      <c r="L22" s="3233" t="s">
        <v>272</v>
      </c>
      <c r="M22" s="3233" t="s">
        <v>273</v>
      </c>
      <c r="N22" s="3233" t="s">
        <v>274</v>
      </c>
      <c r="O22" s="3233" t="s">
        <v>2931</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2932</v>
      </c>
      <c r="L23" s="3233" t="s">
        <v>278</v>
      </c>
      <c r="M23" s="3233" t="s">
        <v>279</v>
      </c>
      <c r="N23" s="3233" t="s">
        <v>2933</v>
      </c>
      <c r="O23" s="3233" t="s">
        <v>2934</v>
      </c>
      <c r="P23" s="3233" t="s">
        <v>289</v>
      </c>
      <c r="Q23" s="3233" t="s">
        <v>298</v>
      </c>
      <c r="R23" s="3233" t="s">
        <v>2935</v>
      </c>
    </row>
    <row r="24" spans="1:19" ht="14.25" customHeight="1">
      <c r="A24" s="3233" t="s">
        <v>184</v>
      </c>
      <c r="B24" s="3234" t="s">
        <v>230</v>
      </c>
      <c r="C24" s="3233">
        <v>27930</v>
      </c>
      <c r="D24" s="3233">
        <v>32260</v>
      </c>
      <c r="E24" s="3233">
        <v>32120</v>
      </c>
      <c r="F24" s="3233"/>
      <c r="G24" s="3233">
        <v>23470</v>
      </c>
      <c r="K24" s="3234" t="s">
        <v>2936</v>
      </c>
      <c r="L24" s="3233" t="s">
        <v>281</v>
      </c>
      <c r="M24" s="3233" t="s">
        <v>282</v>
      </c>
      <c r="N24" s="3233" t="s">
        <v>2937</v>
      </c>
      <c r="O24" s="3233" t="s">
        <v>285</v>
      </c>
      <c r="P24" s="3233" t="s">
        <v>2938</v>
      </c>
      <c r="Q24" s="3242" t="s">
        <v>2939</v>
      </c>
      <c r="R24" s="3233" t="s">
        <v>2940</v>
      </c>
    </row>
    <row r="25" spans="1:19" ht="14.25" customHeight="1">
      <c r="A25" s="3233" t="s">
        <v>184</v>
      </c>
      <c r="B25" s="3234" t="s">
        <v>235</v>
      </c>
      <c r="C25" s="3233">
        <v>32230</v>
      </c>
      <c r="D25" s="3233">
        <v>29640</v>
      </c>
      <c r="E25" s="3233">
        <v>29510</v>
      </c>
      <c r="F25" s="3233"/>
      <c r="G25" s="3233">
        <v>21560</v>
      </c>
      <c r="K25" s="3234" t="s">
        <v>2941</v>
      </c>
      <c r="L25" s="3233" t="s">
        <v>2942</v>
      </c>
      <c r="M25" s="3233" t="s">
        <v>284</v>
      </c>
      <c r="N25" s="3233" t="s">
        <v>292</v>
      </c>
      <c r="O25" s="3233" t="s">
        <v>288</v>
      </c>
      <c r="P25" s="3233" t="s">
        <v>275</v>
      </c>
      <c r="Q25" s="3242" t="s">
        <v>271</v>
      </c>
      <c r="R25" s="3233" t="s">
        <v>2943</v>
      </c>
    </row>
    <row r="26" spans="1:19" ht="14.25" customHeight="1" thickBot="1">
      <c r="A26" s="3233" t="s">
        <v>184</v>
      </c>
      <c r="B26" s="3234" t="s">
        <v>244</v>
      </c>
      <c r="C26" s="3233">
        <v>31690</v>
      </c>
      <c r="D26" s="3233">
        <v>27650</v>
      </c>
      <c r="E26" s="3233">
        <v>28200</v>
      </c>
      <c r="F26" s="3233"/>
      <c r="G26" s="3233">
        <v>20110</v>
      </c>
      <c r="K26" s="3239" t="s">
        <v>2944</v>
      </c>
      <c r="L26" s="3233" t="s">
        <v>2945</v>
      </c>
      <c r="M26" s="3233" t="s">
        <v>287</v>
      </c>
      <c r="N26" s="3233" t="s">
        <v>294</v>
      </c>
      <c r="O26" s="3233" t="s">
        <v>2946</v>
      </c>
      <c r="P26" s="3233" t="s">
        <v>2947</v>
      </c>
      <c r="Q26" s="3242" t="s">
        <v>276</v>
      </c>
      <c r="R26" s="3233" t="s">
        <v>2948</v>
      </c>
    </row>
    <row r="27" spans="1:19" ht="14.25" customHeight="1">
      <c r="A27" s="3233" t="s">
        <v>184</v>
      </c>
      <c r="B27" s="3234" t="s">
        <v>251</v>
      </c>
      <c r="C27" s="3233">
        <v>29610</v>
      </c>
      <c r="D27" s="3233">
        <v>27770</v>
      </c>
      <c r="E27" s="3233">
        <v>28300</v>
      </c>
      <c r="F27" s="3233"/>
      <c r="G27" s="3233">
        <v>20210</v>
      </c>
      <c r="L27" s="3233" t="s">
        <v>2949</v>
      </c>
      <c r="M27" s="3233" t="s">
        <v>291</v>
      </c>
      <c r="N27" s="3233" t="s">
        <v>297</v>
      </c>
      <c r="O27" s="3233" t="s">
        <v>2950</v>
      </c>
      <c r="P27" s="3233" t="s">
        <v>2951</v>
      </c>
      <c r="Q27" s="3233" t="s">
        <v>2952</v>
      </c>
      <c r="R27" s="3233" t="s">
        <v>2953</v>
      </c>
    </row>
    <row r="28" spans="1:19" ht="14.25" customHeight="1">
      <c r="A28" s="3233" t="s">
        <v>184</v>
      </c>
      <c r="B28" s="3234" t="s">
        <v>259</v>
      </c>
      <c r="C28" s="3233"/>
      <c r="D28" s="3233">
        <v>31520</v>
      </c>
      <c r="E28" s="3233">
        <v>31410</v>
      </c>
      <c r="F28" s="3233"/>
      <c r="G28" s="3233">
        <v>22940</v>
      </c>
      <c r="L28" s="3233" t="s">
        <v>2954</v>
      </c>
      <c r="M28" s="3233" t="s">
        <v>2955</v>
      </c>
      <c r="N28" s="3233" t="s">
        <v>2956</v>
      </c>
      <c r="O28" s="3233" t="s">
        <v>2957</v>
      </c>
      <c r="P28" s="3233" t="s">
        <v>2958</v>
      </c>
      <c r="Q28" s="3233" t="s">
        <v>2959</v>
      </c>
      <c r="R28" s="3233" t="s">
        <v>2960</v>
      </c>
    </row>
    <row r="29" spans="1:19" ht="14.25" customHeight="1" thickBot="1">
      <c r="A29" s="3241" t="s">
        <v>184</v>
      </c>
      <c r="B29" s="3243" t="s">
        <v>2927</v>
      </c>
      <c r="C29" s="3244"/>
      <c r="D29" s="3244">
        <v>29460</v>
      </c>
      <c r="E29" s="3244">
        <v>28640</v>
      </c>
      <c r="F29" s="3244"/>
      <c r="G29" s="3244">
        <v>21430</v>
      </c>
      <c r="L29" s="3233" t="s">
        <v>2961</v>
      </c>
      <c r="M29" s="3233" t="s">
        <v>2962</v>
      </c>
      <c r="N29" s="3233" t="s">
        <v>2963</v>
      </c>
      <c r="O29" s="3233" t="s">
        <v>2964</v>
      </c>
      <c r="P29" s="3233" t="s">
        <v>2965</v>
      </c>
      <c r="Q29" s="3233" t="s">
        <v>2966</v>
      </c>
      <c r="R29" s="3233" t="s">
        <v>280</v>
      </c>
    </row>
    <row r="30" spans="1:19" ht="14.25" customHeight="1">
      <c r="A30" s="3238" t="s">
        <v>296</v>
      </c>
      <c r="B30" s="3229" t="s">
        <v>2860</v>
      </c>
      <c r="C30" s="3229">
        <v>26890</v>
      </c>
      <c r="D30" s="3229">
        <v>26770</v>
      </c>
      <c r="E30" s="3229">
        <v>25700</v>
      </c>
      <c r="F30" s="3229">
        <v>8180</v>
      </c>
      <c r="G30" s="3245">
        <v>18740</v>
      </c>
      <c r="L30" s="3233" t="s">
        <v>2967</v>
      </c>
      <c r="M30" s="3233" t="s">
        <v>2968</v>
      </c>
      <c r="N30" s="3233" t="s">
        <v>2969</v>
      </c>
      <c r="O30" s="3233" t="s">
        <v>2970</v>
      </c>
      <c r="P30" s="3233" t="s">
        <v>2971</v>
      </c>
      <c r="Q30" s="3233" t="s">
        <v>2972</v>
      </c>
      <c r="R30" s="3233" t="s">
        <v>2973</v>
      </c>
    </row>
    <row r="31" spans="1:19" ht="14.25" customHeight="1">
      <c r="A31" s="3233" t="s">
        <v>296</v>
      </c>
      <c r="B31" s="3234" t="s">
        <v>129</v>
      </c>
      <c r="C31" s="3233">
        <v>24550</v>
      </c>
      <c r="D31" s="3233">
        <v>23990</v>
      </c>
      <c r="E31" s="3233">
        <v>22930</v>
      </c>
      <c r="F31" s="3233">
        <v>7470</v>
      </c>
      <c r="G31" s="3246">
        <v>16790</v>
      </c>
      <c r="L31" s="3233" t="s">
        <v>2974</v>
      </c>
      <c r="M31" s="3233" t="s">
        <v>2975</v>
      </c>
      <c r="N31" s="3233" t="s">
        <v>2976</v>
      </c>
      <c r="O31" s="3233" t="s">
        <v>2977</v>
      </c>
      <c r="P31" s="3233" t="s">
        <v>2978</v>
      </c>
      <c r="Q31" s="3233" t="s">
        <v>2979</v>
      </c>
      <c r="R31" s="3233" t="s">
        <v>2980</v>
      </c>
    </row>
    <row r="32" spans="1:19" ht="14.25" customHeight="1" thickBot="1">
      <c r="A32" s="3233" t="s">
        <v>296</v>
      </c>
      <c r="B32" s="3234" t="s">
        <v>138</v>
      </c>
      <c r="C32" s="3233">
        <v>27210</v>
      </c>
      <c r="D32" s="3233">
        <v>23240</v>
      </c>
      <c r="E32" s="3233">
        <v>23260</v>
      </c>
      <c r="F32" s="3233">
        <v>7130</v>
      </c>
      <c r="G32" s="3246">
        <v>16270</v>
      </c>
      <c r="L32" s="3233" t="s">
        <v>2981</v>
      </c>
      <c r="M32" s="3233" t="s">
        <v>2982</v>
      </c>
      <c r="N32" s="3233" t="s">
        <v>300</v>
      </c>
      <c r="O32" s="3233" t="s">
        <v>2983</v>
      </c>
      <c r="P32" s="3233" t="s">
        <v>299</v>
      </c>
      <c r="Q32" s="3233" t="s">
        <v>2984</v>
      </c>
      <c r="R32" s="3240" t="s">
        <v>2985</v>
      </c>
    </row>
    <row r="33" spans="1:17" ht="14.25" customHeight="1" thickBot="1">
      <c r="A33" s="3233" t="s">
        <v>296</v>
      </c>
      <c r="B33" s="3234" t="s">
        <v>147</v>
      </c>
      <c r="C33" s="3233">
        <v>27300</v>
      </c>
      <c r="D33" s="3233">
        <v>22980</v>
      </c>
      <c r="E33" s="3233">
        <v>24260</v>
      </c>
      <c r="F33" s="3233">
        <v>5860</v>
      </c>
      <c r="G33" s="3246">
        <v>16090</v>
      </c>
      <c r="L33" s="3240" t="s">
        <v>2986</v>
      </c>
      <c r="M33" s="3233" t="s">
        <v>2987</v>
      </c>
      <c r="N33" s="3233" t="s">
        <v>301</v>
      </c>
      <c r="O33" s="3233" t="s">
        <v>2988</v>
      </c>
      <c r="P33" s="3233" t="s">
        <v>2989</v>
      </c>
      <c r="Q33" s="3233" t="s">
        <v>2990</v>
      </c>
    </row>
    <row r="34" spans="1:17" ht="14.25" customHeight="1">
      <c r="A34" s="3233" t="s">
        <v>296</v>
      </c>
      <c r="B34" s="3234" t="s">
        <v>156</v>
      </c>
      <c r="C34" s="3233">
        <v>23090</v>
      </c>
      <c r="D34" s="3233">
        <v>23390</v>
      </c>
      <c r="E34" s="3233">
        <v>23510</v>
      </c>
      <c r="F34" s="3233">
        <v>6700</v>
      </c>
      <c r="G34" s="3246">
        <v>16370</v>
      </c>
      <c r="M34" s="3233" t="s">
        <v>2991</v>
      </c>
      <c r="N34" s="3233" t="s">
        <v>302</v>
      </c>
      <c r="O34" s="3233" t="s">
        <v>2992</v>
      </c>
      <c r="P34" s="3233" t="s">
        <v>2993</v>
      </c>
      <c r="Q34" s="3233" t="s">
        <v>2994</v>
      </c>
    </row>
    <row r="35" spans="1:17" ht="14.25" customHeight="1">
      <c r="A35" s="3233" t="s">
        <v>296</v>
      </c>
      <c r="B35" s="3234" t="s">
        <v>163</v>
      </c>
      <c r="C35" s="3233">
        <v>27270</v>
      </c>
      <c r="D35" s="3233">
        <v>24270</v>
      </c>
      <c r="E35" s="3233">
        <v>24950</v>
      </c>
      <c r="F35" s="3233">
        <v>6600</v>
      </c>
      <c r="G35" s="3246">
        <v>16990</v>
      </c>
      <c r="M35" s="3233" t="s">
        <v>2995</v>
      </c>
      <c r="N35" s="3233" t="s">
        <v>2996</v>
      </c>
      <c r="O35" s="3233" t="s">
        <v>2997</v>
      </c>
      <c r="P35" s="3233" t="s">
        <v>2998</v>
      </c>
      <c r="Q35" s="3233" t="s">
        <v>2999</v>
      </c>
    </row>
    <row r="36" spans="1:17" ht="14.25" customHeight="1">
      <c r="A36" s="3233" t="s">
        <v>296</v>
      </c>
      <c r="B36" s="3234" t="s">
        <v>169</v>
      </c>
      <c r="C36" s="3233">
        <v>23490</v>
      </c>
      <c r="D36" s="3233">
        <v>23020</v>
      </c>
      <c r="E36" s="3233">
        <v>25230</v>
      </c>
      <c r="F36" s="3233">
        <v>6780</v>
      </c>
      <c r="G36" s="3246">
        <v>16120</v>
      </c>
      <c r="M36" s="3233" t="s">
        <v>3000</v>
      </c>
      <c r="N36" s="3233" t="s">
        <v>3001</v>
      </c>
      <c r="O36" s="3233" t="s">
        <v>3002</v>
      </c>
      <c r="P36" s="3233" t="s">
        <v>3003</v>
      </c>
      <c r="Q36" s="3233" t="s">
        <v>3004</v>
      </c>
    </row>
    <row r="37" spans="1:17" ht="14.25" customHeight="1">
      <c r="A37" s="3233" t="s">
        <v>296</v>
      </c>
      <c r="B37" s="3234" t="s">
        <v>176</v>
      </c>
      <c r="C37" s="3233">
        <v>24380</v>
      </c>
      <c r="D37" s="3233">
        <v>22240</v>
      </c>
      <c r="E37" s="3233">
        <v>25980</v>
      </c>
      <c r="F37" s="3233">
        <v>8160</v>
      </c>
      <c r="G37" s="3246">
        <v>15570</v>
      </c>
      <c r="M37" s="3233" t="s">
        <v>3005</v>
      </c>
      <c r="N37" s="3233" t="s">
        <v>3006</v>
      </c>
      <c r="O37" s="3233" t="s">
        <v>3007</v>
      </c>
      <c r="P37" s="3233" t="s">
        <v>3008</v>
      </c>
      <c r="Q37" s="3233" t="s">
        <v>3009</v>
      </c>
    </row>
    <row r="38" spans="1:17" ht="14.25" customHeight="1">
      <c r="A38" s="3233" t="s">
        <v>296</v>
      </c>
      <c r="B38" s="3234" t="s">
        <v>186</v>
      </c>
      <c r="C38" s="3233">
        <v>23120</v>
      </c>
      <c r="D38" s="3233">
        <v>24630</v>
      </c>
      <c r="E38" s="3233">
        <v>25030</v>
      </c>
      <c r="F38" s="3233">
        <v>7710</v>
      </c>
      <c r="G38" s="3246">
        <v>17240</v>
      </c>
      <c r="M38" s="3233" t="s">
        <v>3010</v>
      </c>
      <c r="N38" s="3233" t="s">
        <v>3011</v>
      </c>
      <c r="O38" s="3233" t="s">
        <v>3012</v>
      </c>
      <c r="P38" s="3233" t="s">
        <v>3013</v>
      </c>
      <c r="Q38" s="3233" t="s">
        <v>3014</v>
      </c>
    </row>
    <row r="39" spans="1:17" ht="14.25" customHeight="1">
      <c r="A39" s="3233" t="s">
        <v>296</v>
      </c>
      <c r="B39" s="3234" t="s">
        <v>195</v>
      </c>
      <c r="C39" s="3233">
        <v>22330</v>
      </c>
      <c r="D39" s="3233">
        <v>21140</v>
      </c>
      <c r="E39" s="3233">
        <v>23970</v>
      </c>
      <c r="F39" s="3233">
        <v>7940</v>
      </c>
      <c r="G39" s="3246">
        <v>14790</v>
      </c>
      <c r="M39" s="3233" t="s">
        <v>3015</v>
      </c>
      <c r="N39" s="3233" t="s">
        <v>3016</v>
      </c>
      <c r="O39" s="3233" t="s">
        <v>3017</v>
      </c>
      <c r="P39" s="3233" t="s">
        <v>3018</v>
      </c>
      <c r="Q39" s="3233" t="s">
        <v>3019</v>
      </c>
    </row>
    <row r="40" spans="1:17" ht="14.25" customHeight="1">
      <c r="A40" s="3233" t="s">
        <v>296</v>
      </c>
      <c r="B40" s="3234" t="s">
        <v>202</v>
      </c>
      <c r="C40" s="3233">
        <v>24740</v>
      </c>
      <c r="D40" s="3233">
        <v>24690</v>
      </c>
      <c r="E40" s="3233">
        <v>22610</v>
      </c>
      <c r="F40" s="3233"/>
      <c r="G40" s="3246">
        <v>17280</v>
      </c>
      <c r="M40" s="3233" t="s">
        <v>3020</v>
      </c>
      <c r="N40" s="3233" t="s">
        <v>3021</v>
      </c>
      <c r="O40" s="3233" t="s">
        <v>3022</v>
      </c>
      <c r="P40" s="3233" t="s">
        <v>3023</v>
      </c>
      <c r="Q40" s="3233" t="s">
        <v>3024</v>
      </c>
    </row>
    <row r="41" spans="1:17" ht="14.25" customHeight="1" thickBot="1">
      <c r="A41" s="3233" t="s">
        <v>296</v>
      </c>
      <c r="B41" s="3234" t="s">
        <v>209</v>
      </c>
      <c r="C41" s="3233">
        <v>21220</v>
      </c>
      <c r="D41" s="3233">
        <v>21120</v>
      </c>
      <c r="E41" s="3233">
        <v>22590</v>
      </c>
      <c r="F41" s="3233"/>
      <c r="G41" s="3246">
        <v>14780</v>
      </c>
      <c r="M41" s="3240" t="s">
        <v>3025</v>
      </c>
      <c r="N41" s="3233" t="s">
        <v>3026</v>
      </c>
      <c r="O41" s="3233" t="s">
        <v>3027</v>
      </c>
      <c r="P41" s="3233" t="s">
        <v>3028</v>
      </c>
      <c r="Q41" s="3233" t="s">
        <v>3029</v>
      </c>
    </row>
    <row r="42" spans="1:17" ht="14.25" customHeight="1">
      <c r="A42" s="3233" t="s">
        <v>296</v>
      </c>
      <c r="B42" s="3234" t="s">
        <v>215</v>
      </c>
      <c r="C42" s="3233">
        <v>24800</v>
      </c>
      <c r="D42" s="3233">
        <v>22280</v>
      </c>
      <c r="E42" s="3233">
        <v>24350</v>
      </c>
      <c r="F42" s="3233"/>
      <c r="G42" s="3246">
        <v>15590</v>
      </c>
      <c r="N42" s="3233" t="s">
        <v>3030</v>
      </c>
      <c r="O42" s="3233" t="s">
        <v>3031</v>
      </c>
      <c r="P42" s="3233" t="s">
        <v>3032</v>
      </c>
      <c r="Q42" s="3233" t="s">
        <v>3033</v>
      </c>
    </row>
    <row r="43" spans="1:17" ht="14.25" customHeight="1">
      <c r="A43" s="3233" t="s">
        <v>3034</v>
      </c>
      <c r="B43" s="3234" t="s">
        <v>223</v>
      </c>
      <c r="C43" s="3233">
        <v>21210</v>
      </c>
      <c r="D43" s="3233">
        <v>21160</v>
      </c>
      <c r="E43" s="3233">
        <v>22650</v>
      </c>
      <c r="F43" s="3233"/>
      <c r="G43" s="3246">
        <v>14800</v>
      </c>
      <c r="N43" s="3233" t="s">
        <v>3035</v>
      </c>
      <c r="O43" s="3233" t="s">
        <v>3036</v>
      </c>
      <c r="P43" s="3233" t="s">
        <v>3037</v>
      </c>
      <c r="Q43" s="3233" t="s">
        <v>3038</v>
      </c>
    </row>
    <row r="44" spans="1:17" ht="14.25" customHeight="1" thickBot="1">
      <c r="A44" s="3233" t="s">
        <v>296</v>
      </c>
      <c r="B44" s="3234" t="s">
        <v>231</v>
      </c>
      <c r="C44" s="3233">
        <v>22370</v>
      </c>
      <c r="D44" s="3233">
        <v>23140</v>
      </c>
      <c r="E44" s="3233">
        <v>25090</v>
      </c>
      <c r="F44" s="3233"/>
      <c r="G44" s="3246">
        <v>16190</v>
      </c>
      <c r="N44" s="3233" t="s">
        <v>3039</v>
      </c>
      <c r="O44" s="3233" t="s">
        <v>3040</v>
      </c>
      <c r="P44" s="3240" t="s">
        <v>3041</v>
      </c>
      <c r="Q44" s="3233" t="s">
        <v>3042</v>
      </c>
    </row>
    <row r="45" spans="1:17" ht="14.25" customHeight="1" thickBot="1">
      <c r="A45" s="3233" t="s">
        <v>296</v>
      </c>
      <c r="B45" s="3234" t="s">
        <v>236</v>
      </c>
      <c r="C45" s="3233">
        <v>21240</v>
      </c>
      <c r="D45" s="3233">
        <v>27050</v>
      </c>
      <c r="E45" s="3233">
        <v>28000</v>
      </c>
      <c r="F45" s="3233"/>
      <c r="G45" s="3246">
        <v>18940</v>
      </c>
      <c r="N45" s="3233" t="s">
        <v>3043</v>
      </c>
      <c r="O45" s="3240" t="s">
        <v>3044</v>
      </c>
      <c r="Q45" s="3233" t="s">
        <v>3045</v>
      </c>
    </row>
    <row r="46" spans="1:17" ht="14.25" customHeight="1">
      <c r="A46" s="3233" t="s">
        <v>296</v>
      </c>
      <c r="B46" s="3234" t="s">
        <v>245</v>
      </c>
      <c r="C46" s="3233">
        <v>23240</v>
      </c>
      <c r="D46" s="3233">
        <v>23000</v>
      </c>
      <c r="E46" s="3233">
        <v>24980</v>
      </c>
      <c r="F46" s="3233"/>
      <c r="G46" s="3246">
        <v>16100</v>
      </c>
      <c r="N46" s="3233" t="s">
        <v>3046</v>
      </c>
      <c r="Q46" s="3233" t="s">
        <v>3047</v>
      </c>
    </row>
    <row r="47" spans="1:17" ht="14.25" customHeight="1">
      <c r="A47" s="3233" t="s">
        <v>296</v>
      </c>
      <c r="B47" s="3234" t="s">
        <v>252</v>
      </c>
      <c r="C47" s="3233">
        <v>27150</v>
      </c>
      <c r="D47" s="3233">
        <v>23310</v>
      </c>
      <c r="E47" s="3233">
        <v>25150</v>
      </c>
      <c r="F47" s="3233"/>
      <c r="G47" s="3246">
        <v>16310</v>
      </c>
      <c r="N47" s="3233" t="s">
        <v>3048</v>
      </c>
      <c r="Q47" s="3233" t="s">
        <v>3049</v>
      </c>
    </row>
    <row r="48" spans="1:17" ht="14.25" customHeight="1">
      <c r="A48" s="3233" t="s">
        <v>296</v>
      </c>
      <c r="B48" s="3234" t="s">
        <v>260</v>
      </c>
      <c r="C48" s="3233">
        <v>23100</v>
      </c>
      <c r="D48" s="3233">
        <v>21110</v>
      </c>
      <c r="E48" s="3233">
        <v>23080</v>
      </c>
      <c r="F48" s="3233"/>
      <c r="G48" s="3246">
        <v>14780</v>
      </c>
      <c r="N48" s="3233" t="s">
        <v>3050</v>
      </c>
      <c r="Q48" s="3233" t="s">
        <v>3051</v>
      </c>
    </row>
    <row r="49" spans="1:17" ht="14.25" customHeight="1">
      <c r="A49" s="3233" t="s">
        <v>296</v>
      </c>
      <c r="B49" s="3234" t="s">
        <v>267</v>
      </c>
      <c r="C49" s="3233">
        <v>23400</v>
      </c>
      <c r="D49" s="3233">
        <v>22920</v>
      </c>
      <c r="E49" s="3233">
        <v>24900</v>
      </c>
      <c r="F49" s="3233"/>
      <c r="G49" s="3246">
        <v>16040</v>
      </c>
      <c r="N49" s="3233" t="s">
        <v>3052</v>
      </c>
      <c r="Q49" s="3233" t="s">
        <v>3053</v>
      </c>
    </row>
    <row r="50" spans="1:17" ht="14.25" customHeight="1">
      <c r="A50" s="3233" t="s">
        <v>296</v>
      </c>
      <c r="B50" s="3234" t="s">
        <v>2930</v>
      </c>
      <c r="C50" s="3233">
        <v>21200</v>
      </c>
      <c r="D50" s="3233">
        <v>26540</v>
      </c>
      <c r="E50" s="3233">
        <v>23200</v>
      </c>
      <c r="F50" s="3233"/>
      <c r="G50" s="3246">
        <v>18580</v>
      </c>
      <c r="N50" s="3233" t="s">
        <v>3054</v>
      </c>
      <c r="Q50" s="3234" t="s">
        <v>3055</v>
      </c>
    </row>
    <row r="51" spans="1:17" ht="14.25" customHeight="1" thickBot="1">
      <c r="A51" s="3233" t="s">
        <v>296</v>
      </c>
      <c r="B51" s="3234" t="s">
        <v>2932</v>
      </c>
      <c r="C51" s="3233">
        <v>23000</v>
      </c>
      <c r="D51" s="3233">
        <v>23460</v>
      </c>
      <c r="E51" s="3233">
        <v>25290</v>
      </c>
      <c r="F51" s="3233"/>
      <c r="G51" s="3246">
        <v>16420</v>
      </c>
      <c r="N51" s="3233" t="s">
        <v>3056</v>
      </c>
      <c r="Q51" s="3240" t="s">
        <v>3057</v>
      </c>
    </row>
    <row r="52" spans="1:17" ht="14.25" customHeight="1">
      <c r="A52" s="3233" t="s">
        <v>296</v>
      </c>
      <c r="B52" s="3234" t="s">
        <v>2936</v>
      </c>
      <c r="C52" s="3233">
        <v>26660</v>
      </c>
      <c r="D52" s="3233">
        <v>22350</v>
      </c>
      <c r="E52" s="3233">
        <v>22920</v>
      </c>
      <c r="F52" s="3233"/>
      <c r="G52" s="3246">
        <v>15640</v>
      </c>
      <c r="N52" s="3233" t="s">
        <v>3058</v>
      </c>
    </row>
    <row r="53" spans="1:17" ht="14.25" customHeight="1">
      <c r="A53" s="3233" t="s">
        <v>296</v>
      </c>
      <c r="B53" s="3234" t="s">
        <v>2941</v>
      </c>
      <c r="C53" s="3233">
        <v>23580</v>
      </c>
      <c r="D53" s="3233"/>
      <c r="E53" s="3233">
        <v>24280</v>
      </c>
      <c r="F53" s="3233"/>
      <c r="G53" s="3246"/>
      <c r="N53" s="3233" t="s">
        <v>3059</v>
      </c>
    </row>
    <row r="54" spans="1:17" ht="14.25" customHeight="1" thickBot="1">
      <c r="A54" s="3247" t="s">
        <v>296</v>
      </c>
      <c r="B54" s="3239" t="s">
        <v>2944</v>
      </c>
      <c r="C54" s="3240">
        <v>22460</v>
      </c>
      <c r="D54" s="3240"/>
      <c r="E54" s="3240"/>
      <c r="F54" s="3240"/>
      <c r="G54" s="3248"/>
      <c r="N54" s="3233" t="s">
        <v>3060</v>
      </c>
    </row>
    <row r="55" spans="1:17" ht="14.25" customHeight="1">
      <c r="A55" s="3238" t="s">
        <v>110</v>
      </c>
      <c r="B55" s="3229" t="s">
        <v>3061</v>
      </c>
      <c r="C55" s="3233">
        <v>21970</v>
      </c>
      <c r="D55" s="3233">
        <v>20370</v>
      </c>
      <c r="E55" s="3233">
        <v>20180</v>
      </c>
      <c r="F55" s="3233">
        <v>5730</v>
      </c>
      <c r="G55" s="3233">
        <v>13820</v>
      </c>
      <c r="N55" s="3233" t="s">
        <v>3062</v>
      </c>
    </row>
    <row r="56" spans="1:17" ht="14.25" customHeight="1">
      <c r="A56" s="3233" t="s">
        <v>110</v>
      </c>
      <c r="B56" s="3233" t="s">
        <v>130</v>
      </c>
      <c r="C56" s="3233">
        <v>20470</v>
      </c>
      <c r="D56" s="3233">
        <v>20700</v>
      </c>
      <c r="E56" s="3233">
        <v>20380</v>
      </c>
      <c r="F56" s="3233">
        <v>4760</v>
      </c>
      <c r="G56" s="3233">
        <v>14050</v>
      </c>
      <c r="N56" s="3233" t="s">
        <v>3063</v>
      </c>
    </row>
    <row r="57" spans="1:17" ht="14.25" customHeight="1">
      <c r="A57" s="3233" t="s">
        <v>110</v>
      </c>
      <c r="B57" s="3233" t="s">
        <v>139</v>
      </c>
      <c r="C57" s="3233">
        <v>20790</v>
      </c>
      <c r="D57" s="3233">
        <v>21370</v>
      </c>
      <c r="E57" s="3233">
        <v>20890</v>
      </c>
      <c r="F57" s="3233">
        <v>4910</v>
      </c>
      <c r="G57" s="3233">
        <v>14510</v>
      </c>
      <c r="N57" s="3233" t="s">
        <v>3064</v>
      </c>
    </row>
    <row r="58" spans="1:17" ht="14.25" customHeight="1">
      <c r="A58" s="3233" t="s">
        <v>110</v>
      </c>
      <c r="B58" s="3233" t="s">
        <v>148</v>
      </c>
      <c r="C58" s="3233">
        <v>21460</v>
      </c>
      <c r="D58" s="3233">
        <v>20920</v>
      </c>
      <c r="E58" s="3233">
        <v>23410</v>
      </c>
      <c r="F58" s="3233">
        <v>5100</v>
      </c>
      <c r="G58" s="3233">
        <v>14200</v>
      </c>
      <c r="N58" s="3233" t="s">
        <v>3065</v>
      </c>
    </row>
    <row r="59" spans="1:17" ht="14.25" customHeight="1">
      <c r="A59" s="3233" t="s">
        <v>110</v>
      </c>
      <c r="B59" s="3233" t="s">
        <v>157</v>
      </c>
      <c r="C59" s="3233">
        <v>21000</v>
      </c>
      <c r="D59" s="3233">
        <v>21550</v>
      </c>
      <c r="E59" s="3233">
        <v>21150</v>
      </c>
      <c r="F59" s="3233">
        <v>5250</v>
      </c>
      <c r="G59" s="3233">
        <v>14630</v>
      </c>
      <c r="N59" s="3233" t="s">
        <v>3066</v>
      </c>
    </row>
    <row r="60" spans="1:17" ht="14.25" customHeight="1">
      <c r="A60" s="3233" t="s">
        <v>110</v>
      </c>
      <c r="B60" s="3233" t="s">
        <v>164</v>
      </c>
      <c r="C60" s="3233">
        <v>21640</v>
      </c>
      <c r="D60" s="3233">
        <v>21260</v>
      </c>
      <c r="E60" s="3233">
        <v>24040</v>
      </c>
      <c r="F60" s="3233">
        <v>4470</v>
      </c>
      <c r="G60" s="3233">
        <v>14430</v>
      </c>
      <c r="N60" s="3233" t="s">
        <v>3067</v>
      </c>
    </row>
    <row r="61" spans="1:17" ht="14.25" customHeight="1">
      <c r="A61" s="3233" t="s">
        <v>110</v>
      </c>
      <c r="B61" s="3233" t="s">
        <v>170</v>
      </c>
      <c r="C61" s="3233">
        <v>21330</v>
      </c>
      <c r="D61" s="3233">
        <v>18640</v>
      </c>
      <c r="E61" s="3233">
        <v>21190</v>
      </c>
      <c r="F61" s="3233">
        <v>4180</v>
      </c>
      <c r="G61" s="3233">
        <v>12650</v>
      </c>
      <c r="N61" s="3233" t="s">
        <v>3068</v>
      </c>
    </row>
    <row r="62" spans="1:17" ht="14.25" customHeight="1">
      <c r="A62" s="3233" t="s">
        <v>110</v>
      </c>
      <c r="B62" s="3233" t="s">
        <v>177</v>
      </c>
      <c r="C62" s="3233">
        <v>18710</v>
      </c>
      <c r="D62" s="3233">
        <v>19400</v>
      </c>
      <c r="E62" s="3233">
        <v>23750</v>
      </c>
      <c r="F62" s="3233">
        <v>4860</v>
      </c>
      <c r="G62" s="3233">
        <v>13170</v>
      </c>
      <c r="N62" s="3233" t="s">
        <v>3069</v>
      </c>
    </row>
    <row r="63" spans="1:17" ht="14.25" customHeight="1">
      <c r="A63" s="3233" t="s">
        <v>110</v>
      </c>
      <c r="B63" s="3233" t="s">
        <v>187</v>
      </c>
      <c r="C63" s="3233">
        <v>19480</v>
      </c>
      <c r="D63" s="3233">
        <v>16830</v>
      </c>
      <c r="E63" s="3233">
        <v>21590</v>
      </c>
      <c r="F63" s="3233">
        <v>4560</v>
      </c>
      <c r="G63" s="3233">
        <v>11420</v>
      </c>
      <c r="N63" s="3233" t="s">
        <v>3070</v>
      </c>
    </row>
    <row r="64" spans="1:17" ht="14.25" customHeight="1" thickBot="1">
      <c r="A64" s="3233" t="s">
        <v>110</v>
      </c>
      <c r="B64" s="3233" t="s">
        <v>196</v>
      </c>
      <c r="C64" s="3233">
        <v>16920</v>
      </c>
      <c r="D64" s="3233">
        <v>19190</v>
      </c>
      <c r="E64" s="3233">
        <v>22200</v>
      </c>
      <c r="F64" s="3233">
        <v>4390</v>
      </c>
      <c r="G64" s="3233">
        <v>13030</v>
      </c>
      <c r="N64" s="3240" t="s">
        <v>3071</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2942</v>
      </c>
      <c r="C78" s="3233">
        <v>19820</v>
      </c>
      <c r="D78" s="3233">
        <v>19780</v>
      </c>
      <c r="E78" s="3233">
        <v>18560</v>
      </c>
      <c r="F78" s="3233"/>
      <c r="G78" s="3233">
        <v>13430</v>
      </c>
    </row>
    <row r="79" spans="1:7" s="3222" customFormat="1" ht="14.25" customHeight="1">
      <c r="A79" s="3233" t="s">
        <v>110</v>
      </c>
      <c r="B79" s="3233" t="s">
        <v>2945</v>
      </c>
      <c r="C79" s="3233">
        <v>21660</v>
      </c>
      <c r="D79" s="3233">
        <v>18000</v>
      </c>
      <c r="E79" s="3233">
        <v>22570</v>
      </c>
      <c r="F79" s="3233"/>
      <c r="G79" s="3233">
        <v>12220</v>
      </c>
    </row>
    <row r="80" spans="1:7" s="3222" customFormat="1" ht="14.25" customHeight="1">
      <c r="A80" s="3233" t="s">
        <v>110</v>
      </c>
      <c r="B80" s="3233" t="s">
        <v>2949</v>
      </c>
      <c r="C80" s="3233">
        <v>19850</v>
      </c>
      <c r="D80" s="3233"/>
      <c r="E80" s="3233">
        <v>21700</v>
      </c>
      <c r="F80" s="3233"/>
      <c r="G80" s="3233"/>
    </row>
    <row r="81" spans="1:7" s="3222" customFormat="1" ht="14.25" customHeight="1">
      <c r="A81" s="3233" t="s">
        <v>110</v>
      </c>
      <c r="B81" s="3233" t="s">
        <v>2954</v>
      </c>
      <c r="C81" s="3233">
        <v>18080</v>
      </c>
      <c r="D81" s="3233"/>
      <c r="E81" s="3233">
        <v>20900</v>
      </c>
      <c r="F81" s="3233"/>
      <c r="G81" s="3233"/>
    </row>
    <row r="82" spans="1:7" s="3222" customFormat="1" ht="14.25" customHeight="1">
      <c r="A82" s="3233" t="s">
        <v>110</v>
      </c>
      <c r="B82" s="3233" t="s">
        <v>2961</v>
      </c>
      <c r="C82" s="3233"/>
      <c r="D82" s="3233"/>
      <c r="E82" s="3233">
        <v>20840</v>
      </c>
      <c r="F82" s="3233"/>
      <c r="G82" s="3233"/>
    </row>
    <row r="83" spans="1:7" s="3222" customFormat="1" ht="14.25" customHeight="1">
      <c r="A83" s="3233" t="s">
        <v>110</v>
      </c>
      <c r="B83" s="3233" t="s">
        <v>3072</v>
      </c>
      <c r="C83" s="3233"/>
      <c r="D83" s="3233"/>
      <c r="E83" s="3233"/>
      <c r="F83" s="3233">
        <v>4770</v>
      </c>
      <c r="G83" s="3233"/>
    </row>
    <row r="84" spans="1:7" s="3222" customFormat="1" ht="14.25" customHeight="1">
      <c r="A84" s="3233" t="s">
        <v>110</v>
      </c>
      <c r="B84" s="3233" t="s">
        <v>3073</v>
      </c>
      <c r="C84" s="3233"/>
      <c r="D84" s="3233"/>
      <c r="E84" s="3233"/>
      <c r="F84" s="3233">
        <v>4600</v>
      </c>
      <c r="G84" s="3233"/>
    </row>
    <row r="85" spans="1:7" s="3222" customFormat="1" ht="14.25" customHeight="1">
      <c r="A85" s="3233" t="s">
        <v>110</v>
      </c>
      <c r="B85" s="3233" t="s">
        <v>3074</v>
      </c>
      <c r="C85" s="3233"/>
      <c r="D85" s="3233"/>
      <c r="E85" s="3233"/>
      <c r="F85" s="3233">
        <v>4680</v>
      </c>
      <c r="G85" s="3233"/>
    </row>
    <row r="86" spans="1:7" s="3222" customFormat="1" ht="14.25" customHeight="1" thickBot="1">
      <c r="A86" s="3241" t="s">
        <v>110</v>
      </c>
      <c r="B86" s="3243" t="s">
        <v>3075</v>
      </c>
      <c r="C86" s="3244">
        <v>16610</v>
      </c>
      <c r="D86" s="3244">
        <v>16540</v>
      </c>
      <c r="E86" s="3244">
        <v>18850</v>
      </c>
      <c r="F86" s="3244"/>
      <c r="G86" s="3244">
        <v>11220</v>
      </c>
    </row>
    <row r="87" spans="1:7" s="3222" customFormat="1" ht="14.25" customHeight="1">
      <c r="A87" s="3238" t="s">
        <v>303</v>
      </c>
      <c r="B87" s="3229" t="s">
        <v>3076</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2955</v>
      </c>
      <c r="C113" s="3233">
        <v>15520</v>
      </c>
      <c r="D113" s="3233">
        <v>15450</v>
      </c>
      <c r="E113" s="3233"/>
      <c r="F113" s="3233"/>
      <c r="G113" s="3246">
        <v>10210</v>
      </c>
    </row>
    <row r="114" spans="1:7" s="3222" customFormat="1" ht="14.25" customHeight="1">
      <c r="A114" s="3233" t="s">
        <v>303</v>
      </c>
      <c r="B114" s="3233" t="s">
        <v>2962</v>
      </c>
      <c r="C114" s="3233">
        <v>13110</v>
      </c>
      <c r="D114" s="3233">
        <v>13050</v>
      </c>
      <c r="E114" s="3233"/>
      <c r="F114" s="3233"/>
      <c r="G114" s="3246">
        <v>8620</v>
      </c>
    </row>
    <row r="115" spans="1:7" s="3222" customFormat="1" ht="14.25" customHeight="1">
      <c r="A115" s="3233" t="s">
        <v>303</v>
      </c>
      <c r="B115" s="3233" t="s">
        <v>2968</v>
      </c>
      <c r="C115" s="3233">
        <v>12460</v>
      </c>
      <c r="D115" s="3233">
        <v>12390</v>
      </c>
      <c r="E115" s="3233"/>
      <c r="F115" s="3233"/>
      <c r="G115" s="3246">
        <v>8190</v>
      </c>
    </row>
    <row r="116" spans="1:7" s="3222" customFormat="1" ht="14.25" customHeight="1">
      <c r="A116" s="3233" t="s">
        <v>303</v>
      </c>
      <c r="B116" s="3233" t="s">
        <v>2975</v>
      </c>
      <c r="C116" s="3233">
        <v>13580</v>
      </c>
      <c r="D116" s="3233">
        <v>13520</v>
      </c>
      <c r="E116" s="3233"/>
      <c r="F116" s="3233"/>
      <c r="G116" s="3246">
        <v>8930</v>
      </c>
    </row>
    <row r="117" spans="1:7" s="3222" customFormat="1" ht="14.25" customHeight="1">
      <c r="A117" s="3233" t="s">
        <v>303</v>
      </c>
      <c r="B117" s="3233" t="s">
        <v>2982</v>
      </c>
      <c r="C117" s="3233">
        <v>17120</v>
      </c>
      <c r="D117" s="3233">
        <v>17040</v>
      </c>
      <c r="E117" s="3233"/>
      <c r="F117" s="3233"/>
      <c r="G117" s="3246">
        <v>11260</v>
      </c>
    </row>
    <row r="118" spans="1:7" s="3222" customFormat="1" ht="14.25" customHeight="1">
      <c r="A118" s="3233" t="s">
        <v>303</v>
      </c>
      <c r="B118" s="3233" t="s">
        <v>2987</v>
      </c>
      <c r="C118" s="3233">
        <v>14860</v>
      </c>
      <c r="D118" s="3233">
        <v>14790</v>
      </c>
      <c r="E118" s="3233"/>
      <c r="F118" s="3233"/>
      <c r="G118" s="3246">
        <v>9780</v>
      </c>
    </row>
    <row r="119" spans="1:7" s="3222" customFormat="1" ht="14.25" customHeight="1">
      <c r="A119" s="3233" t="s">
        <v>303</v>
      </c>
      <c r="B119" s="3233" t="s">
        <v>2991</v>
      </c>
      <c r="C119" s="3233">
        <v>16470</v>
      </c>
      <c r="D119" s="3233">
        <v>16400</v>
      </c>
      <c r="E119" s="3233"/>
      <c r="F119" s="3233"/>
      <c r="G119" s="3246">
        <v>10840</v>
      </c>
    </row>
    <row r="120" spans="1:7" s="3222" customFormat="1" ht="14.25" customHeight="1">
      <c r="A120" s="3233" t="s">
        <v>303</v>
      </c>
      <c r="B120" s="3233" t="s">
        <v>3077</v>
      </c>
      <c r="C120" s="3233"/>
      <c r="D120" s="3233"/>
      <c r="E120" s="3233"/>
      <c r="F120" s="3233">
        <v>4160</v>
      </c>
      <c r="G120" s="3246"/>
    </row>
    <row r="121" spans="1:7" s="3222" customFormat="1" ht="14.25" customHeight="1">
      <c r="A121" s="3233" t="s">
        <v>303</v>
      </c>
      <c r="B121" s="3233" t="s">
        <v>3078</v>
      </c>
      <c r="C121" s="3233"/>
      <c r="D121" s="3233"/>
      <c r="E121" s="3233"/>
      <c r="F121" s="3233">
        <v>3880</v>
      </c>
      <c r="G121" s="3246"/>
    </row>
    <row r="122" spans="1:7" s="3222" customFormat="1" ht="14.25" customHeight="1">
      <c r="A122" s="3233" t="s">
        <v>303</v>
      </c>
      <c r="B122" s="3233" t="s">
        <v>3079</v>
      </c>
      <c r="C122" s="3233">
        <v>13750</v>
      </c>
      <c r="D122" s="3233">
        <v>13680</v>
      </c>
      <c r="E122" s="3233">
        <v>16460</v>
      </c>
      <c r="F122" s="3233">
        <v>2880</v>
      </c>
      <c r="G122" s="3246">
        <v>9040</v>
      </c>
    </row>
    <row r="123" spans="1:7" s="3222" customFormat="1" ht="14.25" customHeight="1">
      <c r="A123" s="3233" t="s">
        <v>303</v>
      </c>
      <c r="B123" s="3233" t="s">
        <v>3010</v>
      </c>
      <c r="C123" s="3233">
        <v>13590</v>
      </c>
      <c r="D123" s="3233">
        <v>13520</v>
      </c>
      <c r="E123" s="3233">
        <v>16290</v>
      </c>
      <c r="F123" s="3233">
        <v>2790</v>
      </c>
      <c r="G123" s="3246">
        <v>8930</v>
      </c>
    </row>
    <row r="124" spans="1:7" s="3222" customFormat="1" ht="14.25" customHeight="1">
      <c r="A124" s="3233" t="s">
        <v>303</v>
      </c>
      <c r="B124" s="3233" t="s">
        <v>3015</v>
      </c>
      <c r="C124" s="3233">
        <v>13400</v>
      </c>
      <c r="D124" s="3233">
        <v>13320</v>
      </c>
      <c r="E124" s="3233">
        <v>16100</v>
      </c>
      <c r="F124" s="3233">
        <v>2320</v>
      </c>
      <c r="G124" s="3246">
        <v>8800</v>
      </c>
    </row>
    <row r="125" spans="1:7" s="3222" customFormat="1" ht="14.25" customHeight="1">
      <c r="A125" s="3233" t="s">
        <v>303</v>
      </c>
      <c r="B125" s="3233" t="s">
        <v>3020</v>
      </c>
      <c r="C125" s="3233">
        <v>12860</v>
      </c>
      <c r="D125" s="3233">
        <v>12790</v>
      </c>
      <c r="E125" s="3233">
        <v>15370</v>
      </c>
      <c r="F125" s="3233">
        <v>2280</v>
      </c>
      <c r="G125" s="3246">
        <v>8450</v>
      </c>
    </row>
    <row r="126" spans="1:7" s="3222" customFormat="1" ht="14.25" customHeight="1" thickBot="1">
      <c r="A126" s="3247" t="s">
        <v>303</v>
      </c>
      <c r="B126" s="3240" t="s">
        <v>3025</v>
      </c>
      <c r="C126" s="3240">
        <v>12960</v>
      </c>
      <c r="D126" s="3240">
        <v>12890</v>
      </c>
      <c r="E126" s="3240">
        <v>15530</v>
      </c>
      <c r="F126" s="3240">
        <v>2910</v>
      </c>
      <c r="G126" s="3248">
        <v>8520</v>
      </c>
    </row>
    <row r="127" spans="1:7" s="3222" customFormat="1" ht="14.25" customHeight="1">
      <c r="A127" s="3238" t="s">
        <v>29</v>
      </c>
      <c r="B127" s="3229" t="s">
        <v>3080</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3081</v>
      </c>
      <c r="C148" s="3233">
        <v>10370</v>
      </c>
      <c r="D148" s="3233">
        <v>10310</v>
      </c>
      <c r="E148" s="3233">
        <v>12970</v>
      </c>
      <c r="F148" s="3233"/>
      <c r="G148" s="3233">
        <v>6630</v>
      </c>
    </row>
    <row r="149" spans="1:7" s="3222" customFormat="1" ht="14.25" customHeight="1">
      <c r="A149" s="3233" t="s">
        <v>29</v>
      </c>
      <c r="B149" s="3233" t="s">
        <v>3082</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2956</v>
      </c>
      <c r="C153" s="3233">
        <v>10880</v>
      </c>
      <c r="D153" s="3233">
        <v>10820</v>
      </c>
      <c r="E153" s="3233">
        <v>13660</v>
      </c>
      <c r="F153" s="3233">
        <v>2260</v>
      </c>
      <c r="G153" s="3233">
        <v>6970</v>
      </c>
    </row>
    <row r="154" spans="1:7" s="3222" customFormat="1" ht="14.25" customHeight="1">
      <c r="A154" s="3233" t="s">
        <v>29</v>
      </c>
      <c r="B154" s="3233" t="s">
        <v>3083</v>
      </c>
      <c r="C154" s="3233">
        <v>11220</v>
      </c>
      <c r="D154" s="3233">
        <v>11160</v>
      </c>
      <c r="E154" s="3233">
        <v>14130</v>
      </c>
      <c r="F154" s="3233">
        <v>2230</v>
      </c>
      <c r="G154" s="3233">
        <v>7180</v>
      </c>
    </row>
    <row r="155" spans="1:7" s="3222" customFormat="1" ht="14.25" customHeight="1">
      <c r="A155" s="3233" t="s">
        <v>29</v>
      </c>
      <c r="B155" s="3233" t="s">
        <v>2969</v>
      </c>
      <c r="C155" s="3233">
        <v>10430</v>
      </c>
      <c r="D155" s="3233">
        <v>10380</v>
      </c>
      <c r="E155" s="3233">
        <v>13140</v>
      </c>
      <c r="F155" s="3233">
        <v>2080</v>
      </c>
      <c r="G155" s="3233">
        <v>6650</v>
      </c>
    </row>
    <row r="156" spans="1:7" s="3222" customFormat="1" ht="14.25" customHeight="1">
      <c r="A156" s="3233" t="s">
        <v>29</v>
      </c>
      <c r="B156" s="3233" t="s">
        <v>3084</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3085</v>
      </c>
      <c r="C160" s="3233">
        <v>11180</v>
      </c>
      <c r="D160" s="3233">
        <v>11140</v>
      </c>
      <c r="E160" s="3233">
        <v>14050</v>
      </c>
      <c r="F160" s="3233">
        <v>2270</v>
      </c>
      <c r="G160" s="3233">
        <v>7170</v>
      </c>
    </row>
    <row r="161" spans="1:7" s="3222" customFormat="1" ht="14.25" customHeight="1">
      <c r="A161" s="3233" t="s">
        <v>29</v>
      </c>
      <c r="B161" s="3233" t="s">
        <v>3001</v>
      </c>
      <c r="C161" s="3233">
        <v>11160</v>
      </c>
      <c r="D161" s="3233">
        <v>11120</v>
      </c>
      <c r="E161" s="3233">
        <v>14020</v>
      </c>
      <c r="F161" s="3233">
        <v>2150</v>
      </c>
      <c r="G161" s="3233">
        <v>7160</v>
      </c>
    </row>
    <row r="162" spans="1:7" s="3222" customFormat="1" ht="14.25" customHeight="1">
      <c r="A162" s="3233" t="s">
        <v>29</v>
      </c>
      <c r="B162" s="3233" t="s">
        <v>3006</v>
      </c>
      <c r="C162" s="3233">
        <v>9620</v>
      </c>
      <c r="D162" s="3233">
        <v>9570</v>
      </c>
      <c r="E162" s="3233">
        <v>12320</v>
      </c>
      <c r="F162" s="3233">
        <v>2010</v>
      </c>
      <c r="G162" s="3233">
        <v>6160</v>
      </c>
    </row>
    <row r="163" spans="1:7" s="3222" customFormat="1" ht="14.25" customHeight="1">
      <c r="A163" s="3233" t="s">
        <v>29</v>
      </c>
      <c r="B163" s="3233" t="s">
        <v>3011</v>
      </c>
      <c r="C163" s="3233">
        <v>9320</v>
      </c>
      <c r="D163" s="3233">
        <v>9270</v>
      </c>
      <c r="E163" s="3233">
        <v>11790</v>
      </c>
      <c r="F163" s="3233">
        <v>1920</v>
      </c>
      <c r="G163" s="3233">
        <v>5960</v>
      </c>
    </row>
    <row r="164" spans="1:7" s="3222" customFormat="1" ht="14.25" customHeight="1">
      <c r="A164" s="3233" t="s">
        <v>29</v>
      </c>
      <c r="B164" s="3233" t="s">
        <v>3016</v>
      </c>
      <c r="C164" s="3233"/>
      <c r="D164" s="3233"/>
      <c r="E164" s="3233"/>
      <c r="F164" s="3233">
        <v>1980</v>
      </c>
      <c r="G164" s="3233"/>
    </row>
    <row r="165" spans="1:7" s="3222" customFormat="1" ht="14.25" customHeight="1">
      <c r="A165" s="3233" t="s">
        <v>29</v>
      </c>
      <c r="B165" s="3233" t="s">
        <v>3086</v>
      </c>
      <c r="C165" s="3233">
        <v>11060</v>
      </c>
      <c r="D165" s="3233">
        <v>11030</v>
      </c>
      <c r="E165" s="3233">
        <v>13850</v>
      </c>
      <c r="F165" s="3233">
        <v>2170</v>
      </c>
      <c r="G165" s="3233">
        <v>7090</v>
      </c>
    </row>
    <row r="166" spans="1:7" s="3222" customFormat="1" ht="14.25" customHeight="1">
      <c r="A166" s="3233" t="s">
        <v>29</v>
      </c>
      <c r="B166" s="3233" t="s">
        <v>3026</v>
      </c>
      <c r="C166" s="3233">
        <v>11050</v>
      </c>
      <c r="D166" s="3233">
        <v>11010</v>
      </c>
      <c r="E166" s="3233">
        <v>13920</v>
      </c>
      <c r="F166" s="3233">
        <v>2140</v>
      </c>
      <c r="G166" s="3233">
        <v>7080</v>
      </c>
    </row>
    <row r="167" spans="1:7" s="3222" customFormat="1" ht="14.25" customHeight="1">
      <c r="A167" s="3233" t="s">
        <v>29</v>
      </c>
      <c r="B167" s="3233" t="s">
        <v>3030</v>
      </c>
      <c r="C167" s="3233">
        <v>10930</v>
      </c>
      <c r="D167" s="3233">
        <v>10890</v>
      </c>
      <c r="E167" s="3233">
        <v>13790</v>
      </c>
      <c r="F167" s="3233">
        <v>2010</v>
      </c>
      <c r="G167" s="3233">
        <v>7000</v>
      </c>
    </row>
    <row r="168" spans="1:7" s="3222" customFormat="1" ht="14.25" customHeight="1">
      <c r="A168" s="3233" t="s">
        <v>29</v>
      </c>
      <c r="B168" s="3233" t="s">
        <v>3035</v>
      </c>
      <c r="C168" s="3233">
        <v>9420</v>
      </c>
      <c r="D168" s="3233">
        <v>9380</v>
      </c>
      <c r="E168" s="3233">
        <v>11970</v>
      </c>
      <c r="F168" s="3233"/>
      <c r="G168" s="3233">
        <v>6040</v>
      </c>
    </row>
    <row r="169" spans="1:7" s="3222" customFormat="1" ht="14.25" customHeight="1">
      <c r="A169" s="3233" t="s">
        <v>29</v>
      </c>
      <c r="B169" s="3233" t="s">
        <v>3087</v>
      </c>
      <c r="C169" s="3233"/>
      <c r="D169" s="3233"/>
      <c r="E169" s="3233"/>
      <c r="F169" s="3233">
        <v>2880</v>
      </c>
      <c r="G169" s="3233"/>
    </row>
    <row r="170" spans="1:7" s="3222" customFormat="1" ht="14.25" customHeight="1">
      <c r="A170" s="3233" t="s">
        <v>29</v>
      </c>
      <c r="B170" s="3233" t="s">
        <v>3043</v>
      </c>
      <c r="C170" s="3233"/>
      <c r="D170" s="3233"/>
      <c r="E170" s="3233"/>
      <c r="F170" s="3233">
        <v>2880</v>
      </c>
      <c r="G170" s="3233"/>
    </row>
    <row r="171" spans="1:7" s="3222" customFormat="1" ht="14.25" customHeight="1">
      <c r="A171" s="3233" t="s">
        <v>29</v>
      </c>
      <c r="B171" s="3233" t="s">
        <v>3046</v>
      </c>
      <c r="C171" s="3233"/>
      <c r="D171" s="3233"/>
      <c r="E171" s="3233"/>
      <c r="F171" s="3233">
        <v>2880</v>
      </c>
      <c r="G171" s="3233"/>
    </row>
    <row r="172" spans="1:7" s="3222" customFormat="1" ht="14.25" customHeight="1">
      <c r="A172" s="3233" t="s">
        <v>29</v>
      </c>
      <c r="B172" s="3233" t="s">
        <v>3048</v>
      </c>
      <c r="C172" s="3233"/>
      <c r="D172" s="3233"/>
      <c r="E172" s="3233"/>
      <c r="F172" s="3233">
        <v>2880</v>
      </c>
      <c r="G172" s="3233"/>
    </row>
    <row r="173" spans="1:7" s="3222" customFormat="1" ht="14.25" customHeight="1">
      <c r="A173" s="3233" t="s">
        <v>29</v>
      </c>
      <c r="B173" s="3233" t="s">
        <v>3050</v>
      </c>
      <c r="C173" s="3233"/>
      <c r="D173" s="3233"/>
      <c r="E173" s="3233"/>
      <c r="F173" s="3233">
        <v>2150</v>
      </c>
      <c r="G173" s="3233"/>
    </row>
    <row r="174" spans="1:7" s="3222" customFormat="1" ht="14.25" customHeight="1">
      <c r="A174" s="3233" t="s">
        <v>29</v>
      </c>
      <c r="B174" s="3233" t="s">
        <v>3052</v>
      </c>
      <c r="C174" s="3233"/>
      <c r="D174" s="3233"/>
      <c r="E174" s="3233"/>
      <c r="F174" s="3233">
        <v>2030</v>
      </c>
      <c r="G174" s="3233"/>
    </row>
    <row r="175" spans="1:7" s="3222" customFormat="1" ht="14.25" customHeight="1">
      <c r="A175" s="3233" t="s">
        <v>29</v>
      </c>
      <c r="B175" s="3233" t="s">
        <v>3054</v>
      </c>
      <c r="C175" s="3233"/>
      <c r="D175" s="3233"/>
      <c r="E175" s="3233"/>
      <c r="F175" s="3233">
        <v>2780</v>
      </c>
      <c r="G175" s="3233"/>
    </row>
    <row r="176" spans="1:7" s="3222" customFormat="1" ht="14.25" customHeight="1">
      <c r="A176" s="3233" t="s">
        <v>29</v>
      </c>
      <c r="B176" s="3233" t="s">
        <v>3056</v>
      </c>
      <c r="C176" s="3233"/>
      <c r="D176" s="3233"/>
      <c r="E176" s="3233"/>
      <c r="F176" s="3233">
        <v>2780</v>
      </c>
      <c r="G176" s="3233"/>
    </row>
    <row r="177" spans="1:7" s="3222" customFormat="1" ht="14.25" customHeight="1">
      <c r="A177" s="3233" t="s">
        <v>29</v>
      </c>
      <c r="B177" s="3233" t="s">
        <v>3088</v>
      </c>
      <c r="C177" s="3233"/>
      <c r="D177" s="3233"/>
      <c r="E177" s="3233"/>
      <c r="F177" s="3233">
        <v>2780</v>
      </c>
      <c r="G177" s="3233"/>
    </row>
    <row r="178" spans="1:7" s="3222" customFormat="1" ht="14.25" customHeight="1">
      <c r="A178" s="3233" t="s">
        <v>29</v>
      </c>
      <c r="B178" s="3233" t="s">
        <v>3089</v>
      </c>
      <c r="C178" s="3233"/>
      <c r="D178" s="3233"/>
      <c r="E178" s="3233"/>
      <c r="F178" s="3233">
        <v>2060</v>
      </c>
      <c r="G178" s="3233"/>
    </row>
    <row r="179" spans="1:7" s="3222" customFormat="1" ht="14.25" customHeight="1">
      <c r="A179" s="3233" t="s">
        <v>29</v>
      </c>
      <c r="B179" s="3233" t="s">
        <v>3090</v>
      </c>
      <c r="C179" s="3233"/>
      <c r="D179" s="3233"/>
      <c r="E179" s="3233"/>
      <c r="F179" s="3233">
        <v>2120</v>
      </c>
      <c r="G179" s="3233"/>
    </row>
    <row r="180" spans="1:7" s="3222" customFormat="1" ht="14.25" customHeight="1">
      <c r="A180" s="3233" t="s">
        <v>29</v>
      </c>
      <c r="B180" s="3233" t="s">
        <v>3062</v>
      </c>
      <c r="C180" s="3233"/>
      <c r="D180" s="3233"/>
      <c r="E180" s="3233"/>
      <c r="F180" s="3233">
        <v>2340</v>
      </c>
      <c r="G180" s="3233"/>
    </row>
    <row r="181" spans="1:7" s="3222" customFormat="1" ht="14.25" customHeight="1">
      <c r="A181" s="3233" t="s">
        <v>29</v>
      </c>
      <c r="B181" s="3233" t="s">
        <v>3063</v>
      </c>
      <c r="C181" s="3233"/>
      <c r="D181" s="3233"/>
      <c r="E181" s="3233"/>
      <c r="F181" s="3233">
        <v>2340</v>
      </c>
      <c r="G181" s="3233"/>
    </row>
    <row r="182" spans="1:7" s="3222" customFormat="1" ht="14.25" customHeight="1">
      <c r="A182" s="3233" t="s">
        <v>29</v>
      </c>
      <c r="B182" s="3233" t="s">
        <v>3064</v>
      </c>
      <c r="C182" s="3233"/>
      <c r="D182" s="3233"/>
      <c r="E182" s="3233"/>
      <c r="F182" s="3233">
        <v>2340</v>
      </c>
      <c r="G182" s="3233"/>
    </row>
    <row r="183" spans="1:7" s="3222" customFormat="1" ht="14.25" customHeight="1">
      <c r="A183" s="3233" t="s">
        <v>29</v>
      </c>
      <c r="B183" s="3233" t="s">
        <v>3065</v>
      </c>
      <c r="C183" s="3233"/>
      <c r="D183" s="3233"/>
      <c r="E183" s="3233"/>
      <c r="F183" s="3233">
        <v>2340</v>
      </c>
      <c r="G183" s="3233"/>
    </row>
    <row r="184" spans="1:7" s="3222" customFormat="1" ht="14.25" customHeight="1">
      <c r="A184" s="3233" t="s">
        <v>29</v>
      </c>
      <c r="B184" s="3233" t="s">
        <v>3066</v>
      </c>
      <c r="C184" s="3233"/>
      <c r="D184" s="3233"/>
      <c r="E184" s="3233"/>
      <c r="F184" s="3233">
        <v>2340</v>
      </c>
      <c r="G184" s="3233"/>
    </row>
    <row r="185" spans="1:7" s="3222" customFormat="1" ht="14.25" customHeight="1">
      <c r="A185" s="3233" t="s">
        <v>29</v>
      </c>
      <c r="B185" s="3233" t="s">
        <v>3067</v>
      </c>
      <c r="C185" s="3233"/>
      <c r="D185" s="3233"/>
      <c r="E185" s="3233"/>
      <c r="F185" s="3233">
        <v>2530</v>
      </c>
      <c r="G185" s="3233"/>
    </row>
    <row r="186" spans="1:7" s="3222" customFormat="1" ht="14.25" customHeight="1">
      <c r="A186" s="3233" t="s">
        <v>29</v>
      </c>
      <c r="B186" s="3233" t="s">
        <v>3068</v>
      </c>
      <c r="C186" s="3233"/>
      <c r="D186" s="3233"/>
      <c r="E186" s="3233"/>
      <c r="F186" s="3233">
        <v>2550</v>
      </c>
      <c r="G186" s="3233"/>
    </row>
    <row r="187" spans="1:7" s="3222" customFormat="1" ht="14.25" customHeight="1">
      <c r="A187" s="3233" t="s">
        <v>29</v>
      </c>
      <c r="B187" s="3233" t="s">
        <v>3069</v>
      </c>
      <c r="C187" s="3233"/>
      <c r="D187" s="3233"/>
      <c r="E187" s="3233"/>
      <c r="F187" s="3233">
        <v>2070</v>
      </c>
      <c r="G187" s="3233"/>
    </row>
    <row r="188" spans="1:7" s="3222" customFormat="1" ht="14.25" customHeight="1">
      <c r="A188" s="3233" t="s">
        <v>29</v>
      </c>
      <c r="B188" s="3233" t="s">
        <v>3070</v>
      </c>
      <c r="C188" s="3233"/>
      <c r="D188" s="3233"/>
      <c r="E188" s="3233"/>
      <c r="F188" s="3233">
        <v>2340</v>
      </c>
      <c r="G188" s="3233"/>
    </row>
    <row r="189" spans="1:7" s="3222" customFormat="1" ht="14.25" customHeight="1" thickBot="1">
      <c r="A189" s="3241" t="s">
        <v>29</v>
      </c>
      <c r="B189" s="3244" t="s">
        <v>3071</v>
      </c>
      <c r="C189" s="3244"/>
      <c r="D189" s="3244"/>
      <c r="E189" s="3244"/>
      <c r="F189" s="3244">
        <v>2050</v>
      </c>
      <c r="G189" s="3244"/>
    </row>
    <row r="190" spans="1:7" s="3222" customFormat="1" ht="14.25" customHeight="1">
      <c r="A190" s="3238" t="s">
        <v>304</v>
      </c>
      <c r="B190" s="3229" t="s">
        <v>3091</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3092</v>
      </c>
      <c r="C199" s="3233">
        <v>8690</v>
      </c>
      <c r="D199" s="3233">
        <v>8630</v>
      </c>
      <c r="E199" s="3233">
        <v>11350</v>
      </c>
      <c r="F199" s="3233">
        <v>1600</v>
      </c>
      <c r="G199" s="3246">
        <v>5450</v>
      </c>
    </row>
    <row r="200" spans="1:7" s="3222" customFormat="1" ht="14.25" customHeight="1">
      <c r="A200" s="3233" t="s">
        <v>304</v>
      </c>
      <c r="B200" s="3233" t="s">
        <v>2903</v>
      </c>
      <c r="C200" s="3233"/>
      <c r="D200" s="3233"/>
      <c r="E200" s="3233"/>
      <c r="F200" s="3233">
        <v>1510</v>
      </c>
      <c r="G200" s="3246"/>
    </row>
    <row r="201" spans="1:7" s="3222" customFormat="1" ht="14.25" customHeight="1">
      <c r="A201" s="3233" t="s">
        <v>304</v>
      </c>
      <c r="B201" s="3233" t="s">
        <v>3093</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3094</v>
      </c>
      <c r="C203" s="3233">
        <v>8130</v>
      </c>
      <c r="D203" s="3233">
        <v>8070</v>
      </c>
      <c r="E203" s="3233">
        <v>10820</v>
      </c>
      <c r="F203" s="3233">
        <v>1690</v>
      </c>
      <c r="G203" s="3246">
        <v>5100</v>
      </c>
    </row>
    <row r="204" spans="1:7" s="3222" customFormat="1" ht="14.25" customHeight="1">
      <c r="A204" s="3233" t="s">
        <v>304</v>
      </c>
      <c r="B204" s="3233" t="s">
        <v>2914</v>
      </c>
      <c r="C204" s="3233">
        <v>8350</v>
      </c>
      <c r="D204" s="3233">
        <v>8290</v>
      </c>
      <c r="E204" s="3233">
        <v>11080</v>
      </c>
      <c r="F204" s="3233">
        <v>1450</v>
      </c>
      <c r="G204" s="3246">
        <v>5240</v>
      </c>
    </row>
    <row r="205" spans="1:7" s="3222" customFormat="1" ht="14.25" customHeight="1">
      <c r="A205" s="3233" t="s">
        <v>304</v>
      </c>
      <c r="B205" s="3233" t="s">
        <v>2916</v>
      </c>
      <c r="C205" s="3233">
        <v>7190</v>
      </c>
      <c r="D205" s="3233">
        <v>7130</v>
      </c>
      <c r="E205" s="3233">
        <v>9490</v>
      </c>
      <c r="F205" s="3233">
        <v>1470</v>
      </c>
      <c r="G205" s="3246">
        <v>4510</v>
      </c>
    </row>
    <row r="206" spans="1:7" s="3222" customFormat="1" ht="14.25" customHeight="1">
      <c r="A206" s="3233" t="s">
        <v>304</v>
      </c>
      <c r="B206" s="3233" t="s">
        <v>2919</v>
      </c>
      <c r="C206" s="3233">
        <v>7000</v>
      </c>
      <c r="D206" s="3233">
        <v>6950</v>
      </c>
      <c r="E206" s="3233">
        <v>9170</v>
      </c>
      <c r="F206" s="3233">
        <v>1400</v>
      </c>
      <c r="G206" s="3246">
        <v>4380</v>
      </c>
    </row>
    <row r="207" spans="1:7" s="3222" customFormat="1" ht="14.25" customHeight="1">
      <c r="A207" s="3233" t="s">
        <v>304</v>
      </c>
      <c r="B207" s="3233" t="s">
        <v>2921</v>
      </c>
      <c r="C207" s="3233">
        <v>6950</v>
      </c>
      <c r="D207" s="3233">
        <v>6900</v>
      </c>
      <c r="E207" s="3233">
        <v>9110</v>
      </c>
      <c r="F207" s="3233">
        <v>1790</v>
      </c>
      <c r="G207" s="3246">
        <v>4360</v>
      </c>
    </row>
    <row r="208" spans="1:7" s="3222" customFormat="1" ht="14.25" customHeight="1">
      <c r="A208" s="3233" t="s">
        <v>304</v>
      </c>
      <c r="B208" s="3233" t="s">
        <v>3095</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2931</v>
      </c>
      <c r="C210" s="3233">
        <v>8710</v>
      </c>
      <c r="D210" s="3233">
        <v>8660</v>
      </c>
      <c r="E210" s="3233">
        <v>11440</v>
      </c>
      <c r="F210" s="3233">
        <v>1740</v>
      </c>
      <c r="G210" s="3246">
        <v>5470</v>
      </c>
    </row>
    <row r="211" spans="1:7" s="3222" customFormat="1" ht="14.25" customHeight="1">
      <c r="A211" s="3233" t="s">
        <v>304</v>
      </c>
      <c r="B211" s="3233" t="s">
        <v>3096</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3097</v>
      </c>
      <c r="C214" s="3233">
        <v>8090</v>
      </c>
      <c r="D214" s="3233">
        <v>8030</v>
      </c>
      <c r="E214" s="3233">
        <v>10780</v>
      </c>
      <c r="F214" s="3233">
        <v>1570</v>
      </c>
      <c r="G214" s="3246">
        <v>5070</v>
      </c>
    </row>
    <row r="215" spans="1:7" s="3222" customFormat="1" ht="14.25" customHeight="1">
      <c r="A215" s="3233" t="s">
        <v>304</v>
      </c>
      <c r="B215" s="3233" t="s">
        <v>3098</v>
      </c>
      <c r="C215" s="3233">
        <v>7950</v>
      </c>
      <c r="D215" s="3233">
        <v>7900</v>
      </c>
      <c r="E215" s="3233">
        <v>10560</v>
      </c>
      <c r="F215" s="3233">
        <v>1630</v>
      </c>
      <c r="G215" s="3246">
        <v>4990</v>
      </c>
    </row>
    <row r="216" spans="1:7" s="3222" customFormat="1" ht="14.25" customHeight="1">
      <c r="A216" s="3233" t="s">
        <v>304</v>
      </c>
      <c r="B216" s="3233" t="s">
        <v>3099</v>
      </c>
      <c r="C216" s="3233">
        <v>8490</v>
      </c>
      <c r="D216" s="3233">
        <v>8440</v>
      </c>
      <c r="E216" s="3233">
        <v>11260</v>
      </c>
      <c r="F216" s="3233">
        <v>1690</v>
      </c>
      <c r="G216" s="3246">
        <v>5330</v>
      </c>
    </row>
    <row r="217" spans="1:7" s="3222" customFormat="1" ht="14.25" customHeight="1">
      <c r="A217" s="3233" t="s">
        <v>304</v>
      </c>
      <c r="B217" s="3233" t="s">
        <v>2964</v>
      </c>
      <c r="C217" s="3233">
        <v>8200</v>
      </c>
      <c r="D217" s="3233">
        <v>8150</v>
      </c>
      <c r="E217" s="3233">
        <v>10910</v>
      </c>
      <c r="F217" s="3233">
        <v>1670</v>
      </c>
      <c r="G217" s="3246">
        <v>5150</v>
      </c>
    </row>
    <row r="218" spans="1:7" s="3222" customFormat="1" ht="14.25" customHeight="1">
      <c r="A218" s="3233" t="s">
        <v>304</v>
      </c>
      <c r="B218" s="3233" t="s">
        <v>3100</v>
      </c>
      <c r="C218" s="3233"/>
      <c r="D218" s="3233"/>
      <c r="E218" s="3233"/>
      <c r="F218" s="3233">
        <v>2040</v>
      </c>
      <c r="G218" s="3246"/>
    </row>
    <row r="219" spans="1:7" s="3222" customFormat="1" ht="14.25" customHeight="1">
      <c r="A219" s="3233" t="s">
        <v>304</v>
      </c>
      <c r="B219" s="3233" t="s">
        <v>3101</v>
      </c>
      <c r="C219" s="3233"/>
      <c r="D219" s="3233"/>
      <c r="E219" s="3233"/>
      <c r="F219" s="3233">
        <v>2040</v>
      </c>
      <c r="G219" s="3246"/>
    </row>
    <row r="220" spans="1:7" s="3222" customFormat="1" ht="14.25" customHeight="1">
      <c r="A220" s="3233" t="s">
        <v>304</v>
      </c>
      <c r="B220" s="3233" t="s">
        <v>3102</v>
      </c>
      <c r="C220" s="3233"/>
      <c r="D220" s="3233"/>
      <c r="E220" s="3233"/>
      <c r="F220" s="3233">
        <v>2040</v>
      </c>
      <c r="G220" s="3246"/>
    </row>
    <row r="221" spans="1:7" s="3222" customFormat="1" ht="14.25" customHeight="1">
      <c r="A221" s="3233" t="s">
        <v>304</v>
      </c>
      <c r="B221" s="3233" t="s">
        <v>3103</v>
      </c>
      <c r="C221" s="3233"/>
      <c r="D221" s="3233"/>
      <c r="E221" s="3233"/>
      <c r="F221" s="3233">
        <v>2040</v>
      </c>
      <c r="G221" s="3246"/>
    </row>
    <row r="222" spans="1:7" s="3222" customFormat="1" ht="14.25" customHeight="1">
      <c r="A222" s="3233" t="s">
        <v>304</v>
      </c>
      <c r="B222" s="3233" t="s">
        <v>3104</v>
      </c>
      <c r="C222" s="3233"/>
      <c r="D222" s="3233"/>
      <c r="E222" s="3233"/>
      <c r="F222" s="3233">
        <v>2040</v>
      </c>
      <c r="G222" s="3246"/>
    </row>
    <row r="223" spans="1:7" s="3222" customFormat="1" ht="14.25" customHeight="1">
      <c r="A223" s="3233" t="s">
        <v>304</v>
      </c>
      <c r="B223" s="3233" t="s">
        <v>3105</v>
      </c>
      <c r="C223" s="3233"/>
      <c r="D223" s="3233"/>
      <c r="E223" s="3233"/>
      <c r="F223" s="3233">
        <v>1930</v>
      </c>
      <c r="G223" s="3246"/>
    </row>
    <row r="224" spans="1:7" s="3222" customFormat="1" ht="14.25" customHeight="1">
      <c r="A224" s="3233" t="s">
        <v>304</v>
      </c>
      <c r="B224" s="3233" t="s">
        <v>3106</v>
      </c>
      <c r="C224" s="3233"/>
      <c r="D224" s="3233"/>
      <c r="E224" s="3233"/>
      <c r="F224" s="3233">
        <v>1930</v>
      </c>
      <c r="G224" s="3246"/>
    </row>
    <row r="225" spans="1:7" s="3222" customFormat="1" ht="14.25" customHeight="1">
      <c r="A225" s="3233" t="s">
        <v>304</v>
      </c>
      <c r="B225" s="3233" t="s">
        <v>3107</v>
      </c>
      <c r="C225" s="3233"/>
      <c r="D225" s="3233"/>
      <c r="E225" s="3233"/>
      <c r="F225" s="3233">
        <v>1930</v>
      </c>
      <c r="G225" s="3246"/>
    </row>
    <row r="226" spans="1:7" s="3222" customFormat="1" ht="14.25" customHeight="1">
      <c r="A226" s="3233" t="s">
        <v>304</v>
      </c>
      <c r="B226" s="3233" t="s">
        <v>3108</v>
      </c>
      <c r="C226" s="3233"/>
      <c r="D226" s="3233"/>
      <c r="E226" s="3233"/>
      <c r="F226" s="3233">
        <v>1700</v>
      </c>
      <c r="G226" s="3246"/>
    </row>
    <row r="227" spans="1:7" s="3222" customFormat="1" ht="14.25" customHeight="1">
      <c r="A227" s="3233" t="s">
        <v>304</v>
      </c>
      <c r="B227" s="3233" t="s">
        <v>3109</v>
      </c>
      <c r="C227" s="3233"/>
      <c r="D227" s="3233"/>
      <c r="E227" s="3233"/>
      <c r="F227" s="3233">
        <v>1520</v>
      </c>
      <c r="G227" s="3246"/>
    </row>
    <row r="228" spans="1:7" s="3222" customFormat="1" ht="14.25" customHeight="1">
      <c r="A228" s="3233" t="s">
        <v>304</v>
      </c>
      <c r="B228" s="3233" t="s">
        <v>3110</v>
      </c>
      <c r="C228" s="3233"/>
      <c r="D228" s="3233"/>
      <c r="E228" s="3233"/>
      <c r="F228" s="3233">
        <v>1520</v>
      </c>
      <c r="G228" s="3246"/>
    </row>
    <row r="229" spans="1:7" s="3222" customFormat="1" ht="14.25" customHeight="1">
      <c r="A229" s="3233" t="s">
        <v>304</v>
      </c>
      <c r="B229" s="3233" t="s">
        <v>3027</v>
      </c>
      <c r="C229" s="3233"/>
      <c r="D229" s="3233"/>
      <c r="E229" s="3233"/>
      <c r="F229" s="3233">
        <v>1520</v>
      </c>
      <c r="G229" s="3246"/>
    </row>
    <row r="230" spans="1:7" s="3222" customFormat="1" ht="14.25" customHeight="1">
      <c r="A230" s="3233" t="s">
        <v>304</v>
      </c>
      <c r="B230" s="3233" t="s">
        <v>3111</v>
      </c>
      <c r="C230" s="3233"/>
      <c r="D230" s="3233"/>
      <c r="E230" s="3233"/>
      <c r="F230" s="3233">
        <v>1820</v>
      </c>
      <c r="G230" s="3246"/>
    </row>
    <row r="231" spans="1:7" s="3222" customFormat="1" ht="14.25" customHeight="1">
      <c r="A231" s="3233" t="s">
        <v>304</v>
      </c>
      <c r="B231" s="3233" t="s">
        <v>3112</v>
      </c>
      <c r="C231" s="3233"/>
      <c r="D231" s="3233"/>
      <c r="E231" s="3233"/>
      <c r="F231" s="3233">
        <v>1760</v>
      </c>
      <c r="G231" s="3246"/>
    </row>
    <row r="232" spans="1:7" s="3222" customFormat="1" ht="14.25" customHeight="1">
      <c r="A232" s="3233" t="s">
        <v>304</v>
      </c>
      <c r="B232" s="3233" t="s">
        <v>3113</v>
      </c>
      <c r="C232" s="3233"/>
      <c r="D232" s="3233"/>
      <c r="E232" s="3233"/>
      <c r="F232" s="3233">
        <v>1840</v>
      </c>
      <c r="G232" s="3246"/>
    </row>
    <row r="233" spans="1:7" s="3222" customFormat="1" ht="14.25" customHeight="1" thickBot="1">
      <c r="A233" s="3247" t="s">
        <v>304</v>
      </c>
      <c r="B233" s="3240" t="s">
        <v>3044</v>
      </c>
      <c r="C233" s="3240"/>
      <c r="D233" s="3240"/>
      <c r="E233" s="3240"/>
      <c r="F233" s="3240">
        <v>1770</v>
      </c>
      <c r="G233" s="3248"/>
    </row>
    <row r="234" spans="1:7" s="3222" customFormat="1" ht="14.25" customHeight="1">
      <c r="A234" s="3238" t="s">
        <v>305</v>
      </c>
      <c r="B234" s="3229" t="s">
        <v>3114</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2885</v>
      </c>
      <c r="C238" s="3233">
        <v>6920</v>
      </c>
      <c r="D238" s="3233">
        <v>6890</v>
      </c>
      <c r="E238" s="3233">
        <v>8640</v>
      </c>
      <c r="F238" s="3233">
        <v>1310</v>
      </c>
      <c r="G238" s="3233">
        <v>4230</v>
      </c>
    </row>
    <row r="239" spans="1:7" s="3222" customFormat="1" ht="14.25" customHeight="1">
      <c r="A239" s="3233" t="s">
        <v>305</v>
      </c>
      <c r="B239" s="3233" t="s">
        <v>3115</v>
      </c>
      <c r="C239" s="3233">
        <v>6780</v>
      </c>
      <c r="D239" s="3233">
        <v>6750</v>
      </c>
      <c r="E239" s="3233">
        <v>8440</v>
      </c>
      <c r="F239" s="3233">
        <v>1160</v>
      </c>
      <c r="G239" s="3233">
        <v>4140</v>
      </c>
    </row>
    <row r="240" spans="1:7" s="3222" customFormat="1" ht="14.25" customHeight="1">
      <c r="A240" s="3233" t="s">
        <v>305</v>
      </c>
      <c r="B240" s="3233" t="s">
        <v>3116</v>
      </c>
      <c r="C240" s="3233">
        <v>5420</v>
      </c>
      <c r="D240" s="3233">
        <v>5380</v>
      </c>
      <c r="E240" s="3233">
        <v>6640</v>
      </c>
      <c r="F240" s="3233">
        <v>1020</v>
      </c>
      <c r="G240" s="3233">
        <v>3300</v>
      </c>
    </row>
    <row r="241" spans="1:7" s="3222" customFormat="1" ht="14.25" customHeight="1">
      <c r="A241" s="3233" t="s">
        <v>305</v>
      </c>
      <c r="B241" s="3233" t="s">
        <v>3117</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3118</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3119</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3120</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3121</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3122</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2947</v>
      </c>
      <c r="C258" s="3233">
        <v>6190</v>
      </c>
      <c r="D258" s="3233">
        <v>6160</v>
      </c>
      <c r="E258" s="3233">
        <v>7680</v>
      </c>
      <c r="F258" s="3233">
        <v>1170</v>
      </c>
      <c r="G258" s="3233">
        <v>3780</v>
      </c>
    </row>
    <row r="259" spans="1:7" s="3222" customFormat="1" ht="14.25" customHeight="1">
      <c r="A259" s="3233" t="s">
        <v>305</v>
      </c>
      <c r="B259" s="3233" t="s">
        <v>3123</v>
      </c>
      <c r="C259" s="3233">
        <v>7610</v>
      </c>
      <c r="D259" s="3233">
        <v>7570</v>
      </c>
      <c r="E259" s="3233">
        <v>9350</v>
      </c>
      <c r="F259" s="3233">
        <v>1350</v>
      </c>
      <c r="G259" s="3233">
        <v>4650</v>
      </c>
    </row>
    <row r="260" spans="1:7" s="3222" customFormat="1" ht="14.25" customHeight="1">
      <c r="A260" s="3233" t="s">
        <v>305</v>
      </c>
      <c r="B260" s="3233" t="s">
        <v>3124</v>
      </c>
      <c r="C260" s="3233">
        <v>6920</v>
      </c>
      <c r="D260" s="3233">
        <v>6880</v>
      </c>
      <c r="E260" s="3233">
        <v>8380</v>
      </c>
      <c r="F260" s="3233">
        <v>1160</v>
      </c>
      <c r="G260" s="3233">
        <v>4220</v>
      </c>
    </row>
    <row r="261" spans="1:7" s="3222" customFormat="1" ht="14.25" customHeight="1">
      <c r="A261" s="3233" t="s">
        <v>305</v>
      </c>
      <c r="B261" s="3233" t="s">
        <v>3125</v>
      </c>
      <c r="C261" s="3233">
        <v>6850</v>
      </c>
      <c r="D261" s="3233">
        <v>6810</v>
      </c>
      <c r="E261" s="3233">
        <v>8290</v>
      </c>
      <c r="F261" s="3233">
        <v>1130</v>
      </c>
      <c r="G261" s="3233">
        <v>4180</v>
      </c>
    </row>
    <row r="262" spans="1:7" s="3222" customFormat="1" ht="14.25" customHeight="1">
      <c r="A262" s="3233" t="s">
        <v>305</v>
      </c>
      <c r="B262" s="3233" t="s">
        <v>3126</v>
      </c>
      <c r="C262" s="3233">
        <v>5860</v>
      </c>
      <c r="D262" s="3233">
        <v>5820</v>
      </c>
      <c r="E262" s="3233">
        <v>7640</v>
      </c>
      <c r="F262" s="3233">
        <v>1070</v>
      </c>
      <c r="G262" s="3233">
        <v>3570</v>
      </c>
    </row>
    <row r="263" spans="1:7" s="3222" customFormat="1" ht="14.25" customHeight="1">
      <c r="A263" s="3233" t="s">
        <v>305</v>
      </c>
      <c r="B263" s="3233" t="s">
        <v>3127</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3128</v>
      </c>
      <c r="C265" s="3233"/>
      <c r="D265" s="3233"/>
      <c r="E265" s="3233"/>
      <c r="F265" s="3233">
        <v>1500</v>
      </c>
      <c r="G265" s="3233"/>
    </row>
    <row r="266" spans="1:7" s="3222" customFormat="1" ht="14.25" customHeight="1">
      <c r="A266" s="3233" t="s">
        <v>305</v>
      </c>
      <c r="B266" s="3233" t="s">
        <v>3129</v>
      </c>
      <c r="C266" s="3233"/>
      <c r="D266" s="3233"/>
      <c r="E266" s="3233"/>
      <c r="F266" s="3233">
        <v>1500</v>
      </c>
      <c r="G266" s="3233"/>
    </row>
    <row r="267" spans="1:7" s="3222" customFormat="1" ht="14.25" customHeight="1">
      <c r="A267" s="3233" t="s">
        <v>305</v>
      </c>
      <c r="B267" s="3233" t="s">
        <v>3130</v>
      </c>
      <c r="C267" s="3233"/>
      <c r="D267" s="3233"/>
      <c r="E267" s="3233"/>
      <c r="F267" s="3233">
        <v>1500</v>
      </c>
      <c r="G267" s="3233"/>
    </row>
    <row r="268" spans="1:7" s="3222" customFormat="1" ht="14.25" customHeight="1">
      <c r="A268" s="3233" t="s">
        <v>305</v>
      </c>
      <c r="B268" s="3233" t="s">
        <v>3131</v>
      </c>
      <c r="C268" s="3233"/>
      <c r="D268" s="3233"/>
      <c r="E268" s="3233"/>
      <c r="F268" s="3233">
        <v>1290</v>
      </c>
      <c r="G268" s="3233"/>
    </row>
    <row r="269" spans="1:7" s="3222" customFormat="1" ht="14.25" customHeight="1">
      <c r="A269" s="3233" t="s">
        <v>305</v>
      </c>
      <c r="B269" s="3233" t="s">
        <v>3132</v>
      </c>
      <c r="C269" s="3233"/>
      <c r="D269" s="3233"/>
      <c r="E269" s="3233"/>
      <c r="F269" s="3233">
        <v>1150</v>
      </c>
      <c r="G269" s="3233"/>
    </row>
    <row r="270" spans="1:7" s="3222" customFormat="1" ht="14.25" customHeight="1">
      <c r="A270" s="3233" t="s">
        <v>305</v>
      </c>
      <c r="B270" s="3233" t="s">
        <v>3133</v>
      </c>
      <c r="C270" s="3233"/>
      <c r="D270" s="3233"/>
      <c r="E270" s="3233"/>
      <c r="F270" s="3233">
        <v>1380</v>
      </c>
      <c r="G270" s="3233"/>
    </row>
    <row r="271" spans="1:7" s="3222" customFormat="1" ht="14.25" customHeight="1">
      <c r="A271" s="3233" t="s">
        <v>305</v>
      </c>
      <c r="B271" s="3233" t="s">
        <v>3134</v>
      </c>
      <c r="C271" s="3233"/>
      <c r="D271" s="3233"/>
      <c r="E271" s="3233"/>
      <c r="F271" s="3233">
        <v>1460</v>
      </c>
      <c r="G271" s="3233"/>
    </row>
    <row r="272" spans="1:7" s="3222" customFormat="1" ht="14.25" customHeight="1">
      <c r="A272" s="3233" t="s">
        <v>305</v>
      </c>
      <c r="B272" s="3233" t="s">
        <v>3135</v>
      </c>
      <c r="C272" s="3233"/>
      <c r="D272" s="3233"/>
      <c r="E272" s="3233"/>
      <c r="F272" s="3233">
        <v>1460</v>
      </c>
      <c r="G272" s="3233"/>
    </row>
    <row r="273" spans="1:7" s="3222" customFormat="1" ht="14.25" customHeight="1">
      <c r="A273" s="3233" t="s">
        <v>305</v>
      </c>
      <c r="B273" s="3233" t="s">
        <v>3028</v>
      </c>
      <c r="C273" s="3233"/>
      <c r="D273" s="3233"/>
      <c r="E273" s="3233"/>
      <c r="F273" s="3233">
        <v>1490</v>
      </c>
      <c r="G273" s="3233"/>
    </row>
    <row r="274" spans="1:7" s="3222" customFormat="1" ht="14.25" customHeight="1">
      <c r="A274" s="3233" t="s">
        <v>305</v>
      </c>
      <c r="B274" s="3233" t="s">
        <v>3136</v>
      </c>
      <c r="C274" s="3233"/>
      <c r="D274" s="3233"/>
      <c r="E274" s="3233"/>
      <c r="F274" s="3233">
        <v>1490</v>
      </c>
      <c r="G274" s="3233"/>
    </row>
    <row r="275" spans="1:7" s="3222" customFormat="1" ht="14.25" customHeight="1">
      <c r="A275" s="3233" t="s">
        <v>305</v>
      </c>
      <c r="B275" s="3233" t="s">
        <v>3137</v>
      </c>
      <c r="C275" s="3233"/>
      <c r="D275" s="3233"/>
      <c r="E275" s="3233"/>
      <c r="F275" s="3233">
        <v>1220</v>
      </c>
      <c r="G275" s="3233"/>
    </row>
    <row r="276" spans="1:7" s="3222" customFormat="1" ht="14.25" customHeight="1" thickBot="1">
      <c r="A276" s="3241" t="s">
        <v>305</v>
      </c>
      <c r="B276" s="3243" t="s">
        <v>3138</v>
      </c>
      <c r="C276" s="3244"/>
      <c r="D276" s="3244"/>
      <c r="E276" s="3244"/>
      <c r="F276" s="3244">
        <v>1380</v>
      </c>
      <c r="G276" s="3244"/>
    </row>
    <row r="277" spans="1:7" s="3222" customFormat="1" ht="14.25" customHeight="1">
      <c r="A277" s="3238" t="s">
        <v>306</v>
      </c>
      <c r="B277" s="3229" t="s">
        <v>3139</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3140</v>
      </c>
      <c r="C279" s="3233">
        <v>4760</v>
      </c>
      <c r="D279" s="3233">
        <v>4720</v>
      </c>
      <c r="E279" s="3233">
        <v>5540</v>
      </c>
      <c r="F279" s="3233">
        <v>810</v>
      </c>
      <c r="G279" s="3246">
        <v>2850</v>
      </c>
    </row>
    <row r="280" spans="1:7" s="3222" customFormat="1" ht="14.25" customHeight="1">
      <c r="A280" s="3233" t="s">
        <v>306</v>
      </c>
      <c r="B280" s="3233" t="s">
        <v>3141</v>
      </c>
      <c r="C280" s="3233">
        <v>4010</v>
      </c>
      <c r="D280" s="3233">
        <v>3950</v>
      </c>
      <c r="E280" s="3233">
        <v>4710</v>
      </c>
      <c r="F280" s="3233">
        <v>800</v>
      </c>
      <c r="G280" s="3246">
        <v>2390</v>
      </c>
    </row>
    <row r="281" spans="1:7" s="3222" customFormat="1" ht="14.25" customHeight="1">
      <c r="A281" s="3233" t="s">
        <v>306</v>
      </c>
      <c r="B281" s="3233" t="s">
        <v>3142</v>
      </c>
      <c r="C281" s="3233">
        <v>4480</v>
      </c>
      <c r="D281" s="3233">
        <v>4420</v>
      </c>
      <c r="E281" s="3233">
        <v>5230</v>
      </c>
      <c r="F281" s="3233">
        <v>870</v>
      </c>
      <c r="G281" s="3246">
        <v>2660</v>
      </c>
    </row>
    <row r="282" spans="1:7" s="3222" customFormat="1" ht="14.25" customHeight="1">
      <c r="A282" s="3233" t="s">
        <v>306</v>
      </c>
      <c r="B282" s="3233" t="s">
        <v>3143</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3144</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3145</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2920</v>
      </c>
      <c r="C293" s="3233">
        <v>5320</v>
      </c>
      <c r="D293" s="3233">
        <v>5270</v>
      </c>
      <c r="E293" s="3233">
        <v>6160</v>
      </c>
      <c r="F293" s="3233">
        <v>990</v>
      </c>
      <c r="G293" s="3246">
        <v>3170</v>
      </c>
    </row>
    <row r="294" spans="1:7" s="3222" customFormat="1" ht="14.25" customHeight="1">
      <c r="A294" s="3233" t="s">
        <v>306</v>
      </c>
      <c r="B294" s="3233" t="s">
        <v>3146</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2939</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3147</v>
      </c>
      <c r="C302" s="3233">
        <v>5520</v>
      </c>
      <c r="D302" s="3233">
        <v>5470</v>
      </c>
      <c r="E302" s="3233">
        <v>6410</v>
      </c>
      <c r="F302" s="3233">
        <v>950</v>
      </c>
      <c r="G302" s="3246">
        <v>3300</v>
      </c>
    </row>
    <row r="303" spans="1:7" s="3222" customFormat="1" ht="14.25" customHeight="1">
      <c r="A303" s="3233" t="s">
        <v>306</v>
      </c>
      <c r="B303" s="3233" t="s">
        <v>2959</v>
      </c>
      <c r="C303" s="3233">
        <v>5630</v>
      </c>
      <c r="D303" s="3233">
        <v>5590</v>
      </c>
      <c r="E303" s="3233">
        <v>6550</v>
      </c>
      <c r="F303" s="3233">
        <v>1010</v>
      </c>
      <c r="G303" s="3246">
        <v>3370</v>
      </c>
    </row>
    <row r="304" spans="1:7" s="3222" customFormat="1" ht="14.25" customHeight="1">
      <c r="A304" s="3233" t="s">
        <v>306</v>
      </c>
      <c r="B304" s="3233" t="s">
        <v>2966</v>
      </c>
      <c r="C304" s="3233">
        <v>5680</v>
      </c>
      <c r="D304" s="3233">
        <v>5620</v>
      </c>
      <c r="E304" s="3233">
        <v>6620</v>
      </c>
      <c r="F304" s="3233">
        <v>1050</v>
      </c>
      <c r="G304" s="3246">
        <v>3390</v>
      </c>
    </row>
    <row r="305" spans="1:7" s="3222" customFormat="1" ht="14.25" customHeight="1">
      <c r="A305" s="3233" t="s">
        <v>306</v>
      </c>
      <c r="B305" s="3233" t="s">
        <v>2972</v>
      </c>
      <c r="C305" s="3233">
        <v>5590</v>
      </c>
      <c r="D305" s="3233">
        <v>5530</v>
      </c>
      <c r="E305" s="3233">
        <v>6460</v>
      </c>
      <c r="F305" s="3233">
        <v>900</v>
      </c>
      <c r="G305" s="3246">
        <v>3340</v>
      </c>
    </row>
    <row r="306" spans="1:7" s="3222" customFormat="1" ht="14.25" customHeight="1">
      <c r="A306" s="3233" t="s">
        <v>306</v>
      </c>
      <c r="B306" s="3233" t="s">
        <v>3148</v>
      </c>
      <c r="C306" s="3233">
        <v>5560</v>
      </c>
      <c r="D306" s="3233">
        <v>5510</v>
      </c>
      <c r="E306" s="3233">
        <v>6440</v>
      </c>
      <c r="F306" s="3233">
        <v>900</v>
      </c>
      <c r="G306" s="3246">
        <v>3320</v>
      </c>
    </row>
    <row r="307" spans="1:7" s="3222" customFormat="1" ht="14.25" customHeight="1">
      <c r="A307" s="3233" t="s">
        <v>306</v>
      </c>
      <c r="B307" s="3233" t="s">
        <v>2984</v>
      </c>
      <c r="C307" s="3233">
        <v>5650</v>
      </c>
      <c r="D307" s="3233">
        <v>5600</v>
      </c>
      <c r="E307" s="3233">
        <v>6590</v>
      </c>
      <c r="F307" s="3233">
        <v>930</v>
      </c>
      <c r="G307" s="3246">
        <v>3380</v>
      </c>
    </row>
    <row r="308" spans="1:7" s="3222" customFormat="1" ht="14.25" customHeight="1">
      <c r="A308" s="3233" t="s">
        <v>306</v>
      </c>
      <c r="B308" s="3233" t="s">
        <v>3149</v>
      </c>
      <c r="C308" s="3233">
        <v>5620</v>
      </c>
      <c r="D308" s="3233">
        <v>5580</v>
      </c>
      <c r="E308" s="3233">
        <v>6540</v>
      </c>
      <c r="F308" s="3233">
        <v>910</v>
      </c>
      <c r="G308" s="3246">
        <v>3370</v>
      </c>
    </row>
    <row r="309" spans="1:7" s="3222" customFormat="1" ht="14.25" customHeight="1">
      <c r="A309" s="3233" t="s">
        <v>306</v>
      </c>
      <c r="B309" s="3233" t="s">
        <v>3150</v>
      </c>
      <c r="C309" s="3233">
        <v>5060</v>
      </c>
      <c r="D309" s="3233">
        <v>5020</v>
      </c>
      <c r="E309" s="3233">
        <v>6370</v>
      </c>
      <c r="F309" s="3233">
        <v>800</v>
      </c>
      <c r="G309" s="3246">
        <v>3020</v>
      </c>
    </row>
    <row r="310" spans="1:7" s="3222" customFormat="1" ht="14.25" customHeight="1">
      <c r="A310" s="3233" t="s">
        <v>306</v>
      </c>
      <c r="B310" s="3233" t="s">
        <v>2999</v>
      </c>
      <c r="C310" s="3233">
        <v>5150</v>
      </c>
      <c r="D310" s="3233">
        <v>5110</v>
      </c>
      <c r="E310" s="3233">
        <v>6500</v>
      </c>
      <c r="F310" s="3233">
        <v>880</v>
      </c>
      <c r="G310" s="3246">
        <v>3080</v>
      </c>
    </row>
    <row r="311" spans="1:7" s="3222" customFormat="1" ht="14.25" customHeight="1">
      <c r="A311" s="3233" t="s">
        <v>306</v>
      </c>
      <c r="B311" s="3233" t="s">
        <v>3151</v>
      </c>
      <c r="C311" s="3233">
        <v>4750</v>
      </c>
      <c r="D311" s="3233">
        <v>4710</v>
      </c>
      <c r="E311" s="3233">
        <v>5510</v>
      </c>
      <c r="F311" s="3233">
        <v>880</v>
      </c>
      <c r="G311" s="3246">
        <v>2840</v>
      </c>
    </row>
    <row r="312" spans="1:7" s="3222" customFormat="1" ht="14.25" customHeight="1">
      <c r="A312" s="3233" t="s">
        <v>306</v>
      </c>
      <c r="B312" s="3233" t="s">
        <v>3009</v>
      </c>
      <c r="C312" s="3233">
        <v>4690</v>
      </c>
      <c r="D312" s="3233">
        <v>4640</v>
      </c>
      <c r="E312" s="3233">
        <v>5420</v>
      </c>
      <c r="F312" s="3233">
        <v>800</v>
      </c>
      <c r="G312" s="3246">
        <v>2800</v>
      </c>
    </row>
    <row r="313" spans="1:7" s="3222" customFormat="1" ht="14.25" customHeight="1">
      <c r="A313" s="3233" t="s">
        <v>306</v>
      </c>
      <c r="B313" s="3233" t="s">
        <v>3014</v>
      </c>
      <c r="C313" s="3233">
        <v>4810</v>
      </c>
      <c r="D313" s="3233">
        <v>4760</v>
      </c>
      <c r="E313" s="3233">
        <v>5550</v>
      </c>
      <c r="F313" s="3233">
        <v>920</v>
      </c>
      <c r="G313" s="3246">
        <v>2870</v>
      </c>
    </row>
    <row r="314" spans="1:7" s="3222" customFormat="1" ht="14.25" customHeight="1">
      <c r="A314" s="3233" t="s">
        <v>306</v>
      </c>
      <c r="B314" s="3233" t="s">
        <v>3152</v>
      </c>
      <c r="C314" s="3233"/>
      <c r="D314" s="3233"/>
      <c r="E314" s="3233"/>
      <c r="F314" s="3233">
        <v>1020</v>
      </c>
      <c r="G314" s="3246"/>
    </row>
    <row r="315" spans="1:7" s="3222" customFormat="1" ht="14.25" customHeight="1">
      <c r="A315" s="3233" t="s">
        <v>306</v>
      </c>
      <c r="B315" s="3233" t="s">
        <v>3153</v>
      </c>
      <c r="C315" s="3233"/>
      <c r="D315" s="3233"/>
      <c r="E315" s="3233"/>
      <c r="F315" s="3233">
        <v>1050</v>
      </c>
      <c r="G315" s="3246"/>
    </row>
    <row r="316" spans="1:7" s="3222" customFormat="1" ht="14.25" customHeight="1">
      <c r="A316" s="3233" t="s">
        <v>306</v>
      </c>
      <c r="B316" s="3233" t="s">
        <v>3029</v>
      </c>
      <c r="C316" s="3233"/>
      <c r="D316" s="3233"/>
      <c r="E316" s="3233"/>
      <c r="F316" s="3233">
        <v>900</v>
      </c>
      <c r="G316" s="3246"/>
    </row>
    <row r="317" spans="1:7" s="3222" customFormat="1" ht="14.25" customHeight="1">
      <c r="A317" s="3233" t="s">
        <v>306</v>
      </c>
      <c r="B317" s="3233" t="s">
        <v>3154</v>
      </c>
      <c r="C317" s="3233"/>
      <c r="D317" s="3233"/>
      <c r="E317" s="3233"/>
      <c r="F317" s="3233">
        <v>920</v>
      </c>
      <c r="G317" s="3246"/>
    </row>
    <row r="318" spans="1:7" s="3222" customFormat="1" ht="14.25" customHeight="1">
      <c r="A318" s="3233" t="s">
        <v>306</v>
      </c>
      <c r="B318" s="3233" t="s">
        <v>3155</v>
      </c>
      <c r="C318" s="3233"/>
      <c r="D318" s="3233"/>
      <c r="E318" s="3233"/>
      <c r="F318" s="3233">
        <v>1080</v>
      </c>
      <c r="G318" s="3246"/>
    </row>
    <row r="319" spans="1:7" s="3222" customFormat="1" ht="14.25" customHeight="1">
      <c r="A319" s="3233" t="s">
        <v>306</v>
      </c>
      <c r="B319" s="3233" t="s">
        <v>3042</v>
      </c>
      <c r="C319" s="3233"/>
      <c r="D319" s="3233"/>
      <c r="E319" s="3233"/>
      <c r="F319" s="3233">
        <v>1020</v>
      </c>
      <c r="G319" s="3246"/>
    </row>
    <row r="320" spans="1:7" s="3222" customFormat="1" ht="14.25" customHeight="1">
      <c r="A320" s="3233" t="s">
        <v>306</v>
      </c>
      <c r="B320" s="3233" t="s">
        <v>3045</v>
      </c>
      <c r="C320" s="3233"/>
      <c r="D320" s="3233"/>
      <c r="E320" s="3233"/>
      <c r="F320" s="3233">
        <v>1050</v>
      </c>
      <c r="G320" s="3246"/>
    </row>
    <row r="321" spans="1:7" s="3222" customFormat="1" ht="14.25" customHeight="1">
      <c r="A321" s="3233" t="s">
        <v>306</v>
      </c>
      <c r="B321" s="3233" t="s">
        <v>3047</v>
      </c>
      <c r="C321" s="3233"/>
      <c r="D321" s="3233"/>
      <c r="E321" s="3233"/>
      <c r="F321" s="3233">
        <v>960</v>
      </c>
      <c r="G321" s="3246"/>
    </row>
    <row r="322" spans="1:7" s="3222" customFormat="1" ht="14.25" customHeight="1">
      <c r="A322" s="3233" t="s">
        <v>306</v>
      </c>
      <c r="B322" s="3233" t="s">
        <v>3049</v>
      </c>
      <c r="C322" s="3233"/>
      <c r="D322" s="3233"/>
      <c r="E322" s="3233"/>
      <c r="F322" s="3233">
        <v>960</v>
      </c>
      <c r="G322" s="3246"/>
    </row>
    <row r="323" spans="1:7" s="3222" customFormat="1" ht="14.25" customHeight="1">
      <c r="A323" s="3233" t="s">
        <v>306</v>
      </c>
      <c r="B323" s="3233" t="s">
        <v>3051</v>
      </c>
      <c r="C323" s="3233"/>
      <c r="D323" s="3233"/>
      <c r="E323" s="3233"/>
      <c r="F323" s="3233">
        <v>880</v>
      </c>
      <c r="G323" s="3246"/>
    </row>
    <row r="324" spans="1:7" s="3222" customFormat="1" ht="14.25" customHeight="1">
      <c r="A324" s="3233" t="s">
        <v>306</v>
      </c>
      <c r="B324" s="3233" t="s">
        <v>3053</v>
      </c>
      <c r="C324" s="3233"/>
      <c r="D324" s="3233"/>
      <c r="E324" s="3233"/>
      <c r="F324" s="3233">
        <v>930</v>
      </c>
      <c r="G324" s="3246"/>
    </row>
    <row r="325" spans="1:7" s="3222" customFormat="1" ht="14.25" customHeight="1">
      <c r="A325" s="3233" t="s">
        <v>306</v>
      </c>
      <c r="B325" s="3234" t="s">
        <v>3055</v>
      </c>
      <c r="C325" s="3233"/>
      <c r="D325" s="3233"/>
      <c r="E325" s="3233"/>
      <c r="F325" s="3233">
        <v>900</v>
      </c>
      <c r="G325" s="3246"/>
    </row>
    <row r="326" spans="1:7" s="3222" customFormat="1" ht="14.25" customHeight="1" thickBot="1">
      <c r="A326" s="3247" t="s">
        <v>306</v>
      </c>
      <c r="B326" s="3240" t="s">
        <v>3057</v>
      </c>
      <c r="C326" s="3240"/>
      <c r="D326" s="3240"/>
      <c r="E326" s="3240"/>
      <c r="F326" s="3240">
        <v>790</v>
      </c>
      <c r="G326" s="3248"/>
    </row>
    <row r="327" spans="1:7" s="3222" customFormat="1" ht="14.25" customHeight="1">
      <c r="A327" s="3238" t="s">
        <v>307</v>
      </c>
      <c r="B327" s="3229" t="s">
        <v>3156</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3157</v>
      </c>
      <c r="C329" s="3233">
        <v>2730</v>
      </c>
      <c r="D329" s="3233">
        <v>2690</v>
      </c>
      <c r="E329" s="3233">
        <v>3100</v>
      </c>
      <c r="F329" s="3233">
        <v>660</v>
      </c>
      <c r="G329" s="3233">
        <v>1610</v>
      </c>
    </row>
    <row r="330" spans="1:7" s="3222" customFormat="1" ht="14.25" customHeight="1">
      <c r="A330" s="3233" t="s">
        <v>307</v>
      </c>
      <c r="B330" s="3233" t="s">
        <v>3158</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2891</v>
      </c>
      <c r="C332" s="3233">
        <v>3520</v>
      </c>
      <c r="D332" s="3233">
        <v>3480</v>
      </c>
      <c r="E332" s="3233">
        <v>3830</v>
      </c>
      <c r="F332" s="3233">
        <v>720</v>
      </c>
      <c r="G332" s="3233">
        <v>2090</v>
      </c>
    </row>
    <row r="333" spans="1:7" s="3222" customFormat="1" ht="14.25" customHeight="1">
      <c r="A333" s="3233" t="s">
        <v>307</v>
      </c>
      <c r="B333" s="3233" t="s">
        <v>3159</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2901</v>
      </c>
      <c r="C336" s="3233">
        <v>3570</v>
      </c>
      <c r="D336" s="3233">
        <v>3530</v>
      </c>
      <c r="E336" s="3233">
        <v>3880</v>
      </c>
      <c r="F336" s="3233">
        <v>770</v>
      </c>
      <c r="G336" s="3233">
        <v>2110</v>
      </c>
    </row>
    <row r="337" spans="1:10" s="3222" customFormat="1" ht="14.25" customHeight="1">
      <c r="A337" s="3233" t="s">
        <v>307</v>
      </c>
      <c r="B337" s="3233" t="s">
        <v>3160</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3161</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3162</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2926</v>
      </c>
      <c r="C345" s="3233">
        <v>3190</v>
      </c>
      <c r="D345" s="3233">
        <v>3140</v>
      </c>
      <c r="E345" s="3233">
        <v>3450</v>
      </c>
      <c r="F345" s="3233">
        <v>720</v>
      </c>
      <c r="G345" s="3233">
        <v>1880</v>
      </c>
      <c r="J345" s="3222"/>
    </row>
    <row r="346" spans="1:10">
      <c r="A346" s="3233" t="s">
        <v>307</v>
      </c>
      <c r="B346" s="3233" t="s">
        <v>3163</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2935</v>
      </c>
      <c r="C348" s="3233">
        <v>4000</v>
      </c>
      <c r="D348" s="3233">
        <v>3950</v>
      </c>
      <c r="E348" s="3233">
        <v>4430</v>
      </c>
      <c r="F348" s="3233">
        <v>760</v>
      </c>
      <c r="G348" s="3233">
        <v>2360</v>
      </c>
      <c r="J348" s="3222"/>
    </row>
    <row r="349" spans="1:10">
      <c r="A349" s="3233" t="s">
        <v>307</v>
      </c>
      <c r="B349" s="3233" t="s">
        <v>2940</v>
      </c>
      <c r="C349" s="3233">
        <v>3820</v>
      </c>
      <c r="D349" s="3233">
        <v>3780</v>
      </c>
      <c r="E349" s="3233">
        <v>4170</v>
      </c>
      <c r="F349" s="3233">
        <v>710</v>
      </c>
      <c r="G349" s="3233">
        <v>2260</v>
      </c>
      <c r="J349" s="3222"/>
    </row>
    <row r="350" spans="1:10">
      <c r="A350" s="3233" t="s">
        <v>307</v>
      </c>
      <c r="B350" s="3233" t="s">
        <v>3164</v>
      </c>
      <c r="C350" s="3233">
        <v>3760</v>
      </c>
      <c r="D350" s="3233">
        <v>3730</v>
      </c>
      <c r="E350" s="3233">
        <v>4100</v>
      </c>
      <c r="F350" s="3233">
        <v>800</v>
      </c>
      <c r="G350" s="3233">
        <v>2230</v>
      </c>
      <c r="J350" s="3222"/>
    </row>
    <row r="351" spans="1:10">
      <c r="A351" s="3233" t="s">
        <v>307</v>
      </c>
      <c r="B351" s="3233" t="s">
        <v>2948</v>
      </c>
      <c r="C351" s="3233">
        <v>3610</v>
      </c>
      <c r="D351" s="3233">
        <v>3580</v>
      </c>
      <c r="E351" s="3233">
        <v>3930</v>
      </c>
      <c r="F351" s="3233">
        <v>700</v>
      </c>
      <c r="G351" s="3233">
        <v>2140</v>
      </c>
      <c r="J351" s="3222"/>
    </row>
    <row r="352" spans="1:10">
      <c r="A352" s="3233" t="s">
        <v>307</v>
      </c>
      <c r="B352" s="3233" t="s">
        <v>2953</v>
      </c>
      <c r="C352" s="3233">
        <v>3670</v>
      </c>
      <c r="D352" s="3233">
        <v>3630</v>
      </c>
      <c r="E352" s="3233">
        <v>4000</v>
      </c>
      <c r="F352" s="3233">
        <v>750</v>
      </c>
      <c r="G352" s="3233">
        <v>2180</v>
      </c>
    </row>
    <row r="353" spans="1:7" s="3226" customFormat="1">
      <c r="A353" s="3233" t="s">
        <v>307</v>
      </c>
      <c r="B353" s="3233" t="s">
        <v>3165</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2973</v>
      </c>
      <c r="C355" s="3233">
        <v>3650</v>
      </c>
      <c r="D355" s="3233">
        <v>3610</v>
      </c>
      <c r="E355" s="3233">
        <v>4200</v>
      </c>
      <c r="F355" s="3233">
        <v>640</v>
      </c>
      <c r="G355" s="3233">
        <v>2160</v>
      </c>
    </row>
    <row r="356" spans="1:7" s="3226" customFormat="1">
      <c r="A356" s="3233" t="s">
        <v>307</v>
      </c>
      <c r="B356" s="3233" t="s">
        <v>2980</v>
      </c>
      <c r="C356" s="3233">
        <v>3260</v>
      </c>
      <c r="D356" s="3233">
        <v>3230</v>
      </c>
      <c r="E356" s="3233">
        <v>3740</v>
      </c>
      <c r="F356" s="3233">
        <v>600</v>
      </c>
      <c r="G356" s="3233">
        <v>1930</v>
      </c>
    </row>
    <row r="357" spans="1:7" s="3226" customFormat="1" ht="12" thickBot="1">
      <c r="A357" s="3241" t="s">
        <v>307</v>
      </c>
      <c r="B357" s="3244" t="s">
        <v>3166</v>
      </c>
      <c r="C357" s="3244">
        <v>3690</v>
      </c>
      <c r="D357" s="3244">
        <v>3650</v>
      </c>
      <c r="E357" s="3244">
        <v>4020</v>
      </c>
      <c r="F357" s="3244">
        <v>700</v>
      </c>
      <c r="G357" s="3244">
        <v>2190</v>
      </c>
    </row>
    <row r="358" spans="1:7" s="3226" customFormat="1">
      <c r="A358" s="3238" t="s">
        <v>3167</v>
      </c>
      <c r="B358" s="3229" t="s">
        <v>3168</v>
      </c>
      <c r="C358" s="3229">
        <v>2080</v>
      </c>
      <c r="D358" s="3229">
        <v>2040</v>
      </c>
      <c r="E358" s="3229">
        <v>2010</v>
      </c>
      <c r="F358" s="3229">
        <v>530</v>
      </c>
      <c r="G358" s="3245">
        <v>1230</v>
      </c>
    </row>
    <row r="359" spans="1:7" s="3226" customFormat="1">
      <c r="A359" s="3233" t="s">
        <v>3167</v>
      </c>
      <c r="B359" s="3233" t="s">
        <v>3169</v>
      </c>
      <c r="C359" s="3233">
        <v>1850</v>
      </c>
      <c r="D359" s="3233">
        <v>1820</v>
      </c>
      <c r="E359" s="3233">
        <v>1780</v>
      </c>
      <c r="F359" s="3233">
        <v>520</v>
      </c>
      <c r="G359" s="3246">
        <v>1100</v>
      </c>
    </row>
    <row r="360" spans="1:7" s="3226" customFormat="1">
      <c r="A360" s="3233" t="s">
        <v>3167</v>
      </c>
      <c r="B360" s="3233" t="s">
        <v>3170</v>
      </c>
      <c r="C360" s="3233">
        <v>2020</v>
      </c>
      <c r="D360" s="3233">
        <v>1990</v>
      </c>
      <c r="E360" s="3233">
        <v>1950</v>
      </c>
      <c r="F360" s="3233">
        <v>500</v>
      </c>
      <c r="G360" s="3246">
        <v>1200</v>
      </c>
    </row>
    <row r="361" spans="1:7" s="3226" customFormat="1">
      <c r="A361" s="3233" t="s">
        <v>3167</v>
      </c>
      <c r="B361" s="3233" t="s">
        <v>153</v>
      </c>
      <c r="C361" s="3233">
        <v>2260</v>
      </c>
      <c r="D361" s="3233">
        <v>2220</v>
      </c>
      <c r="E361" s="3233">
        <v>2180</v>
      </c>
      <c r="F361" s="3233">
        <v>580</v>
      </c>
      <c r="G361" s="3246">
        <v>1340</v>
      </c>
    </row>
    <row r="362" spans="1:7" s="3226" customFormat="1">
      <c r="A362" s="3233" t="s">
        <v>3167</v>
      </c>
      <c r="B362" s="3233" t="s">
        <v>3171</v>
      </c>
      <c r="C362" s="3233">
        <v>2650</v>
      </c>
      <c r="D362" s="3233">
        <v>2610</v>
      </c>
      <c r="E362" s="3233">
        <v>2570</v>
      </c>
      <c r="F362" s="3233">
        <v>630</v>
      </c>
      <c r="G362" s="3246">
        <v>1570</v>
      </c>
    </row>
    <row r="363" spans="1:7" s="3226" customFormat="1">
      <c r="A363" s="3233" t="s">
        <v>3167</v>
      </c>
      <c r="B363" s="3233" t="s">
        <v>2892</v>
      </c>
      <c r="C363" s="3233">
        <v>2390</v>
      </c>
      <c r="D363" s="3233">
        <v>2360</v>
      </c>
      <c r="E363" s="3233">
        <v>2320</v>
      </c>
      <c r="F363" s="3233">
        <v>600</v>
      </c>
      <c r="G363" s="3246">
        <v>1420</v>
      </c>
    </row>
    <row r="364" spans="1:7" s="3226" customFormat="1">
      <c r="A364" s="3233" t="s">
        <v>3167</v>
      </c>
      <c r="B364" s="3233" t="s">
        <v>3172</v>
      </c>
      <c r="C364" s="3233">
        <v>2050</v>
      </c>
      <c r="D364" s="3233">
        <v>2030</v>
      </c>
      <c r="E364" s="3233">
        <v>1990</v>
      </c>
      <c r="F364" s="3233">
        <v>550</v>
      </c>
      <c r="G364" s="3246">
        <v>1220</v>
      </c>
    </row>
    <row r="365" spans="1:7" s="3226" customFormat="1">
      <c r="A365" s="3233" t="s">
        <v>3167</v>
      </c>
      <c r="B365" s="3233" t="s">
        <v>200</v>
      </c>
      <c r="C365" s="3233">
        <v>2140</v>
      </c>
      <c r="D365" s="3233">
        <v>2100</v>
      </c>
      <c r="E365" s="3233">
        <v>2060</v>
      </c>
      <c r="F365" s="3233">
        <v>540</v>
      </c>
      <c r="G365" s="3246">
        <v>1270</v>
      </c>
    </row>
    <row r="366" spans="1:7" s="3226" customFormat="1">
      <c r="A366" s="3233" t="s">
        <v>3167</v>
      </c>
      <c r="B366" s="3233" t="s">
        <v>2899</v>
      </c>
      <c r="C366" s="3233">
        <v>2410</v>
      </c>
      <c r="D366" s="3233">
        <v>2370</v>
      </c>
      <c r="E366" s="3233">
        <v>2330</v>
      </c>
      <c r="F366" s="3233">
        <v>570</v>
      </c>
      <c r="G366" s="3246">
        <v>1440</v>
      </c>
    </row>
    <row r="367" spans="1:7" s="3226" customFormat="1">
      <c r="A367" s="3233" t="s">
        <v>3167</v>
      </c>
      <c r="B367" s="3233" t="s">
        <v>3173</v>
      </c>
      <c r="C367" s="3233">
        <v>2300</v>
      </c>
      <c r="D367" s="3233">
        <v>2260</v>
      </c>
      <c r="E367" s="3233">
        <v>2220</v>
      </c>
      <c r="F367" s="3233">
        <v>560</v>
      </c>
      <c r="G367" s="3246">
        <v>1370</v>
      </c>
    </row>
    <row r="368" spans="1:7" s="3226" customFormat="1">
      <c r="A368" s="3233" t="s">
        <v>3167</v>
      </c>
      <c r="B368" s="3233" t="s">
        <v>3174</v>
      </c>
      <c r="C368" s="3233">
        <v>2430</v>
      </c>
      <c r="D368" s="3233">
        <v>2390</v>
      </c>
      <c r="E368" s="3233">
        <v>2350</v>
      </c>
      <c r="F368" s="3233">
        <v>570</v>
      </c>
      <c r="G368" s="3246">
        <v>1450</v>
      </c>
    </row>
    <row r="369" spans="1:7" s="3226" customFormat="1">
      <c r="A369" s="3233" t="s">
        <v>3167</v>
      </c>
      <c r="B369" s="3233" t="s">
        <v>214</v>
      </c>
      <c r="C369" s="3233">
        <v>2320</v>
      </c>
      <c r="D369" s="3233">
        <v>2290</v>
      </c>
      <c r="E369" s="3233">
        <v>2250</v>
      </c>
      <c r="F369" s="3233">
        <v>550</v>
      </c>
      <c r="G369" s="3246">
        <v>1380</v>
      </c>
    </row>
    <row r="370" spans="1:7" s="3226" customFormat="1">
      <c r="A370" s="3233" t="s">
        <v>3167</v>
      </c>
      <c r="B370" s="3233" t="s">
        <v>221</v>
      </c>
      <c r="C370" s="3233">
        <v>2190</v>
      </c>
      <c r="D370" s="3233">
        <v>2170</v>
      </c>
      <c r="E370" s="3233">
        <v>2130</v>
      </c>
      <c r="F370" s="3233">
        <v>530</v>
      </c>
      <c r="G370" s="3246">
        <v>1310</v>
      </c>
    </row>
    <row r="371" spans="1:7" s="3226" customFormat="1">
      <c r="A371" s="3233" t="s">
        <v>3167</v>
      </c>
      <c r="B371" s="3233" t="s">
        <v>229</v>
      </c>
      <c r="C371" s="3233">
        <v>2460</v>
      </c>
      <c r="D371" s="3233">
        <v>2420</v>
      </c>
      <c r="E371" s="3233">
        <v>2370</v>
      </c>
      <c r="F371" s="3233">
        <v>560</v>
      </c>
      <c r="G371" s="3246">
        <v>1470</v>
      </c>
    </row>
    <row r="372" spans="1:7" s="3226" customFormat="1">
      <c r="A372" s="3233" t="s">
        <v>3167</v>
      </c>
      <c r="B372" s="3233" t="s">
        <v>3175</v>
      </c>
      <c r="C372" s="3233">
        <v>2250</v>
      </c>
      <c r="D372" s="3233">
        <v>2210</v>
      </c>
      <c r="E372" s="3233">
        <v>2180</v>
      </c>
      <c r="F372" s="3233">
        <v>550</v>
      </c>
      <c r="G372" s="3246">
        <v>1340</v>
      </c>
    </row>
    <row r="373" spans="1:7" s="3226" customFormat="1">
      <c r="A373" s="3233" t="s">
        <v>3167</v>
      </c>
      <c r="B373" s="3233" t="s">
        <v>258</v>
      </c>
      <c r="C373" s="3233">
        <v>2210</v>
      </c>
      <c r="D373" s="3233">
        <v>2190</v>
      </c>
      <c r="E373" s="3233">
        <v>2150</v>
      </c>
      <c r="F373" s="3233">
        <v>530</v>
      </c>
      <c r="G373" s="3246">
        <v>1320</v>
      </c>
    </row>
    <row r="374" spans="1:7" s="3226" customFormat="1">
      <c r="A374" s="3233" t="s">
        <v>3167</v>
      </c>
      <c r="B374" s="3233" t="s">
        <v>266</v>
      </c>
      <c r="C374" s="3233">
        <v>2320</v>
      </c>
      <c r="D374" s="3233">
        <v>2280</v>
      </c>
      <c r="E374" s="3233">
        <v>2230</v>
      </c>
      <c r="F374" s="3233">
        <v>580</v>
      </c>
      <c r="G374" s="3246">
        <v>1380</v>
      </c>
    </row>
    <row r="375" spans="1:7" s="3226" customFormat="1">
      <c r="A375" s="3233" t="s">
        <v>3167</v>
      </c>
      <c r="B375" s="3233" t="s">
        <v>3176</v>
      </c>
      <c r="C375" s="3233">
        <v>2090</v>
      </c>
      <c r="D375" s="3233">
        <v>2050</v>
      </c>
      <c r="E375" s="3233">
        <v>2020</v>
      </c>
      <c r="F375" s="3233">
        <v>520</v>
      </c>
      <c r="G375" s="3246">
        <v>1240</v>
      </c>
    </row>
    <row r="376" spans="1:7" s="3226" customFormat="1">
      <c r="A376" s="3233" t="s">
        <v>3167</v>
      </c>
      <c r="B376" s="3233" t="s">
        <v>277</v>
      </c>
      <c r="C376" s="3233">
        <v>2010</v>
      </c>
      <c r="D376" s="3233">
        <v>1980</v>
      </c>
      <c r="E376" s="3233">
        <v>1940</v>
      </c>
      <c r="F376" s="3233">
        <v>540</v>
      </c>
      <c r="G376" s="3246">
        <v>1190</v>
      </c>
    </row>
    <row r="377" spans="1:7" s="3226" customFormat="1" ht="12" thickBot="1">
      <c r="A377" s="3241" t="s">
        <v>3167</v>
      </c>
      <c r="B377" s="3244" t="s">
        <v>2929</v>
      </c>
      <c r="C377" s="3244">
        <v>1930</v>
      </c>
      <c r="D377" s="3244">
        <v>1890</v>
      </c>
      <c r="E377" s="3244">
        <v>1860</v>
      </c>
      <c r="F377" s="3244">
        <v>530</v>
      </c>
      <c r="G377" s="3249">
        <v>1150</v>
      </c>
    </row>
    <row r="378" spans="1:7" s="3226" customFormat="1">
      <c r="A378" s="3250" t="s">
        <v>3177</v>
      </c>
      <c r="B378" s="3229" t="s">
        <v>3178</v>
      </c>
      <c r="C378" s="3229">
        <v>1520</v>
      </c>
      <c r="D378" s="3229">
        <v>1490</v>
      </c>
      <c r="E378" s="3229">
        <v>1460</v>
      </c>
      <c r="F378" s="3229">
        <v>460</v>
      </c>
      <c r="G378" s="3245">
        <v>940</v>
      </c>
    </row>
    <row r="379" spans="1:7" s="3226" customFormat="1">
      <c r="A379" s="3251" t="s">
        <v>3177</v>
      </c>
      <c r="B379" s="3233" t="s">
        <v>3179</v>
      </c>
      <c r="C379" s="3233">
        <v>1500</v>
      </c>
      <c r="D379" s="3233">
        <v>1470</v>
      </c>
      <c r="E379" s="3233">
        <v>1430</v>
      </c>
      <c r="F379" s="3233">
        <v>460</v>
      </c>
      <c r="G379" s="3246">
        <v>920</v>
      </c>
    </row>
    <row r="380" spans="1:7" s="3226" customFormat="1">
      <c r="A380" s="3251" t="s">
        <v>3177</v>
      </c>
      <c r="B380" s="3233" t="s">
        <v>3180</v>
      </c>
      <c r="C380" s="3233">
        <v>1620</v>
      </c>
      <c r="D380" s="3233">
        <v>1590</v>
      </c>
      <c r="E380" s="3233">
        <v>1560</v>
      </c>
      <c r="F380" s="3233">
        <v>480</v>
      </c>
      <c r="G380" s="3246">
        <v>1000</v>
      </c>
    </row>
    <row r="381" spans="1:7" s="3226" customFormat="1">
      <c r="A381" s="3251" t="s">
        <v>3177</v>
      </c>
      <c r="B381" s="3233" t="s">
        <v>3181</v>
      </c>
      <c r="C381" s="3233">
        <v>1460</v>
      </c>
      <c r="D381" s="3233">
        <v>1430</v>
      </c>
      <c r="E381" s="3233">
        <v>1390</v>
      </c>
      <c r="F381" s="3233">
        <v>450</v>
      </c>
      <c r="G381" s="3246">
        <v>900</v>
      </c>
    </row>
    <row r="382" spans="1:7" s="3226" customFormat="1">
      <c r="A382" s="3251" t="s">
        <v>3177</v>
      </c>
      <c r="B382" s="3233" t="s">
        <v>3182</v>
      </c>
      <c r="C382" s="3233">
        <v>1310</v>
      </c>
      <c r="D382" s="3233">
        <v>1280</v>
      </c>
      <c r="E382" s="3233">
        <v>1250</v>
      </c>
      <c r="F382" s="3233">
        <v>440</v>
      </c>
      <c r="G382" s="3246">
        <v>800</v>
      </c>
    </row>
    <row r="383" spans="1:7" s="3226" customFormat="1">
      <c r="A383" s="3251" t="s">
        <v>3177</v>
      </c>
      <c r="B383" s="3233" t="s">
        <v>3183</v>
      </c>
      <c r="C383" s="3233">
        <v>1260</v>
      </c>
      <c r="D383" s="3233">
        <v>1230</v>
      </c>
      <c r="E383" s="3233">
        <v>1200</v>
      </c>
      <c r="F383" s="3233">
        <v>420</v>
      </c>
      <c r="G383" s="3246">
        <v>770</v>
      </c>
    </row>
    <row r="384" spans="1:7" s="3226" customFormat="1" ht="12" thickBot="1">
      <c r="A384" s="3252" t="s">
        <v>3177</v>
      </c>
      <c r="B384" s="3240" t="s">
        <v>3184</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9" t="s">
        <v>3185</v>
      </c>
      <c r="B1" s="3789"/>
    </row>
    <row r="2" spans="1:7" ht="14.25" thickBot="1">
      <c r="A2" s="3255"/>
      <c r="B2" s="3255"/>
    </row>
    <row r="3" spans="1:7" ht="14.25" thickBot="1">
      <c r="A3" s="3255"/>
      <c r="B3" s="3255"/>
      <c r="C3" s="3256" t="s">
        <v>2815</v>
      </c>
      <c r="D3" s="3256" t="s">
        <v>2871</v>
      </c>
      <c r="E3" s="3256" t="s">
        <v>2817</v>
      </c>
      <c r="F3" s="3256" t="s">
        <v>2872</v>
      </c>
      <c r="G3" s="3256" t="s">
        <v>2635</v>
      </c>
    </row>
    <row r="4" spans="1:7" ht="14.25" thickBot="1">
      <c r="A4" s="3257" t="s">
        <v>2870</v>
      </c>
      <c r="B4" s="3258" t="s">
        <v>2876</v>
      </c>
      <c r="C4" s="3256"/>
      <c r="D4" s="3256"/>
      <c r="E4" s="3256"/>
      <c r="F4" s="3256"/>
      <c r="G4" s="3256"/>
    </row>
    <row r="5" spans="1:7">
      <c r="A5" s="3259" t="s">
        <v>2844</v>
      </c>
      <c r="B5" s="3260" t="s">
        <v>2858</v>
      </c>
      <c r="C5" s="3261">
        <v>9.8000000000000004E-2</v>
      </c>
      <c r="D5" s="3261">
        <v>8.6999999999999994E-2</v>
      </c>
      <c r="E5" s="3261">
        <v>8.6999999999999994E-2</v>
      </c>
      <c r="F5" s="3261">
        <v>9.8000000000000004E-2</v>
      </c>
      <c r="G5" s="3262">
        <v>9.5000000000000001E-2</v>
      </c>
    </row>
    <row r="6" spans="1:7">
      <c r="A6" s="3263" t="s">
        <v>144</v>
      </c>
      <c r="B6" s="3264" t="s">
        <v>2873</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2859</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2909</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2927</v>
      </c>
      <c r="C29" s="3273"/>
      <c r="D29" s="3269">
        <v>5.1999999999999998E-2</v>
      </c>
      <c r="E29" s="3269">
        <v>7.0000000000000007E-2</v>
      </c>
      <c r="F29" s="3273"/>
      <c r="G29" s="3271">
        <v>7.0999999999999994E-2</v>
      </c>
    </row>
    <row r="30" spans="1:7">
      <c r="A30" s="3274" t="s">
        <v>296</v>
      </c>
      <c r="B30" s="3260" t="s">
        <v>2860</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2846</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2930</v>
      </c>
      <c r="C50" s="3265">
        <v>9.8000000000000004E-2</v>
      </c>
      <c r="D50" s="3265">
        <v>7.2999999999999995E-2</v>
      </c>
      <c r="E50" s="3265">
        <v>7.0999999999999994E-2</v>
      </c>
      <c r="F50" s="3276"/>
      <c r="G50" s="3266">
        <v>7.2999999999999995E-2</v>
      </c>
    </row>
    <row r="51" spans="1:7">
      <c r="A51" s="3275" t="s">
        <v>296</v>
      </c>
      <c r="B51" s="3264" t="s">
        <v>2932</v>
      </c>
      <c r="C51" s="3265">
        <v>9.9000000000000005E-2</v>
      </c>
      <c r="D51" s="3265">
        <v>8.5000000000000006E-2</v>
      </c>
      <c r="E51" s="3265">
        <v>6.3E-2</v>
      </c>
      <c r="F51" s="3276"/>
      <c r="G51" s="3266">
        <v>9.6000000000000002E-2</v>
      </c>
    </row>
    <row r="52" spans="1:7">
      <c r="A52" s="3275" t="s">
        <v>296</v>
      </c>
      <c r="B52" s="3264" t="s">
        <v>2936</v>
      </c>
      <c r="C52" s="3265">
        <v>7.3999999999999996E-2</v>
      </c>
      <c r="D52" s="3265">
        <v>9.6000000000000002E-2</v>
      </c>
      <c r="E52" s="3265">
        <v>0.05</v>
      </c>
      <c r="F52" s="3276"/>
      <c r="G52" s="3266">
        <v>9.8000000000000004E-2</v>
      </c>
    </row>
    <row r="53" spans="1:7">
      <c r="A53" s="3275" t="s">
        <v>296</v>
      </c>
      <c r="B53" s="3264" t="s">
        <v>2941</v>
      </c>
      <c r="C53" s="3265">
        <v>8.5999999999999993E-2</v>
      </c>
      <c r="D53" s="3276"/>
      <c r="E53" s="3265">
        <v>9.1999999999999998E-2</v>
      </c>
      <c r="F53" s="3276"/>
      <c r="G53" s="3277"/>
    </row>
    <row r="54" spans="1:7" ht="14.25" thickBot="1">
      <c r="A54" s="3278" t="s">
        <v>296</v>
      </c>
      <c r="B54" s="3268" t="s">
        <v>2944</v>
      </c>
      <c r="C54" s="3269">
        <v>9.6000000000000002E-2</v>
      </c>
      <c r="D54" s="3270"/>
      <c r="E54" s="3279"/>
      <c r="F54" s="3270"/>
      <c r="G54" s="3280"/>
    </row>
    <row r="55" spans="1:7">
      <c r="A55" s="3274" t="s">
        <v>110</v>
      </c>
      <c r="B55" s="3260" t="s">
        <v>2861</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2942</v>
      </c>
      <c r="C78" s="3265">
        <v>0.1</v>
      </c>
      <c r="D78" s="3265">
        <v>8.5000000000000006E-2</v>
      </c>
      <c r="E78" s="3265">
        <v>9.6000000000000002E-2</v>
      </c>
      <c r="F78" s="3276"/>
      <c r="G78" s="3266">
        <v>9.6000000000000002E-2</v>
      </c>
    </row>
    <row r="79" spans="1:7">
      <c r="A79" s="3275" t="s">
        <v>110</v>
      </c>
      <c r="B79" s="3264" t="s">
        <v>2945</v>
      </c>
      <c r="C79" s="3265">
        <v>0.05</v>
      </c>
      <c r="D79" s="3265">
        <v>9.6000000000000002E-2</v>
      </c>
      <c r="E79" s="3265">
        <v>9.5000000000000001E-2</v>
      </c>
      <c r="F79" s="3276"/>
      <c r="G79" s="3266">
        <v>9.8000000000000004E-2</v>
      </c>
    </row>
    <row r="80" spans="1:7">
      <c r="A80" s="3275" t="s">
        <v>110</v>
      </c>
      <c r="B80" s="3264" t="s">
        <v>2949</v>
      </c>
      <c r="C80" s="3265">
        <v>8.5999999999999993E-2</v>
      </c>
      <c r="D80" s="3281"/>
      <c r="E80" s="3265">
        <v>0.1</v>
      </c>
      <c r="F80" s="3276"/>
      <c r="G80" s="3277"/>
    </row>
    <row r="81" spans="1:7">
      <c r="A81" s="3275" t="s">
        <v>110</v>
      </c>
      <c r="B81" s="3264" t="s">
        <v>2954</v>
      </c>
      <c r="C81" s="3265">
        <v>9.6000000000000002E-2</v>
      </c>
      <c r="D81" s="3276"/>
      <c r="E81" s="3265">
        <v>9.8000000000000004E-2</v>
      </c>
      <c r="F81" s="3276"/>
      <c r="G81" s="3277"/>
    </row>
    <row r="82" spans="1:7">
      <c r="A82" s="3275" t="s">
        <v>110</v>
      </c>
      <c r="B82" s="3264" t="s">
        <v>2961</v>
      </c>
      <c r="C82" s="3281"/>
      <c r="D82" s="3276"/>
      <c r="E82" s="3265">
        <v>7.6999999999999999E-2</v>
      </c>
      <c r="F82" s="3276"/>
      <c r="G82" s="3277"/>
    </row>
    <row r="83" spans="1:7">
      <c r="A83" s="3275" t="s">
        <v>110</v>
      </c>
      <c r="B83" s="3264" t="s">
        <v>2967</v>
      </c>
      <c r="C83" s="3276"/>
      <c r="D83" s="3276"/>
      <c r="E83" s="3276"/>
      <c r="F83" s="3265">
        <v>0.1</v>
      </c>
      <c r="G83" s="3282"/>
    </row>
    <row r="84" spans="1:7">
      <c r="A84" s="3275" t="s">
        <v>110</v>
      </c>
      <c r="B84" s="3264" t="s">
        <v>2974</v>
      </c>
      <c r="C84" s="3276"/>
      <c r="D84" s="3276"/>
      <c r="E84" s="3276"/>
      <c r="F84" s="3265">
        <v>0.1</v>
      </c>
      <c r="G84" s="3282"/>
    </row>
    <row r="85" spans="1:7">
      <c r="A85" s="3275" t="s">
        <v>110</v>
      </c>
      <c r="B85" s="3264" t="s">
        <v>2981</v>
      </c>
      <c r="C85" s="3276"/>
      <c r="D85" s="3276"/>
      <c r="E85" s="3276"/>
      <c r="F85" s="3265">
        <v>0.1</v>
      </c>
      <c r="G85" s="3282"/>
    </row>
    <row r="86" spans="1:7" ht="14.25" thickBot="1">
      <c r="A86" s="3278" t="s">
        <v>110</v>
      </c>
      <c r="B86" s="3268" t="s">
        <v>2986</v>
      </c>
      <c r="C86" s="3269">
        <v>9.8000000000000004E-2</v>
      </c>
      <c r="D86" s="3269">
        <v>9.8000000000000004E-2</v>
      </c>
      <c r="E86" s="3269">
        <v>9.6000000000000002E-2</v>
      </c>
      <c r="F86" s="3279"/>
      <c r="G86" s="3271">
        <v>0.1</v>
      </c>
    </row>
    <row r="87" spans="1:7">
      <c r="A87" s="3274" t="s">
        <v>303</v>
      </c>
      <c r="B87" s="3260" t="s">
        <v>2862</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2955</v>
      </c>
      <c r="C113" s="3265">
        <v>0.1</v>
      </c>
      <c r="D113" s="3265">
        <v>0.1</v>
      </c>
      <c r="E113" s="3276"/>
      <c r="F113" s="3276"/>
      <c r="G113" s="3266">
        <v>0.1</v>
      </c>
    </row>
    <row r="114" spans="1:7">
      <c r="A114" s="3275" t="s">
        <v>303</v>
      </c>
      <c r="B114" s="3264" t="s">
        <v>2962</v>
      </c>
      <c r="C114" s="3265">
        <v>9.7000000000000003E-2</v>
      </c>
      <c r="D114" s="3265">
        <v>9.7000000000000003E-2</v>
      </c>
      <c r="E114" s="3276"/>
      <c r="F114" s="3276"/>
      <c r="G114" s="3266">
        <v>9.9000000000000005E-2</v>
      </c>
    </row>
    <row r="115" spans="1:7">
      <c r="A115" s="3275" t="s">
        <v>303</v>
      </c>
      <c r="B115" s="3264" t="s">
        <v>2968</v>
      </c>
      <c r="C115" s="3265">
        <v>0.1</v>
      </c>
      <c r="D115" s="3265">
        <v>0.1</v>
      </c>
      <c r="E115" s="3276"/>
      <c r="F115" s="3276"/>
      <c r="G115" s="3266">
        <v>0.1</v>
      </c>
    </row>
    <row r="116" spans="1:7">
      <c r="A116" s="3275" t="s">
        <v>303</v>
      </c>
      <c r="B116" s="3264" t="s">
        <v>2975</v>
      </c>
      <c r="C116" s="3265">
        <v>0.1</v>
      </c>
      <c r="D116" s="3265">
        <v>0.1</v>
      </c>
      <c r="E116" s="3276"/>
      <c r="F116" s="3276"/>
      <c r="G116" s="3266">
        <v>0.1</v>
      </c>
    </row>
    <row r="117" spans="1:7">
      <c r="A117" s="3275" t="s">
        <v>303</v>
      </c>
      <c r="B117" s="3264" t="s">
        <v>2982</v>
      </c>
      <c r="C117" s="3265">
        <v>9.7000000000000003E-2</v>
      </c>
      <c r="D117" s="3265">
        <v>9.7000000000000003E-2</v>
      </c>
      <c r="E117" s="3276"/>
      <c r="F117" s="3276"/>
      <c r="G117" s="3266">
        <v>9.7000000000000003E-2</v>
      </c>
    </row>
    <row r="118" spans="1:7">
      <c r="A118" s="3275" t="s">
        <v>303</v>
      </c>
      <c r="B118" s="3264" t="s">
        <v>2987</v>
      </c>
      <c r="C118" s="3265">
        <v>0.1</v>
      </c>
      <c r="D118" s="3265">
        <v>0.1</v>
      </c>
      <c r="E118" s="3276"/>
      <c r="F118" s="3276"/>
      <c r="G118" s="3266">
        <v>0.1</v>
      </c>
    </row>
    <row r="119" spans="1:7">
      <c r="A119" s="3275" t="s">
        <v>303</v>
      </c>
      <c r="B119" s="3264" t="s">
        <v>2991</v>
      </c>
      <c r="C119" s="3265">
        <v>5.0999999999999997E-2</v>
      </c>
      <c r="D119" s="3265">
        <v>5.1999999999999998E-2</v>
      </c>
      <c r="E119" s="3276"/>
      <c r="F119" s="3281"/>
      <c r="G119" s="3266">
        <v>0.06</v>
      </c>
    </row>
    <row r="120" spans="1:7">
      <c r="A120" s="3275" t="s">
        <v>303</v>
      </c>
      <c r="B120" s="3264" t="s">
        <v>2995</v>
      </c>
      <c r="C120" s="3276"/>
      <c r="D120" s="3276"/>
      <c r="E120" s="3276"/>
      <c r="F120" s="3265">
        <v>0.1</v>
      </c>
      <c r="G120" s="3282"/>
    </row>
    <row r="121" spans="1:7">
      <c r="A121" s="3275" t="s">
        <v>303</v>
      </c>
      <c r="B121" s="3264" t="s">
        <v>3000</v>
      </c>
      <c r="C121" s="3276"/>
      <c r="D121" s="3276"/>
      <c r="E121" s="3276"/>
      <c r="F121" s="3265">
        <v>0.1</v>
      </c>
      <c r="G121" s="3282"/>
    </row>
    <row r="122" spans="1:7">
      <c r="A122" s="3275" t="s">
        <v>303</v>
      </c>
      <c r="B122" s="3264" t="s">
        <v>3005</v>
      </c>
      <c r="C122" s="3265">
        <v>0.1</v>
      </c>
      <c r="D122" s="3265">
        <v>0.1</v>
      </c>
      <c r="E122" s="3265">
        <v>9.8000000000000004E-2</v>
      </c>
      <c r="F122" s="3265">
        <v>0.1</v>
      </c>
      <c r="G122" s="3266">
        <v>0.1</v>
      </c>
    </row>
    <row r="123" spans="1:7">
      <c r="A123" s="3275" t="s">
        <v>303</v>
      </c>
      <c r="B123" s="3264" t="s">
        <v>3010</v>
      </c>
      <c r="C123" s="3265">
        <v>0.1</v>
      </c>
      <c r="D123" s="3265">
        <v>0.1</v>
      </c>
      <c r="E123" s="3265">
        <v>9.8000000000000004E-2</v>
      </c>
      <c r="F123" s="3265">
        <v>0.1</v>
      </c>
      <c r="G123" s="3266">
        <v>0.1</v>
      </c>
    </row>
    <row r="124" spans="1:7">
      <c r="A124" s="3275" t="s">
        <v>303</v>
      </c>
      <c r="B124" s="3264" t="s">
        <v>3015</v>
      </c>
      <c r="C124" s="3265">
        <v>0.1</v>
      </c>
      <c r="D124" s="3265">
        <v>0.1</v>
      </c>
      <c r="E124" s="3265">
        <v>9.8000000000000004E-2</v>
      </c>
      <c r="F124" s="3281"/>
      <c r="G124" s="3266">
        <v>0.1</v>
      </c>
    </row>
    <row r="125" spans="1:7">
      <c r="A125" s="3275" t="s">
        <v>303</v>
      </c>
      <c r="B125" s="3264" t="s">
        <v>3020</v>
      </c>
      <c r="C125" s="3265">
        <v>9.8000000000000004E-2</v>
      </c>
      <c r="D125" s="3265">
        <v>9.8000000000000004E-2</v>
      </c>
      <c r="E125" s="3265">
        <v>9.6000000000000002E-2</v>
      </c>
      <c r="F125" s="3281"/>
      <c r="G125" s="3266">
        <v>0.1</v>
      </c>
    </row>
    <row r="126" spans="1:7" ht="14.25" thickBot="1">
      <c r="A126" s="3278" t="s">
        <v>303</v>
      </c>
      <c r="B126" s="3268" t="s">
        <v>3186</v>
      </c>
      <c r="C126" s="3269">
        <v>0.1</v>
      </c>
      <c r="D126" s="3269">
        <v>0.1</v>
      </c>
      <c r="E126" s="3269">
        <v>9.8000000000000004E-2</v>
      </c>
      <c r="F126" s="3269">
        <v>0.1</v>
      </c>
      <c r="G126" s="3271">
        <v>0.1</v>
      </c>
    </row>
    <row r="127" spans="1:7">
      <c r="A127" s="3274" t="s">
        <v>29</v>
      </c>
      <c r="B127" s="3260" t="s">
        <v>2863</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2933</v>
      </c>
      <c r="C148" s="3265">
        <v>0.13</v>
      </c>
      <c r="D148" s="3265">
        <v>0.13</v>
      </c>
      <c r="E148" s="3265">
        <v>0.13</v>
      </c>
      <c r="F148" s="3276"/>
      <c r="G148" s="3266">
        <v>0.13</v>
      </c>
    </row>
    <row r="149" spans="1:7">
      <c r="A149" s="3275" t="s">
        <v>29</v>
      </c>
      <c r="B149" s="3264" t="s">
        <v>2937</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2956</v>
      </c>
      <c r="C153" s="3265">
        <v>0.13</v>
      </c>
      <c r="D153" s="3265">
        <v>0.13</v>
      </c>
      <c r="E153" s="3265">
        <v>0.13</v>
      </c>
      <c r="F153" s="3265">
        <v>0.13</v>
      </c>
      <c r="G153" s="3266">
        <v>0.13</v>
      </c>
    </row>
    <row r="154" spans="1:7">
      <c r="A154" s="3275" t="s">
        <v>29</v>
      </c>
      <c r="B154" s="3264" t="s">
        <v>2963</v>
      </c>
      <c r="C154" s="3265">
        <v>0.121</v>
      </c>
      <c r="D154" s="3265">
        <v>0.121</v>
      </c>
      <c r="E154" s="3265">
        <v>0.105</v>
      </c>
      <c r="F154" s="3265">
        <v>0.121</v>
      </c>
      <c r="G154" s="3266">
        <v>0.123</v>
      </c>
    </row>
    <row r="155" spans="1:7">
      <c r="A155" s="3275" t="s">
        <v>29</v>
      </c>
      <c r="B155" s="3264" t="s">
        <v>2969</v>
      </c>
      <c r="C155" s="3265">
        <v>0.1</v>
      </c>
      <c r="D155" s="3265">
        <v>0.1</v>
      </c>
      <c r="E155" s="3265">
        <v>0.1</v>
      </c>
      <c r="F155" s="3265">
        <v>0.1</v>
      </c>
      <c r="G155" s="3266">
        <v>0.1</v>
      </c>
    </row>
    <row r="156" spans="1:7">
      <c r="A156" s="3275" t="s">
        <v>29</v>
      </c>
      <c r="B156" s="3264" t="s">
        <v>2976</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2996</v>
      </c>
      <c r="C160" s="3265">
        <v>0.13</v>
      </c>
      <c r="D160" s="3265">
        <v>0.13</v>
      </c>
      <c r="E160" s="3265">
        <v>0.124</v>
      </c>
      <c r="F160" s="3265">
        <v>0.126</v>
      </c>
      <c r="G160" s="3266">
        <v>0.13</v>
      </c>
    </row>
    <row r="161" spans="1:7">
      <c r="A161" s="3275" t="s">
        <v>29</v>
      </c>
      <c r="B161" s="3264" t="s">
        <v>3001</v>
      </c>
      <c r="C161" s="3265">
        <v>0.13</v>
      </c>
      <c r="D161" s="3265">
        <v>0.13</v>
      </c>
      <c r="E161" s="3265">
        <v>0.124</v>
      </c>
      <c r="F161" s="3265">
        <v>0.127</v>
      </c>
      <c r="G161" s="3266">
        <v>0.13</v>
      </c>
    </row>
    <row r="162" spans="1:7">
      <c r="A162" s="3275" t="s">
        <v>29</v>
      </c>
      <c r="B162" s="3264" t="s">
        <v>3006</v>
      </c>
      <c r="C162" s="3265">
        <v>0.1</v>
      </c>
      <c r="D162" s="3265">
        <v>0.1</v>
      </c>
      <c r="E162" s="3265">
        <v>0.1</v>
      </c>
      <c r="F162" s="3265">
        <v>0.121</v>
      </c>
      <c r="G162" s="3266">
        <v>0.105</v>
      </c>
    </row>
    <row r="163" spans="1:7">
      <c r="A163" s="3275" t="s">
        <v>29</v>
      </c>
      <c r="B163" s="3264" t="s">
        <v>3011</v>
      </c>
      <c r="C163" s="3265">
        <v>0.1</v>
      </c>
      <c r="D163" s="3265">
        <v>0.1</v>
      </c>
      <c r="E163" s="3265">
        <v>0.1</v>
      </c>
      <c r="F163" s="3265">
        <v>0.1</v>
      </c>
      <c r="G163" s="3266">
        <v>0.1</v>
      </c>
    </row>
    <row r="164" spans="1:7">
      <c r="A164" s="3275" t="s">
        <v>29</v>
      </c>
      <c r="B164" s="3264" t="s">
        <v>3016</v>
      </c>
      <c r="C164" s="3281"/>
      <c r="D164" s="3281"/>
      <c r="E164" s="3281"/>
      <c r="F164" s="3265">
        <v>0.1</v>
      </c>
      <c r="G164" s="3277"/>
    </row>
    <row r="165" spans="1:7">
      <c r="A165" s="3275" t="s">
        <v>29</v>
      </c>
      <c r="B165" s="3264" t="s">
        <v>3187</v>
      </c>
      <c r="C165" s="3265">
        <v>0.126</v>
      </c>
      <c r="D165" s="3265">
        <v>0.126</v>
      </c>
      <c r="E165" s="3265">
        <v>0.11899999999999999</v>
      </c>
      <c r="F165" s="3265">
        <v>0.13</v>
      </c>
      <c r="G165" s="3266">
        <v>0.128</v>
      </c>
    </row>
    <row r="166" spans="1:7">
      <c r="A166" s="3275" t="s">
        <v>29</v>
      </c>
      <c r="B166" s="3264" t="s">
        <v>3026</v>
      </c>
      <c r="C166" s="3265">
        <v>0.129</v>
      </c>
      <c r="D166" s="3265">
        <v>0.129</v>
      </c>
      <c r="E166" s="3265">
        <v>0.123</v>
      </c>
      <c r="F166" s="3265">
        <v>0.128</v>
      </c>
      <c r="G166" s="3266">
        <v>0.13</v>
      </c>
    </row>
    <row r="167" spans="1:7">
      <c r="A167" s="3275" t="s">
        <v>29</v>
      </c>
      <c r="B167" s="3264" t="s">
        <v>3030</v>
      </c>
      <c r="C167" s="3265">
        <v>0.125</v>
      </c>
      <c r="D167" s="3265">
        <v>0.125</v>
      </c>
      <c r="E167" s="3265">
        <v>0.11700000000000001</v>
      </c>
      <c r="F167" s="3265">
        <v>0.13</v>
      </c>
      <c r="G167" s="3266">
        <v>0.126</v>
      </c>
    </row>
    <row r="168" spans="1:7">
      <c r="A168" s="3275" t="s">
        <v>29</v>
      </c>
      <c r="B168" s="3264" t="s">
        <v>3035</v>
      </c>
      <c r="C168" s="3265">
        <v>0.128</v>
      </c>
      <c r="D168" s="3265">
        <v>0.128</v>
      </c>
      <c r="E168" s="3265">
        <v>0.123</v>
      </c>
      <c r="F168" s="3276"/>
      <c r="G168" s="3266">
        <v>0.13</v>
      </c>
    </row>
    <row r="169" spans="1:7">
      <c r="A169" s="3275" t="s">
        <v>29</v>
      </c>
      <c r="B169" s="3264" t="s">
        <v>3188</v>
      </c>
      <c r="C169" s="3281"/>
      <c r="D169" s="3281"/>
      <c r="E169" s="3281"/>
      <c r="F169" s="3265">
        <v>0.05</v>
      </c>
      <c r="G169" s="3277"/>
    </row>
    <row r="170" spans="1:7">
      <c r="A170" s="3275" t="s">
        <v>29</v>
      </c>
      <c r="B170" s="3264" t="s">
        <v>3189</v>
      </c>
      <c r="C170" s="3281"/>
      <c r="D170" s="3281"/>
      <c r="E170" s="3281"/>
      <c r="F170" s="3265">
        <v>0.05</v>
      </c>
      <c r="G170" s="3277"/>
    </row>
    <row r="171" spans="1:7">
      <c r="A171" s="3275" t="s">
        <v>29</v>
      </c>
      <c r="B171" s="3264" t="s">
        <v>3190</v>
      </c>
      <c r="C171" s="3281"/>
      <c r="D171" s="3281"/>
      <c r="E171" s="3281"/>
      <c r="F171" s="3265">
        <v>0.05</v>
      </c>
      <c r="G171" s="3282"/>
    </row>
    <row r="172" spans="1:7">
      <c r="A172" s="3275" t="s">
        <v>29</v>
      </c>
      <c r="B172" s="3264" t="s">
        <v>3191</v>
      </c>
      <c r="C172" s="3281"/>
      <c r="D172" s="3281"/>
      <c r="E172" s="3281"/>
      <c r="F172" s="3265">
        <v>0.05</v>
      </c>
      <c r="G172" s="3282"/>
    </row>
    <row r="173" spans="1:7">
      <c r="A173" s="3275" t="s">
        <v>29</v>
      </c>
      <c r="B173" s="3264" t="s">
        <v>3192</v>
      </c>
      <c r="C173" s="3281"/>
      <c r="D173" s="3281"/>
      <c r="E173" s="3281"/>
      <c r="F173" s="3265">
        <v>0.05</v>
      </c>
      <c r="G173" s="3277"/>
    </row>
    <row r="174" spans="1:7">
      <c r="A174" s="3275" t="s">
        <v>29</v>
      </c>
      <c r="B174" s="3264" t="s">
        <v>3193</v>
      </c>
      <c r="C174" s="3281"/>
      <c r="D174" s="3281"/>
      <c r="E174" s="3281"/>
      <c r="F174" s="3265">
        <v>0.05</v>
      </c>
      <c r="G174" s="3277"/>
    </row>
    <row r="175" spans="1:7">
      <c r="A175" s="3275" t="s">
        <v>29</v>
      </c>
      <c r="B175" s="3264" t="s">
        <v>3194</v>
      </c>
      <c r="C175" s="3281"/>
      <c r="D175" s="3281"/>
      <c r="E175" s="3281"/>
      <c r="F175" s="3265">
        <v>0.05</v>
      </c>
      <c r="G175" s="3277"/>
    </row>
    <row r="176" spans="1:7">
      <c r="A176" s="3275" t="s">
        <v>29</v>
      </c>
      <c r="B176" s="3264" t="s">
        <v>3195</v>
      </c>
      <c r="C176" s="3281"/>
      <c r="D176" s="3281"/>
      <c r="E176" s="3281"/>
      <c r="F176" s="3265">
        <v>0.05</v>
      </c>
      <c r="G176" s="3277"/>
    </row>
    <row r="177" spans="1:7">
      <c r="A177" s="3275" t="s">
        <v>29</v>
      </c>
      <c r="B177" s="3264" t="s">
        <v>3196</v>
      </c>
      <c r="C177" s="3276"/>
      <c r="D177" s="3276"/>
      <c r="E177" s="3276"/>
      <c r="F177" s="3265">
        <v>0.05</v>
      </c>
      <c r="G177" s="3282"/>
    </row>
    <row r="178" spans="1:7">
      <c r="A178" s="3275" t="s">
        <v>29</v>
      </c>
      <c r="B178" s="3264" t="s">
        <v>3197</v>
      </c>
      <c r="C178" s="3276"/>
      <c r="D178" s="3276"/>
      <c r="E178" s="3276"/>
      <c r="F178" s="3265">
        <v>0.05</v>
      </c>
      <c r="G178" s="3282"/>
    </row>
    <row r="179" spans="1:7">
      <c r="A179" s="3275" t="s">
        <v>29</v>
      </c>
      <c r="B179" s="3264" t="s">
        <v>3198</v>
      </c>
      <c r="C179" s="3276"/>
      <c r="D179" s="3276"/>
      <c r="E179" s="3276"/>
      <c r="F179" s="3265">
        <v>0.05</v>
      </c>
      <c r="G179" s="3282"/>
    </row>
    <row r="180" spans="1:7">
      <c r="A180" s="3275" t="s">
        <v>29</v>
      </c>
      <c r="B180" s="3264" t="s">
        <v>3199</v>
      </c>
      <c r="C180" s="3276"/>
      <c r="D180" s="3276"/>
      <c r="E180" s="3276"/>
      <c r="F180" s="3265">
        <v>0.05</v>
      </c>
      <c r="G180" s="3282"/>
    </row>
    <row r="181" spans="1:7">
      <c r="A181" s="3275" t="s">
        <v>29</v>
      </c>
      <c r="B181" s="3264" t="s">
        <v>3200</v>
      </c>
      <c r="C181" s="3276"/>
      <c r="D181" s="3276"/>
      <c r="E181" s="3276"/>
      <c r="F181" s="3265">
        <v>0.05</v>
      </c>
      <c r="G181" s="3282"/>
    </row>
    <row r="182" spans="1:7">
      <c r="A182" s="3275" t="s">
        <v>29</v>
      </c>
      <c r="B182" s="3264" t="s">
        <v>3201</v>
      </c>
      <c r="C182" s="3276"/>
      <c r="D182" s="3276"/>
      <c r="E182" s="3276"/>
      <c r="F182" s="3265">
        <v>0.05</v>
      </c>
      <c r="G182" s="3282"/>
    </row>
    <row r="183" spans="1:7">
      <c r="A183" s="3275" t="s">
        <v>29</v>
      </c>
      <c r="B183" s="3264" t="s">
        <v>3202</v>
      </c>
      <c r="C183" s="3276"/>
      <c r="D183" s="3276"/>
      <c r="E183" s="3276"/>
      <c r="F183" s="3265">
        <v>0.05</v>
      </c>
      <c r="G183" s="3282"/>
    </row>
    <row r="184" spans="1:7">
      <c r="A184" s="3275" t="s">
        <v>29</v>
      </c>
      <c r="B184" s="3264" t="s">
        <v>3203</v>
      </c>
      <c r="C184" s="3276"/>
      <c r="D184" s="3276"/>
      <c r="E184" s="3276"/>
      <c r="F184" s="3265">
        <v>0.05</v>
      </c>
      <c r="G184" s="3282"/>
    </row>
    <row r="185" spans="1:7">
      <c r="A185" s="3275" t="s">
        <v>29</v>
      </c>
      <c r="B185" s="3264" t="s">
        <v>3204</v>
      </c>
      <c r="C185" s="3276"/>
      <c r="D185" s="3276"/>
      <c r="E185" s="3276"/>
      <c r="F185" s="3265">
        <v>0.05</v>
      </c>
      <c r="G185" s="3282"/>
    </row>
    <row r="186" spans="1:7">
      <c r="A186" s="3275" t="s">
        <v>29</v>
      </c>
      <c r="B186" s="3264" t="s">
        <v>3205</v>
      </c>
      <c r="C186" s="3276"/>
      <c r="D186" s="3276"/>
      <c r="E186" s="3276"/>
      <c r="F186" s="3265">
        <v>0.05</v>
      </c>
      <c r="G186" s="3282"/>
    </row>
    <row r="187" spans="1:7">
      <c r="A187" s="3275" t="s">
        <v>29</v>
      </c>
      <c r="B187" s="3264" t="s">
        <v>3206</v>
      </c>
      <c r="C187" s="3276"/>
      <c r="D187" s="3276"/>
      <c r="E187" s="3276"/>
      <c r="F187" s="3265">
        <v>0.05</v>
      </c>
      <c r="G187" s="3282"/>
    </row>
    <row r="188" spans="1:7">
      <c r="A188" s="3275" t="s">
        <v>29</v>
      </c>
      <c r="B188" s="3264" t="s">
        <v>3207</v>
      </c>
      <c r="C188" s="3276"/>
      <c r="D188" s="3276"/>
      <c r="E188" s="3276"/>
      <c r="F188" s="3265">
        <v>0.05</v>
      </c>
      <c r="G188" s="3282"/>
    </row>
    <row r="189" spans="1:7" ht="14.25" thickBot="1">
      <c r="A189" s="3278" t="s">
        <v>29</v>
      </c>
      <c r="B189" s="3268" t="s">
        <v>3208</v>
      </c>
      <c r="C189" s="3270"/>
      <c r="D189" s="3270"/>
      <c r="E189" s="3270"/>
      <c r="F189" s="3269">
        <v>0.05</v>
      </c>
      <c r="G189" s="3283"/>
    </row>
    <row r="190" spans="1:7">
      <c r="A190" s="3274" t="s">
        <v>304</v>
      </c>
      <c r="B190" s="3260" t="s">
        <v>2864</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2900</v>
      </c>
      <c r="C199" s="3265">
        <v>0.13</v>
      </c>
      <c r="D199" s="3265">
        <v>0.13</v>
      </c>
      <c r="E199" s="3265">
        <v>0.13</v>
      </c>
      <c r="F199" s="3265">
        <v>0.13</v>
      </c>
      <c r="G199" s="3266">
        <v>0.13</v>
      </c>
    </row>
    <row r="200" spans="1:7">
      <c r="A200" s="3275" t="s">
        <v>304</v>
      </c>
      <c r="B200" s="3264" t="s">
        <v>2903</v>
      </c>
      <c r="C200" s="3281"/>
      <c r="D200" s="3281"/>
      <c r="E200" s="3281"/>
      <c r="F200" s="3265">
        <v>0.13</v>
      </c>
      <c r="G200" s="3277"/>
    </row>
    <row r="201" spans="1:7">
      <c r="A201" s="3275" t="s">
        <v>304</v>
      </c>
      <c r="B201" s="3264" t="s">
        <v>2908</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2911</v>
      </c>
      <c r="C203" s="3265">
        <v>0.129</v>
      </c>
      <c r="D203" s="3265">
        <v>0.129</v>
      </c>
      <c r="E203" s="3265">
        <v>0.13</v>
      </c>
      <c r="F203" s="3265">
        <v>0.13</v>
      </c>
      <c r="G203" s="3266">
        <v>0.13</v>
      </c>
    </row>
    <row r="204" spans="1:7">
      <c r="A204" s="3275" t="s">
        <v>304</v>
      </c>
      <c r="B204" s="3264" t="s">
        <v>2914</v>
      </c>
      <c r="C204" s="3265">
        <v>0.129</v>
      </c>
      <c r="D204" s="3265">
        <v>0.129</v>
      </c>
      <c r="E204" s="3265">
        <v>0.123</v>
      </c>
      <c r="F204" s="3265">
        <v>0.13</v>
      </c>
      <c r="G204" s="3266">
        <v>0.13</v>
      </c>
    </row>
    <row r="205" spans="1:7">
      <c r="A205" s="3275" t="s">
        <v>304</v>
      </c>
      <c r="B205" s="3264" t="s">
        <v>2916</v>
      </c>
      <c r="C205" s="3265">
        <v>0.13</v>
      </c>
      <c r="D205" s="3265">
        <v>0.13</v>
      </c>
      <c r="E205" s="3265">
        <v>0.13</v>
      </c>
      <c r="F205" s="3265">
        <v>0.13</v>
      </c>
      <c r="G205" s="3266">
        <v>0.13</v>
      </c>
    </row>
    <row r="206" spans="1:7">
      <c r="A206" s="3275" t="s">
        <v>304</v>
      </c>
      <c r="B206" s="3264" t="s">
        <v>2919</v>
      </c>
      <c r="C206" s="3265">
        <v>0.13</v>
      </c>
      <c r="D206" s="3265">
        <v>0.13</v>
      </c>
      <c r="E206" s="3265">
        <v>0.13</v>
      </c>
      <c r="F206" s="3265">
        <v>0.128</v>
      </c>
      <c r="G206" s="3266">
        <v>0.13</v>
      </c>
    </row>
    <row r="207" spans="1:7">
      <c r="A207" s="3275" t="s">
        <v>304</v>
      </c>
      <c r="B207" s="3264" t="s">
        <v>2921</v>
      </c>
      <c r="C207" s="3265">
        <v>0.13</v>
      </c>
      <c r="D207" s="3265">
        <v>0.13</v>
      </c>
      <c r="E207" s="3265">
        <v>0.13</v>
      </c>
      <c r="F207" s="3265">
        <v>0.13</v>
      </c>
      <c r="G207" s="3266">
        <v>0.13</v>
      </c>
    </row>
    <row r="208" spans="1:7">
      <c r="A208" s="3275" t="s">
        <v>304</v>
      </c>
      <c r="B208" s="3264" t="s">
        <v>2924</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2931</v>
      </c>
      <c r="C210" s="3265">
        <v>0.121</v>
      </c>
      <c r="D210" s="3265">
        <v>0.121</v>
      </c>
      <c r="E210" s="3265">
        <v>0.125</v>
      </c>
      <c r="F210" s="3265">
        <v>0.13</v>
      </c>
      <c r="G210" s="3266">
        <v>0.123</v>
      </c>
    </row>
    <row r="211" spans="1:7">
      <c r="A211" s="3275" t="s">
        <v>304</v>
      </c>
      <c r="B211" s="3264" t="s">
        <v>2934</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2946</v>
      </c>
      <c r="C214" s="3265">
        <v>0.128</v>
      </c>
      <c r="D214" s="3265">
        <v>0.128</v>
      </c>
      <c r="E214" s="3265">
        <v>0.13</v>
      </c>
      <c r="F214" s="3265">
        <v>0.13</v>
      </c>
      <c r="G214" s="3266">
        <v>0.13</v>
      </c>
    </row>
    <row r="215" spans="1:7">
      <c r="A215" s="3275" t="s">
        <v>304</v>
      </c>
      <c r="B215" s="3264" t="s">
        <v>2950</v>
      </c>
      <c r="C215" s="3265">
        <v>0.13</v>
      </c>
      <c r="D215" s="3265">
        <v>0.13</v>
      </c>
      <c r="E215" s="3265">
        <v>0.13</v>
      </c>
      <c r="F215" s="3265">
        <v>0.129</v>
      </c>
      <c r="G215" s="3266">
        <v>0.13</v>
      </c>
    </row>
    <row r="216" spans="1:7">
      <c r="A216" s="3275" t="s">
        <v>304</v>
      </c>
      <c r="B216" s="3264" t="s">
        <v>2957</v>
      </c>
      <c r="C216" s="3265">
        <v>0.13</v>
      </c>
      <c r="D216" s="3265">
        <v>0.13</v>
      </c>
      <c r="E216" s="3265">
        <v>0.13</v>
      </c>
      <c r="F216" s="3265">
        <v>0.13</v>
      </c>
      <c r="G216" s="3266">
        <v>0.13</v>
      </c>
    </row>
    <row r="217" spans="1:7">
      <c r="A217" s="3275" t="s">
        <v>304</v>
      </c>
      <c r="B217" s="3264" t="s">
        <v>2964</v>
      </c>
      <c r="C217" s="3265">
        <v>0.129</v>
      </c>
      <c r="D217" s="3265">
        <v>0.129</v>
      </c>
      <c r="E217" s="3265">
        <v>0.13</v>
      </c>
      <c r="F217" s="3265">
        <v>0.13</v>
      </c>
      <c r="G217" s="3266">
        <v>0.13</v>
      </c>
    </row>
    <row r="218" spans="1:7">
      <c r="A218" s="3275" t="s">
        <v>304</v>
      </c>
      <c r="B218" s="3264" t="s">
        <v>2970</v>
      </c>
      <c r="C218" s="3276"/>
      <c r="D218" s="3276"/>
      <c r="E218" s="3276"/>
      <c r="F218" s="3265">
        <v>0.05</v>
      </c>
      <c r="G218" s="3282"/>
    </row>
    <row r="219" spans="1:7">
      <c r="A219" s="3275" t="s">
        <v>304</v>
      </c>
      <c r="B219" s="3264" t="s">
        <v>2977</v>
      </c>
      <c r="C219" s="3276"/>
      <c r="D219" s="3276"/>
      <c r="E219" s="3276"/>
      <c r="F219" s="3265">
        <v>0.05</v>
      </c>
      <c r="G219" s="3282"/>
    </row>
    <row r="220" spans="1:7">
      <c r="A220" s="3275" t="s">
        <v>304</v>
      </c>
      <c r="B220" s="3264" t="s">
        <v>2983</v>
      </c>
      <c r="C220" s="3276"/>
      <c r="D220" s="3276"/>
      <c r="E220" s="3276"/>
      <c r="F220" s="3265">
        <v>0.05</v>
      </c>
      <c r="G220" s="3282"/>
    </row>
    <row r="221" spans="1:7">
      <c r="A221" s="3275" t="s">
        <v>304</v>
      </c>
      <c r="B221" s="3264" t="s">
        <v>2988</v>
      </c>
      <c r="C221" s="3276"/>
      <c r="D221" s="3276"/>
      <c r="E221" s="3276"/>
      <c r="F221" s="3265">
        <v>0.05</v>
      </c>
      <c r="G221" s="3282"/>
    </row>
    <row r="222" spans="1:7">
      <c r="A222" s="3275" t="s">
        <v>304</v>
      </c>
      <c r="B222" s="3264" t="s">
        <v>2992</v>
      </c>
      <c r="C222" s="3276"/>
      <c r="D222" s="3276"/>
      <c r="E222" s="3276"/>
      <c r="F222" s="3265">
        <v>0.05</v>
      </c>
      <c r="G222" s="3282"/>
    </row>
    <row r="223" spans="1:7">
      <c r="A223" s="3275" t="s">
        <v>304</v>
      </c>
      <c r="B223" s="3264" t="s">
        <v>2997</v>
      </c>
      <c r="C223" s="3276"/>
      <c r="D223" s="3276"/>
      <c r="E223" s="3276"/>
      <c r="F223" s="3265">
        <v>0.05</v>
      </c>
      <c r="G223" s="3282"/>
    </row>
    <row r="224" spans="1:7">
      <c r="A224" s="3275" t="s">
        <v>304</v>
      </c>
      <c r="B224" s="3264" t="s">
        <v>3002</v>
      </c>
      <c r="C224" s="3276"/>
      <c r="D224" s="3276"/>
      <c r="E224" s="3276"/>
      <c r="F224" s="3265">
        <v>0.05</v>
      </c>
      <c r="G224" s="3282"/>
    </row>
    <row r="225" spans="1:7">
      <c r="A225" s="3275" t="s">
        <v>304</v>
      </c>
      <c r="B225" s="3264" t="s">
        <v>3007</v>
      </c>
      <c r="C225" s="3276"/>
      <c r="D225" s="3276"/>
      <c r="E225" s="3276"/>
      <c r="F225" s="3265">
        <v>0.05</v>
      </c>
      <c r="G225" s="3282"/>
    </row>
    <row r="226" spans="1:7">
      <c r="A226" s="3275" t="s">
        <v>304</v>
      </c>
      <c r="B226" s="3264" t="s">
        <v>3209</v>
      </c>
      <c r="C226" s="3276"/>
      <c r="D226" s="3276"/>
      <c r="E226" s="3276"/>
      <c r="F226" s="3265">
        <v>0.05</v>
      </c>
      <c r="G226" s="3282"/>
    </row>
    <row r="227" spans="1:7">
      <c r="A227" s="3275" t="s">
        <v>304</v>
      </c>
      <c r="B227" s="3264" t="s">
        <v>3210</v>
      </c>
      <c r="C227" s="3276"/>
      <c r="D227" s="3276"/>
      <c r="E227" s="3276"/>
      <c r="F227" s="3265">
        <v>0.05</v>
      </c>
      <c r="G227" s="3282"/>
    </row>
    <row r="228" spans="1:7">
      <c r="A228" s="3275" t="s">
        <v>304</v>
      </c>
      <c r="B228" s="3264" t="s">
        <v>3211</v>
      </c>
      <c r="C228" s="3276"/>
      <c r="D228" s="3276"/>
      <c r="E228" s="3276"/>
      <c r="F228" s="3265">
        <v>0.05</v>
      </c>
      <c r="G228" s="3282"/>
    </row>
    <row r="229" spans="1:7">
      <c r="A229" s="3275" t="s">
        <v>304</v>
      </c>
      <c r="B229" s="3264" t="s">
        <v>3212</v>
      </c>
      <c r="C229" s="3276"/>
      <c r="D229" s="3276"/>
      <c r="E229" s="3276"/>
      <c r="F229" s="3265">
        <v>0.05</v>
      </c>
      <c r="G229" s="3282"/>
    </row>
    <row r="230" spans="1:7">
      <c r="A230" s="3275" t="s">
        <v>304</v>
      </c>
      <c r="B230" s="3264" t="s">
        <v>3213</v>
      </c>
      <c r="C230" s="3276"/>
      <c r="D230" s="3276"/>
      <c r="E230" s="3276"/>
      <c r="F230" s="3265">
        <v>0.05</v>
      </c>
      <c r="G230" s="3282"/>
    </row>
    <row r="231" spans="1:7">
      <c r="A231" s="3275" t="s">
        <v>304</v>
      </c>
      <c r="B231" s="3264" t="s">
        <v>3214</v>
      </c>
      <c r="C231" s="3276"/>
      <c r="D231" s="3276"/>
      <c r="E231" s="3276"/>
      <c r="F231" s="3265">
        <v>0.05</v>
      </c>
      <c r="G231" s="3282"/>
    </row>
    <row r="232" spans="1:7">
      <c r="A232" s="3275" t="s">
        <v>304</v>
      </c>
      <c r="B232" s="3264" t="s">
        <v>3215</v>
      </c>
      <c r="C232" s="3276"/>
      <c r="D232" s="3276"/>
      <c r="E232" s="3276"/>
      <c r="F232" s="3265">
        <v>0.05</v>
      </c>
      <c r="G232" s="3282"/>
    </row>
    <row r="233" spans="1:7" ht="14.25" thickBot="1">
      <c r="A233" s="3278" t="s">
        <v>304</v>
      </c>
      <c r="B233" s="3268" t="s">
        <v>3216</v>
      </c>
      <c r="C233" s="3270"/>
      <c r="D233" s="3270"/>
      <c r="E233" s="3270"/>
      <c r="F233" s="3269">
        <v>0.05</v>
      </c>
      <c r="G233" s="3283"/>
    </row>
    <row r="234" spans="1:7">
      <c r="A234" s="3274" t="s">
        <v>305</v>
      </c>
      <c r="B234" s="3260" t="s">
        <v>2865</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2885</v>
      </c>
      <c r="C238" s="3265">
        <v>0.14899999999999999</v>
      </c>
      <c r="D238" s="3265">
        <v>0.14899999999999999</v>
      </c>
      <c r="E238" s="3265">
        <v>0.15</v>
      </c>
      <c r="F238" s="3265">
        <v>0.15</v>
      </c>
      <c r="G238" s="3266">
        <v>0.15</v>
      </c>
    </row>
    <row r="239" spans="1:7">
      <c r="A239" s="3275" t="s">
        <v>305</v>
      </c>
      <c r="B239" s="3264" t="s">
        <v>2889</v>
      </c>
      <c r="C239" s="3265">
        <v>0.15</v>
      </c>
      <c r="D239" s="3265">
        <v>0.15</v>
      </c>
      <c r="E239" s="3265">
        <v>0.15</v>
      </c>
      <c r="F239" s="3265">
        <v>0.15</v>
      </c>
      <c r="G239" s="3266">
        <v>0.15</v>
      </c>
    </row>
    <row r="240" spans="1:7">
      <c r="A240" s="3275" t="s">
        <v>305</v>
      </c>
      <c r="B240" s="3264" t="s">
        <v>2894</v>
      </c>
      <c r="C240" s="3265">
        <v>0.15</v>
      </c>
      <c r="D240" s="3265">
        <v>0.15</v>
      </c>
      <c r="E240" s="3265">
        <v>0.15</v>
      </c>
      <c r="F240" s="3265">
        <v>0.15</v>
      </c>
      <c r="G240" s="3266">
        <v>0.15</v>
      </c>
    </row>
    <row r="241" spans="1:7">
      <c r="A241" s="3275" t="s">
        <v>305</v>
      </c>
      <c r="B241" s="3264" t="s">
        <v>2898</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2904</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2912</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2917</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2925</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2938</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2947</v>
      </c>
      <c r="C258" s="3265">
        <v>0.14299999999999999</v>
      </c>
      <c r="D258" s="3265">
        <v>0.14299999999999999</v>
      </c>
      <c r="E258" s="3265">
        <v>0.15</v>
      </c>
      <c r="F258" s="3265">
        <v>0.14799999999999999</v>
      </c>
      <c r="G258" s="3266">
        <v>0.14599999999999999</v>
      </c>
    </row>
    <row r="259" spans="1:7">
      <c r="A259" s="3275" t="s">
        <v>305</v>
      </c>
      <c r="B259" s="3264" t="s">
        <v>2951</v>
      </c>
      <c r="C259" s="3265">
        <v>0.14399999999999999</v>
      </c>
      <c r="D259" s="3265">
        <v>0.14399999999999999</v>
      </c>
      <c r="E259" s="3265">
        <v>0.14899999999999999</v>
      </c>
      <c r="F259" s="3265">
        <v>0.14699999999999999</v>
      </c>
      <c r="G259" s="3266">
        <v>0.14599999999999999</v>
      </c>
    </row>
    <row r="260" spans="1:7">
      <c r="A260" s="3275" t="s">
        <v>305</v>
      </c>
      <c r="B260" s="3264" t="s">
        <v>2958</v>
      </c>
      <c r="C260" s="3265">
        <v>0.109</v>
      </c>
      <c r="D260" s="3265">
        <v>0.111</v>
      </c>
      <c r="E260" s="3265">
        <v>0.13100000000000001</v>
      </c>
      <c r="F260" s="3265">
        <v>0.126</v>
      </c>
      <c r="G260" s="3266">
        <v>0.11899999999999999</v>
      </c>
    </row>
    <row r="261" spans="1:7">
      <c r="A261" s="3275" t="s">
        <v>305</v>
      </c>
      <c r="B261" s="3264" t="s">
        <v>2965</v>
      </c>
      <c r="C261" s="3265">
        <v>0.1</v>
      </c>
      <c r="D261" s="3265">
        <v>0.1</v>
      </c>
      <c r="E261" s="3265">
        <v>0.11799999999999999</v>
      </c>
      <c r="F261" s="3265">
        <v>0.108</v>
      </c>
      <c r="G261" s="3266">
        <v>0.107</v>
      </c>
    </row>
    <row r="262" spans="1:7">
      <c r="A262" s="3275" t="s">
        <v>305</v>
      </c>
      <c r="B262" s="3264" t="s">
        <v>2971</v>
      </c>
      <c r="C262" s="3265">
        <v>0.1</v>
      </c>
      <c r="D262" s="3265">
        <v>0.1</v>
      </c>
      <c r="E262" s="3265">
        <v>0.1</v>
      </c>
      <c r="F262" s="3265">
        <v>0.14099999999999999</v>
      </c>
      <c r="G262" s="3266">
        <v>0.1</v>
      </c>
    </row>
    <row r="263" spans="1:7">
      <c r="A263" s="3275" t="s">
        <v>305</v>
      </c>
      <c r="B263" s="3264" t="s">
        <v>2978</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2989</v>
      </c>
      <c r="C265" s="3276"/>
      <c r="D265" s="3276"/>
      <c r="E265" s="3276"/>
      <c r="F265" s="3265">
        <v>0.05</v>
      </c>
      <c r="G265" s="3282"/>
    </row>
    <row r="266" spans="1:7">
      <c r="A266" s="3275" t="s">
        <v>305</v>
      </c>
      <c r="B266" s="3264" t="s">
        <v>2993</v>
      </c>
      <c r="C266" s="3276"/>
      <c r="D266" s="3276"/>
      <c r="E266" s="3276"/>
      <c r="F266" s="3265">
        <v>0.05</v>
      </c>
      <c r="G266" s="3282"/>
    </row>
    <row r="267" spans="1:7">
      <c r="A267" s="3275" t="s">
        <v>305</v>
      </c>
      <c r="B267" s="3264" t="s">
        <v>2998</v>
      </c>
      <c r="C267" s="3276"/>
      <c r="D267" s="3276"/>
      <c r="E267" s="3276"/>
      <c r="F267" s="3265">
        <v>0.05</v>
      </c>
      <c r="G267" s="3282"/>
    </row>
    <row r="268" spans="1:7">
      <c r="A268" s="3275" t="s">
        <v>305</v>
      </c>
      <c r="B268" s="3264" t="s">
        <v>3003</v>
      </c>
      <c r="C268" s="3276"/>
      <c r="D268" s="3276"/>
      <c r="E268" s="3276"/>
      <c r="F268" s="3265">
        <v>0.05</v>
      </c>
      <c r="G268" s="3282"/>
    </row>
    <row r="269" spans="1:7">
      <c r="A269" s="3275" t="s">
        <v>305</v>
      </c>
      <c r="B269" s="3264" t="s">
        <v>3008</v>
      </c>
      <c r="C269" s="3276"/>
      <c r="D269" s="3276"/>
      <c r="E269" s="3276"/>
      <c r="F269" s="3265">
        <v>0.05</v>
      </c>
      <c r="G269" s="3282"/>
    </row>
    <row r="270" spans="1:7">
      <c r="A270" s="3275" t="s">
        <v>305</v>
      </c>
      <c r="B270" s="3264" t="s">
        <v>3013</v>
      </c>
      <c r="C270" s="3276"/>
      <c r="D270" s="3276"/>
      <c r="E270" s="3276"/>
      <c r="F270" s="3265">
        <v>0.05</v>
      </c>
      <c r="G270" s="3282"/>
    </row>
    <row r="271" spans="1:7">
      <c r="A271" s="3275" t="s">
        <v>305</v>
      </c>
      <c r="B271" s="3264" t="s">
        <v>3217</v>
      </c>
      <c r="C271" s="3276"/>
      <c r="D271" s="3276"/>
      <c r="E271" s="3276"/>
      <c r="F271" s="3265">
        <v>0.05</v>
      </c>
      <c r="G271" s="3282"/>
    </row>
    <row r="272" spans="1:7">
      <c r="A272" s="3275" t="s">
        <v>305</v>
      </c>
      <c r="B272" s="3264" t="s">
        <v>3218</v>
      </c>
      <c r="C272" s="3276"/>
      <c r="D272" s="3276"/>
      <c r="E272" s="3276"/>
      <c r="F272" s="3265">
        <v>0.05</v>
      </c>
      <c r="G272" s="3282"/>
    </row>
    <row r="273" spans="1:7">
      <c r="A273" s="3275" t="s">
        <v>305</v>
      </c>
      <c r="B273" s="3264" t="s">
        <v>3219</v>
      </c>
      <c r="C273" s="3276"/>
      <c r="D273" s="3276"/>
      <c r="E273" s="3276"/>
      <c r="F273" s="3265">
        <v>0.05</v>
      </c>
      <c r="G273" s="3282"/>
    </row>
    <row r="274" spans="1:7">
      <c r="A274" s="3275" t="s">
        <v>305</v>
      </c>
      <c r="B274" s="3264" t="s">
        <v>3220</v>
      </c>
      <c r="C274" s="3276"/>
      <c r="D274" s="3276"/>
      <c r="E274" s="3276"/>
      <c r="F274" s="3265">
        <v>0.05</v>
      </c>
      <c r="G274" s="3282"/>
    </row>
    <row r="275" spans="1:7">
      <c r="A275" s="3275" t="s">
        <v>305</v>
      </c>
      <c r="B275" s="3264" t="s">
        <v>3221</v>
      </c>
      <c r="C275" s="3276"/>
      <c r="D275" s="3276"/>
      <c r="E275" s="3276"/>
      <c r="F275" s="3265">
        <v>0.05</v>
      </c>
      <c r="G275" s="3282"/>
    </row>
    <row r="276" spans="1:7" ht="14.25" thickBot="1">
      <c r="A276" s="3278" t="s">
        <v>305</v>
      </c>
      <c r="B276" s="3268" t="s">
        <v>3222</v>
      </c>
      <c r="C276" s="3270"/>
      <c r="D276" s="3270"/>
      <c r="E276" s="3270"/>
      <c r="F276" s="3269">
        <v>0.05</v>
      </c>
      <c r="G276" s="3283"/>
    </row>
    <row r="277" spans="1:7">
      <c r="A277" s="3274" t="s">
        <v>306</v>
      </c>
      <c r="B277" s="3260" t="s">
        <v>2866</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2878</v>
      </c>
      <c r="C279" s="3265">
        <v>0.15</v>
      </c>
      <c r="D279" s="3265">
        <v>0.15</v>
      </c>
      <c r="E279" s="3265">
        <v>0.15</v>
      </c>
      <c r="F279" s="3265">
        <v>0.15</v>
      </c>
      <c r="G279" s="3266">
        <v>0.15</v>
      </c>
    </row>
    <row r="280" spans="1:7">
      <c r="A280" s="3275" t="s">
        <v>306</v>
      </c>
      <c r="B280" s="3264" t="s">
        <v>2882</v>
      </c>
      <c r="C280" s="3265">
        <v>0.15</v>
      </c>
      <c r="D280" s="3265">
        <v>0.15</v>
      </c>
      <c r="E280" s="3265">
        <v>0.15</v>
      </c>
      <c r="F280" s="3265">
        <v>0.15</v>
      </c>
      <c r="G280" s="3266">
        <v>0.15</v>
      </c>
    </row>
    <row r="281" spans="1:7">
      <c r="A281" s="3275" t="s">
        <v>306</v>
      </c>
      <c r="B281" s="3264" t="s">
        <v>2886</v>
      </c>
      <c r="C281" s="3265">
        <v>0.15</v>
      </c>
      <c r="D281" s="3265">
        <v>0.15</v>
      </c>
      <c r="E281" s="3265">
        <v>0.15</v>
      </c>
      <c r="F281" s="3265">
        <v>0.15</v>
      </c>
      <c r="G281" s="3266">
        <v>0.15</v>
      </c>
    </row>
    <row r="282" spans="1:7">
      <c r="A282" s="3275" t="s">
        <v>306</v>
      </c>
      <c r="B282" s="3264" t="s">
        <v>2890</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2905</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2910</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2920</v>
      </c>
      <c r="C293" s="3265">
        <v>0.15</v>
      </c>
      <c r="D293" s="3265">
        <v>0.15</v>
      </c>
      <c r="E293" s="3265">
        <v>0.15</v>
      </c>
      <c r="F293" s="3265">
        <v>0.14499999999999999</v>
      </c>
      <c r="G293" s="3266">
        <v>0.15</v>
      </c>
    </row>
    <row r="294" spans="1:7">
      <c r="A294" s="3275" t="s">
        <v>306</v>
      </c>
      <c r="B294" s="3264" t="s">
        <v>2922</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2939</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2952</v>
      </c>
      <c r="C302" s="3265">
        <v>0.15</v>
      </c>
      <c r="D302" s="3265">
        <v>0.15</v>
      </c>
      <c r="E302" s="3265">
        <v>0.15</v>
      </c>
      <c r="F302" s="3265">
        <v>0.14699999999999999</v>
      </c>
      <c r="G302" s="3266">
        <v>0.15</v>
      </c>
    </row>
    <row r="303" spans="1:7">
      <c r="A303" s="3275" t="s">
        <v>306</v>
      </c>
      <c r="B303" s="3264" t="s">
        <v>2959</v>
      </c>
      <c r="C303" s="3265">
        <v>0.15</v>
      </c>
      <c r="D303" s="3265">
        <v>0.15</v>
      </c>
      <c r="E303" s="3265">
        <v>0.15</v>
      </c>
      <c r="F303" s="3265">
        <v>0.14199999999999999</v>
      </c>
      <c r="G303" s="3266">
        <v>0.15</v>
      </c>
    </row>
    <row r="304" spans="1:7">
      <c r="A304" s="3275" t="s">
        <v>306</v>
      </c>
      <c r="B304" s="3264" t="s">
        <v>2966</v>
      </c>
      <c r="C304" s="3265">
        <v>0.15</v>
      </c>
      <c r="D304" s="3265">
        <v>0.15</v>
      </c>
      <c r="E304" s="3265">
        <v>0.15</v>
      </c>
      <c r="F304" s="3265">
        <v>0.14499999999999999</v>
      </c>
      <c r="G304" s="3266">
        <v>0.15</v>
      </c>
    </row>
    <row r="305" spans="1:7">
      <c r="A305" s="3275" t="s">
        <v>306</v>
      </c>
      <c r="B305" s="3264" t="s">
        <v>2972</v>
      </c>
      <c r="C305" s="3265">
        <v>0.15</v>
      </c>
      <c r="D305" s="3265">
        <v>0.15</v>
      </c>
      <c r="E305" s="3265">
        <v>0.15</v>
      </c>
      <c r="F305" s="3265">
        <v>0.111</v>
      </c>
      <c r="G305" s="3266">
        <v>0.15</v>
      </c>
    </row>
    <row r="306" spans="1:7">
      <c r="A306" s="3275" t="s">
        <v>306</v>
      </c>
      <c r="B306" s="3264" t="s">
        <v>2979</v>
      </c>
      <c r="C306" s="3265">
        <v>0.15</v>
      </c>
      <c r="D306" s="3265">
        <v>0.15</v>
      </c>
      <c r="E306" s="3265">
        <v>0.15</v>
      </c>
      <c r="F306" s="3265">
        <v>0.126</v>
      </c>
      <c r="G306" s="3266">
        <v>0.15</v>
      </c>
    </row>
    <row r="307" spans="1:7">
      <c r="A307" s="3275" t="s">
        <v>306</v>
      </c>
      <c r="B307" s="3264" t="s">
        <v>2984</v>
      </c>
      <c r="C307" s="3265">
        <v>0.15</v>
      </c>
      <c r="D307" s="3265">
        <v>0.15</v>
      </c>
      <c r="E307" s="3265">
        <v>0.15</v>
      </c>
      <c r="F307" s="3265">
        <v>0.12</v>
      </c>
      <c r="G307" s="3266">
        <v>0.15</v>
      </c>
    </row>
    <row r="308" spans="1:7">
      <c r="A308" s="3275" t="s">
        <v>306</v>
      </c>
      <c r="B308" s="3264" t="s">
        <v>2990</v>
      </c>
      <c r="C308" s="3265">
        <v>0.15</v>
      </c>
      <c r="D308" s="3265">
        <v>0.15</v>
      </c>
      <c r="E308" s="3265">
        <v>0.15</v>
      </c>
      <c r="F308" s="3265">
        <v>0.13</v>
      </c>
      <c r="G308" s="3266">
        <v>0.15</v>
      </c>
    </row>
    <row r="309" spans="1:7">
      <c r="A309" s="3275" t="s">
        <v>306</v>
      </c>
      <c r="B309" s="3264" t="s">
        <v>2994</v>
      </c>
      <c r="C309" s="3265">
        <v>0.15</v>
      </c>
      <c r="D309" s="3265">
        <v>0.15</v>
      </c>
      <c r="E309" s="3265">
        <v>0.15</v>
      </c>
      <c r="F309" s="3265">
        <v>0.14099999999999999</v>
      </c>
      <c r="G309" s="3266">
        <v>0.15</v>
      </c>
    </row>
    <row r="310" spans="1:7">
      <c r="A310" s="3275" t="s">
        <v>306</v>
      </c>
      <c r="B310" s="3264" t="s">
        <v>2999</v>
      </c>
      <c r="C310" s="3265">
        <v>0.15</v>
      </c>
      <c r="D310" s="3265">
        <v>0.15</v>
      </c>
      <c r="E310" s="3265">
        <v>0.15</v>
      </c>
      <c r="F310" s="3265">
        <v>0.15</v>
      </c>
      <c r="G310" s="3266">
        <v>0.15</v>
      </c>
    </row>
    <row r="311" spans="1:7">
      <c r="A311" s="3275" t="s">
        <v>306</v>
      </c>
      <c r="B311" s="3264" t="s">
        <v>3004</v>
      </c>
      <c r="C311" s="3265">
        <v>0.13200000000000001</v>
      </c>
      <c r="D311" s="3265">
        <v>0.13300000000000001</v>
      </c>
      <c r="E311" s="3265">
        <v>0.14499999999999999</v>
      </c>
      <c r="F311" s="3265">
        <v>0.14199999999999999</v>
      </c>
      <c r="G311" s="3266">
        <v>0.14000000000000001</v>
      </c>
    </row>
    <row r="312" spans="1:7">
      <c r="A312" s="3275" t="s">
        <v>306</v>
      </c>
      <c r="B312" s="3264" t="s">
        <v>3009</v>
      </c>
      <c r="C312" s="3265">
        <v>0.13800000000000001</v>
      </c>
      <c r="D312" s="3265">
        <v>0.14000000000000001</v>
      </c>
      <c r="E312" s="3265">
        <v>0.14599999999999999</v>
      </c>
      <c r="F312" s="3265">
        <v>0.14899999999999999</v>
      </c>
      <c r="G312" s="3266">
        <v>0.14199999999999999</v>
      </c>
    </row>
    <row r="313" spans="1:7">
      <c r="A313" s="3275" t="s">
        <v>306</v>
      </c>
      <c r="B313" s="3264" t="s">
        <v>3014</v>
      </c>
      <c r="C313" s="3265">
        <v>0.125</v>
      </c>
      <c r="D313" s="3265">
        <v>0.127</v>
      </c>
      <c r="E313" s="3265">
        <v>0.14399999999999999</v>
      </c>
      <c r="F313" s="3265">
        <v>0.115</v>
      </c>
      <c r="G313" s="3266">
        <v>0.13600000000000001</v>
      </c>
    </row>
    <row r="314" spans="1:7">
      <c r="A314" s="3275" t="s">
        <v>306</v>
      </c>
      <c r="B314" s="3264" t="s">
        <v>3223</v>
      </c>
      <c r="C314" s="3281"/>
      <c r="D314" s="3281"/>
      <c r="E314" s="3281"/>
      <c r="F314" s="3265">
        <v>0.05</v>
      </c>
      <c r="G314" s="3282"/>
    </row>
    <row r="315" spans="1:7">
      <c r="A315" s="3275" t="s">
        <v>306</v>
      </c>
      <c r="B315" s="3264" t="s">
        <v>3224</v>
      </c>
      <c r="C315" s="3281"/>
      <c r="D315" s="3281"/>
      <c r="E315" s="3281"/>
      <c r="F315" s="3265">
        <v>0.05</v>
      </c>
      <c r="G315" s="3282"/>
    </row>
    <row r="316" spans="1:7">
      <c r="A316" s="3275" t="s">
        <v>306</v>
      </c>
      <c r="B316" s="3264" t="s">
        <v>3225</v>
      </c>
      <c r="C316" s="3276"/>
      <c r="D316" s="3276"/>
      <c r="E316" s="3276"/>
      <c r="F316" s="3265">
        <v>0.05</v>
      </c>
      <c r="G316" s="3282"/>
    </row>
    <row r="317" spans="1:7">
      <c r="A317" s="3275" t="s">
        <v>306</v>
      </c>
      <c r="B317" s="3264" t="s">
        <v>3226</v>
      </c>
      <c r="C317" s="3276"/>
      <c r="D317" s="3276"/>
      <c r="E317" s="3276"/>
      <c r="F317" s="3265">
        <v>0.05</v>
      </c>
      <c r="G317" s="3282"/>
    </row>
    <row r="318" spans="1:7">
      <c r="A318" s="3275" t="s">
        <v>306</v>
      </c>
      <c r="B318" s="3264" t="s">
        <v>3227</v>
      </c>
      <c r="C318" s="3276"/>
      <c r="D318" s="3276"/>
      <c r="E318" s="3276"/>
      <c r="F318" s="3265">
        <v>0.05</v>
      </c>
      <c r="G318" s="3282"/>
    </row>
    <row r="319" spans="1:7">
      <c r="A319" s="3275" t="s">
        <v>306</v>
      </c>
      <c r="B319" s="3264" t="s">
        <v>3228</v>
      </c>
      <c r="C319" s="3276"/>
      <c r="D319" s="3276"/>
      <c r="E319" s="3276"/>
      <c r="F319" s="3265">
        <v>0.05</v>
      </c>
      <c r="G319" s="3282"/>
    </row>
    <row r="320" spans="1:7">
      <c r="A320" s="3275" t="s">
        <v>306</v>
      </c>
      <c r="B320" s="3264" t="s">
        <v>3229</v>
      </c>
      <c r="C320" s="3276"/>
      <c r="D320" s="3276"/>
      <c r="E320" s="3276"/>
      <c r="F320" s="3265">
        <v>0.05</v>
      </c>
      <c r="G320" s="3282"/>
    </row>
    <row r="321" spans="1:7">
      <c r="A321" s="3275" t="s">
        <v>306</v>
      </c>
      <c r="B321" s="3264" t="s">
        <v>3230</v>
      </c>
      <c r="C321" s="3276"/>
      <c r="D321" s="3276"/>
      <c r="E321" s="3276"/>
      <c r="F321" s="3265">
        <v>0.05</v>
      </c>
      <c r="G321" s="3282"/>
    </row>
    <row r="322" spans="1:7">
      <c r="A322" s="3275" t="s">
        <v>306</v>
      </c>
      <c r="B322" s="3264" t="s">
        <v>3231</v>
      </c>
      <c r="C322" s="3276"/>
      <c r="D322" s="3276"/>
      <c r="E322" s="3276"/>
      <c r="F322" s="3265">
        <v>0.05</v>
      </c>
      <c r="G322" s="3282"/>
    </row>
    <row r="323" spans="1:7">
      <c r="A323" s="3275" t="s">
        <v>306</v>
      </c>
      <c r="B323" s="3264" t="s">
        <v>3232</v>
      </c>
      <c r="C323" s="3276"/>
      <c r="D323" s="3276"/>
      <c r="E323" s="3276"/>
      <c r="F323" s="3265">
        <v>0.05</v>
      </c>
      <c r="G323" s="3282"/>
    </row>
    <row r="324" spans="1:7">
      <c r="A324" s="3275" t="s">
        <v>306</v>
      </c>
      <c r="B324" s="3264" t="s">
        <v>3233</v>
      </c>
      <c r="C324" s="3276"/>
      <c r="D324" s="3276"/>
      <c r="E324" s="3276"/>
      <c r="F324" s="3265">
        <v>0.05</v>
      </c>
      <c r="G324" s="3282"/>
    </row>
    <row r="325" spans="1:7">
      <c r="A325" s="3275" t="s">
        <v>306</v>
      </c>
      <c r="B325" s="3264" t="s">
        <v>3234</v>
      </c>
      <c r="C325" s="3276"/>
      <c r="D325" s="3276"/>
      <c r="E325" s="3276"/>
      <c r="F325" s="3265">
        <v>0.05</v>
      </c>
      <c r="G325" s="3282"/>
    </row>
    <row r="326" spans="1:7" ht="14.25" thickBot="1">
      <c r="A326" s="3278" t="s">
        <v>306</v>
      </c>
      <c r="B326" s="3268" t="s">
        <v>3235</v>
      </c>
      <c r="C326" s="3270"/>
      <c r="D326" s="3270"/>
      <c r="E326" s="3270"/>
      <c r="F326" s="3269">
        <v>0.05</v>
      </c>
      <c r="G326" s="3283"/>
    </row>
    <row r="327" spans="1:7">
      <c r="A327" s="3274" t="s">
        <v>307</v>
      </c>
      <c r="B327" s="3260" t="s">
        <v>2867</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2879</v>
      </c>
      <c r="C329" s="3265">
        <v>0.15</v>
      </c>
      <c r="D329" s="3265">
        <v>0.15</v>
      </c>
      <c r="E329" s="3265">
        <v>0.15</v>
      </c>
      <c r="F329" s="3265">
        <v>0.15</v>
      </c>
      <c r="G329" s="3266">
        <v>0.15</v>
      </c>
    </row>
    <row r="330" spans="1:7">
      <c r="A330" s="3275" t="s">
        <v>307</v>
      </c>
      <c r="B330" s="3264" t="s">
        <v>2883</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2891</v>
      </c>
      <c r="C332" s="3265">
        <v>0.15</v>
      </c>
      <c r="D332" s="3265">
        <v>0.15</v>
      </c>
      <c r="E332" s="3265">
        <v>0.15</v>
      </c>
      <c r="F332" s="3265">
        <v>0.15</v>
      </c>
      <c r="G332" s="3266">
        <v>0.15</v>
      </c>
    </row>
    <row r="333" spans="1:7">
      <c r="A333" s="3275" t="s">
        <v>307</v>
      </c>
      <c r="B333" s="3264" t="s">
        <v>2895</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2901</v>
      </c>
      <c r="C336" s="3265">
        <v>0.15</v>
      </c>
      <c r="D336" s="3265">
        <v>0.15</v>
      </c>
      <c r="E336" s="3265">
        <v>0.15</v>
      </c>
      <c r="F336" s="3265">
        <v>0.14199999999999999</v>
      </c>
      <c r="G336" s="3266">
        <v>0.15</v>
      </c>
    </row>
    <row r="337" spans="1:7">
      <c r="A337" s="3275" t="s">
        <v>307</v>
      </c>
      <c r="B337" s="3264" t="s">
        <v>2906</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2913</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2918</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2926</v>
      </c>
      <c r="C345" s="3265">
        <v>0.15</v>
      </c>
      <c r="D345" s="3265">
        <v>0.15</v>
      </c>
      <c r="E345" s="3265">
        <v>0.15</v>
      </c>
      <c r="F345" s="3265">
        <v>0.13800000000000001</v>
      </c>
      <c r="G345" s="3266">
        <v>0.15</v>
      </c>
    </row>
    <row r="346" spans="1:7">
      <c r="A346" s="3275" t="s">
        <v>307</v>
      </c>
      <c r="B346" s="3264" t="s">
        <v>2928</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2935</v>
      </c>
      <c r="C348" s="3265">
        <v>0.15</v>
      </c>
      <c r="D348" s="3265">
        <v>0.15</v>
      </c>
      <c r="E348" s="3265">
        <v>0.15</v>
      </c>
      <c r="F348" s="3265">
        <v>0.14399999999999999</v>
      </c>
      <c r="G348" s="3266">
        <v>0.15</v>
      </c>
    </row>
    <row r="349" spans="1:7">
      <c r="A349" s="3275" t="s">
        <v>307</v>
      </c>
      <c r="B349" s="3264" t="s">
        <v>2940</v>
      </c>
      <c r="C349" s="3265">
        <v>0.15</v>
      </c>
      <c r="D349" s="3265">
        <v>0.15</v>
      </c>
      <c r="E349" s="3265">
        <v>0.15</v>
      </c>
      <c r="F349" s="3265">
        <v>0.15</v>
      </c>
      <c r="G349" s="3266">
        <v>0.15</v>
      </c>
    </row>
    <row r="350" spans="1:7">
      <c r="A350" s="3275" t="s">
        <v>307</v>
      </c>
      <c r="B350" s="3264" t="s">
        <v>2943</v>
      </c>
      <c r="C350" s="3265">
        <v>0.15</v>
      </c>
      <c r="D350" s="3265">
        <v>0.15</v>
      </c>
      <c r="E350" s="3265">
        <v>0.15</v>
      </c>
      <c r="F350" s="3265">
        <v>0.14699999999999999</v>
      </c>
      <c r="G350" s="3266">
        <v>0.15</v>
      </c>
    </row>
    <row r="351" spans="1:7">
      <c r="A351" s="3275" t="s">
        <v>307</v>
      </c>
      <c r="B351" s="3264" t="s">
        <v>2948</v>
      </c>
      <c r="C351" s="3265">
        <v>0.15</v>
      </c>
      <c r="D351" s="3265">
        <v>0.15</v>
      </c>
      <c r="E351" s="3265">
        <v>0.15</v>
      </c>
      <c r="F351" s="3265">
        <v>0.13</v>
      </c>
      <c r="G351" s="3266">
        <v>0.15</v>
      </c>
    </row>
    <row r="352" spans="1:7">
      <c r="A352" s="3275" t="s">
        <v>307</v>
      </c>
      <c r="B352" s="3264" t="s">
        <v>2953</v>
      </c>
      <c r="C352" s="3265">
        <v>0.15</v>
      </c>
      <c r="D352" s="3265">
        <v>0.15</v>
      </c>
      <c r="E352" s="3265">
        <v>0.15</v>
      </c>
      <c r="F352" s="3265">
        <v>0.14599999999999999</v>
      </c>
      <c r="G352" s="3266">
        <v>0.15</v>
      </c>
    </row>
    <row r="353" spans="1:7">
      <c r="A353" s="3275" t="s">
        <v>307</v>
      </c>
      <c r="B353" s="3264" t="s">
        <v>2960</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2973</v>
      </c>
      <c r="C355" s="3265">
        <v>0.15</v>
      </c>
      <c r="D355" s="3265">
        <v>0.15</v>
      </c>
      <c r="E355" s="3265">
        <v>0.15</v>
      </c>
      <c r="F355" s="3265">
        <v>0.15</v>
      </c>
      <c r="G355" s="3266">
        <v>0.15</v>
      </c>
    </row>
    <row r="356" spans="1:7">
      <c r="A356" s="3275" t="s">
        <v>307</v>
      </c>
      <c r="B356" s="3264" t="s">
        <v>2980</v>
      </c>
      <c r="C356" s="3265">
        <v>0.15</v>
      </c>
      <c r="D356" s="3265">
        <v>0.15</v>
      </c>
      <c r="E356" s="3265">
        <v>0.15</v>
      </c>
      <c r="F356" s="3265">
        <v>0.15</v>
      </c>
      <c r="G356" s="3266">
        <v>0.15</v>
      </c>
    </row>
    <row r="357" spans="1:7" ht="14.25" thickBot="1">
      <c r="A357" s="3278" t="s">
        <v>307</v>
      </c>
      <c r="B357" s="3268" t="s">
        <v>2985</v>
      </c>
      <c r="C357" s="3269">
        <v>0.126</v>
      </c>
      <c r="D357" s="3269">
        <v>0.127</v>
      </c>
      <c r="E357" s="3269">
        <v>0.14299999999999999</v>
      </c>
      <c r="F357" s="3269">
        <v>0.125</v>
      </c>
      <c r="G357" s="3271">
        <v>0.129</v>
      </c>
    </row>
    <row r="358" spans="1:7">
      <c r="A358" s="3274" t="s">
        <v>2854</v>
      </c>
      <c r="B358" s="3260" t="s">
        <v>2868</v>
      </c>
      <c r="C358" s="3261">
        <v>0.15</v>
      </c>
      <c r="D358" s="3261">
        <v>0.15</v>
      </c>
      <c r="E358" s="3261">
        <v>0.15</v>
      </c>
      <c r="F358" s="3261">
        <v>0.15</v>
      </c>
      <c r="G358" s="3262">
        <v>0.15</v>
      </c>
    </row>
    <row r="359" spans="1:7">
      <c r="A359" s="3275" t="s">
        <v>2854</v>
      </c>
      <c r="B359" s="3264" t="s">
        <v>2874</v>
      </c>
      <c r="C359" s="3265">
        <v>0.1</v>
      </c>
      <c r="D359" s="3265">
        <v>0.1</v>
      </c>
      <c r="E359" s="3265">
        <v>0.1</v>
      </c>
      <c r="F359" s="3265">
        <v>0.1</v>
      </c>
      <c r="G359" s="3266">
        <v>0.1</v>
      </c>
    </row>
    <row r="360" spans="1:7">
      <c r="A360" s="3275" t="s">
        <v>2854</v>
      </c>
      <c r="B360" s="3264" t="s">
        <v>2880</v>
      </c>
      <c r="C360" s="3265">
        <v>0.15</v>
      </c>
      <c r="D360" s="3265">
        <v>0.15</v>
      </c>
      <c r="E360" s="3265">
        <v>0.15</v>
      </c>
      <c r="F360" s="3265">
        <v>0.14899999999999999</v>
      </c>
      <c r="G360" s="3266">
        <v>0.15</v>
      </c>
    </row>
    <row r="361" spans="1:7">
      <c r="A361" s="3275" t="s">
        <v>2854</v>
      </c>
      <c r="B361" s="3264" t="s">
        <v>153</v>
      </c>
      <c r="C361" s="3265">
        <v>0.15</v>
      </c>
      <c r="D361" s="3265">
        <v>0.15</v>
      </c>
      <c r="E361" s="3265">
        <v>0.15</v>
      </c>
      <c r="F361" s="3265">
        <v>0.115</v>
      </c>
      <c r="G361" s="3266">
        <v>0.15</v>
      </c>
    </row>
    <row r="362" spans="1:7">
      <c r="A362" s="3275" t="s">
        <v>2854</v>
      </c>
      <c r="B362" s="3264" t="s">
        <v>2887</v>
      </c>
      <c r="C362" s="3265">
        <v>0.15</v>
      </c>
      <c r="D362" s="3265">
        <v>0.15</v>
      </c>
      <c r="E362" s="3265">
        <v>0.15</v>
      </c>
      <c r="F362" s="3265">
        <v>0.106</v>
      </c>
      <c r="G362" s="3266">
        <v>0.15</v>
      </c>
    </row>
    <row r="363" spans="1:7">
      <c r="A363" s="3275" t="s">
        <v>2854</v>
      </c>
      <c r="B363" s="3264" t="s">
        <v>2892</v>
      </c>
      <c r="C363" s="3265">
        <v>0.15</v>
      </c>
      <c r="D363" s="3265">
        <v>0.15</v>
      </c>
      <c r="E363" s="3265">
        <v>0.15</v>
      </c>
      <c r="F363" s="3265">
        <v>0.14699999999999999</v>
      </c>
      <c r="G363" s="3266">
        <v>0.15</v>
      </c>
    </row>
    <row r="364" spans="1:7">
      <c r="A364" s="3275" t="s">
        <v>2854</v>
      </c>
      <c r="B364" s="3264" t="s">
        <v>2896</v>
      </c>
      <c r="C364" s="3265">
        <v>0.15</v>
      </c>
      <c r="D364" s="3265">
        <v>0.15</v>
      </c>
      <c r="E364" s="3265">
        <v>0.15</v>
      </c>
      <c r="F364" s="3265">
        <v>0.14799999999999999</v>
      </c>
      <c r="G364" s="3266">
        <v>0.15</v>
      </c>
    </row>
    <row r="365" spans="1:7">
      <c r="A365" s="3275" t="s">
        <v>2854</v>
      </c>
      <c r="B365" s="3264" t="s">
        <v>200</v>
      </c>
      <c r="C365" s="3265">
        <v>0.15</v>
      </c>
      <c r="D365" s="3265">
        <v>0.15</v>
      </c>
      <c r="E365" s="3265">
        <v>0.15</v>
      </c>
      <c r="F365" s="3265">
        <v>0.15</v>
      </c>
      <c r="G365" s="3266">
        <v>0.15</v>
      </c>
    </row>
    <row r="366" spans="1:7">
      <c r="A366" s="3275" t="s">
        <v>2854</v>
      </c>
      <c r="B366" s="3264" t="s">
        <v>2899</v>
      </c>
      <c r="C366" s="3265">
        <v>0.15</v>
      </c>
      <c r="D366" s="3265">
        <v>0.15</v>
      </c>
      <c r="E366" s="3265">
        <v>0.15</v>
      </c>
      <c r="F366" s="3265">
        <v>0.15</v>
      </c>
      <c r="G366" s="3266">
        <v>0.15</v>
      </c>
    </row>
    <row r="367" spans="1:7">
      <c r="A367" s="3275" t="s">
        <v>2854</v>
      </c>
      <c r="B367" s="3264" t="s">
        <v>2902</v>
      </c>
      <c r="C367" s="3265">
        <v>0.15</v>
      </c>
      <c r="D367" s="3265">
        <v>0.15</v>
      </c>
      <c r="E367" s="3265">
        <v>0.15</v>
      </c>
      <c r="F367" s="3265">
        <v>0.14699999999999999</v>
      </c>
      <c r="G367" s="3266">
        <v>0.15</v>
      </c>
    </row>
    <row r="368" spans="1:7">
      <c r="A368" s="3275" t="s">
        <v>2854</v>
      </c>
      <c r="B368" s="3264" t="s">
        <v>2907</v>
      </c>
      <c r="C368" s="3265">
        <v>0.15</v>
      </c>
      <c r="D368" s="3265">
        <v>0.15</v>
      </c>
      <c r="E368" s="3265">
        <v>0.15</v>
      </c>
      <c r="F368" s="3265">
        <v>0.13600000000000001</v>
      </c>
      <c r="G368" s="3266">
        <v>0.15</v>
      </c>
    </row>
    <row r="369" spans="1:7">
      <c r="A369" s="3275" t="s">
        <v>2854</v>
      </c>
      <c r="B369" s="3264" t="s">
        <v>214</v>
      </c>
      <c r="C369" s="3265">
        <v>0.15</v>
      </c>
      <c r="D369" s="3265">
        <v>0.15</v>
      </c>
      <c r="E369" s="3265">
        <v>0.15</v>
      </c>
      <c r="F369" s="3265">
        <v>0.14399999999999999</v>
      </c>
      <c r="G369" s="3266">
        <v>0.15</v>
      </c>
    </row>
    <row r="370" spans="1:7">
      <c r="A370" s="3275" t="s">
        <v>2854</v>
      </c>
      <c r="B370" s="3264" t="s">
        <v>221</v>
      </c>
      <c r="C370" s="3265">
        <v>0.15</v>
      </c>
      <c r="D370" s="3265">
        <v>0.15</v>
      </c>
      <c r="E370" s="3265">
        <v>0.15</v>
      </c>
      <c r="F370" s="3265">
        <v>0.14599999999999999</v>
      </c>
      <c r="G370" s="3266">
        <v>0.15</v>
      </c>
    </row>
    <row r="371" spans="1:7">
      <c r="A371" s="3275" t="s">
        <v>2854</v>
      </c>
      <c r="B371" s="3264" t="s">
        <v>229</v>
      </c>
      <c r="C371" s="3265">
        <v>0.15</v>
      </c>
      <c r="D371" s="3265">
        <v>0.15</v>
      </c>
      <c r="E371" s="3265">
        <v>0.15</v>
      </c>
      <c r="F371" s="3265">
        <v>0.12</v>
      </c>
      <c r="G371" s="3266">
        <v>0.15</v>
      </c>
    </row>
    <row r="372" spans="1:7">
      <c r="A372" s="3275" t="s">
        <v>2854</v>
      </c>
      <c r="B372" s="3264" t="s">
        <v>2915</v>
      </c>
      <c r="C372" s="3265">
        <v>0.15</v>
      </c>
      <c r="D372" s="3265">
        <v>0.15</v>
      </c>
      <c r="E372" s="3265">
        <v>0.15</v>
      </c>
      <c r="F372" s="3265">
        <v>0.14299999999999999</v>
      </c>
      <c r="G372" s="3266">
        <v>0.15</v>
      </c>
    </row>
    <row r="373" spans="1:7">
      <c r="A373" s="3275" t="s">
        <v>2854</v>
      </c>
      <c r="B373" s="3264" t="s">
        <v>258</v>
      </c>
      <c r="C373" s="3265">
        <v>0.15</v>
      </c>
      <c r="D373" s="3265">
        <v>0.15</v>
      </c>
      <c r="E373" s="3265">
        <v>0.15</v>
      </c>
      <c r="F373" s="3265">
        <v>0.14599999999999999</v>
      </c>
      <c r="G373" s="3266">
        <v>0.15</v>
      </c>
    </row>
    <row r="374" spans="1:7">
      <c r="A374" s="3275" t="s">
        <v>2854</v>
      </c>
      <c r="B374" s="3264" t="s">
        <v>266</v>
      </c>
      <c r="C374" s="3265">
        <v>0.15</v>
      </c>
      <c r="D374" s="3265">
        <v>0.15</v>
      </c>
      <c r="E374" s="3265">
        <v>0.15</v>
      </c>
      <c r="F374" s="3265">
        <v>0.14399999999999999</v>
      </c>
      <c r="G374" s="3266">
        <v>0.15</v>
      </c>
    </row>
    <row r="375" spans="1:7">
      <c r="A375" s="3275" t="s">
        <v>2854</v>
      </c>
      <c r="B375" s="3264" t="s">
        <v>2923</v>
      </c>
      <c r="C375" s="3265">
        <v>0.15</v>
      </c>
      <c r="D375" s="3265">
        <v>0.15</v>
      </c>
      <c r="E375" s="3265">
        <v>0.15</v>
      </c>
      <c r="F375" s="3265">
        <v>0.13</v>
      </c>
      <c r="G375" s="3266">
        <v>0.15</v>
      </c>
    </row>
    <row r="376" spans="1:7">
      <c r="A376" s="3275" t="s">
        <v>2854</v>
      </c>
      <c r="B376" s="3264" t="s">
        <v>277</v>
      </c>
      <c r="C376" s="3265">
        <v>0.15</v>
      </c>
      <c r="D376" s="3265">
        <v>0.15</v>
      </c>
      <c r="E376" s="3265">
        <v>0.15</v>
      </c>
      <c r="F376" s="3265">
        <v>0.14199999999999999</v>
      </c>
      <c r="G376" s="3266">
        <v>0.15</v>
      </c>
    </row>
    <row r="377" spans="1:7" ht="14.25" thickBot="1">
      <c r="A377" s="3278" t="s">
        <v>2854</v>
      </c>
      <c r="B377" s="3268" t="s">
        <v>2929</v>
      </c>
      <c r="C377" s="3269">
        <v>0.15</v>
      </c>
      <c r="D377" s="3269">
        <v>0.15</v>
      </c>
      <c r="E377" s="3269">
        <v>0.15</v>
      </c>
      <c r="F377" s="3269">
        <v>0.14000000000000001</v>
      </c>
      <c r="G377" s="3271">
        <v>0.15</v>
      </c>
    </row>
    <row r="378" spans="1:7">
      <c r="A378" s="3274" t="s">
        <v>2855</v>
      </c>
      <c r="B378" s="3260" t="s">
        <v>2869</v>
      </c>
      <c r="C378" s="3261">
        <v>0.15</v>
      </c>
      <c r="D378" s="3261">
        <v>0.15</v>
      </c>
      <c r="E378" s="3261">
        <v>0.15</v>
      </c>
      <c r="F378" s="3261">
        <v>0.107</v>
      </c>
      <c r="G378" s="3262">
        <v>0.15</v>
      </c>
    </row>
    <row r="379" spans="1:7">
      <c r="A379" s="3275" t="s">
        <v>2855</v>
      </c>
      <c r="B379" s="3264" t="s">
        <v>2875</v>
      </c>
      <c r="C379" s="3265">
        <v>0.15</v>
      </c>
      <c r="D379" s="3265">
        <v>0.15</v>
      </c>
      <c r="E379" s="3265">
        <v>0.15</v>
      </c>
      <c r="F379" s="3265">
        <v>0.115</v>
      </c>
      <c r="G379" s="3266">
        <v>0.14899999999999999</v>
      </c>
    </row>
    <row r="380" spans="1:7">
      <c r="A380" s="3275" t="s">
        <v>2855</v>
      </c>
      <c r="B380" s="3264" t="s">
        <v>2881</v>
      </c>
      <c r="C380" s="3265">
        <v>0.15</v>
      </c>
      <c r="D380" s="3265">
        <v>0.15</v>
      </c>
      <c r="E380" s="3265">
        <v>0.15</v>
      </c>
      <c r="F380" s="3265">
        <v>0.1</v>
      </c>
      <c r="G380" s="3266">
        <v>0.14799999999999999</v>
      </c>
    </row>
    <row r="381" spans="1:7">
      <c r="A381" s="3275" t="s">
        <v>2855</v>
      </c>
      <c r="B381" s="3264" t="s">
        <v>2884</v>
      </c>
      <c r="C381" s="3265">
        <v>0.15</v>
      </c>
      <c r="D381" s="3265">
        <v>0.15</v>
      </c>
      <c r="E381" s="3265">
        <v>0.15</v>
      </c>
      <c r="F381" s="3265">
        <v>0.126</v>
      </c>
      <c r="G381" s="3266">
        <v>0.15</v>
      </c>
    </row>
    <row r="382" spans="1:7">
      <c r="A382" s="3275" t="s">
        <v>2855</v>
      </c>
      <c r="B382" s="3264" t="s">
        <v>2888</v>
      </c>
      <c r="C382" s="3265">
        <v>0.15</v>
      </c>
      <c r="D382" s="3265">
        <v>0.15</v>
      </c>
      <c r="E382" s="3265">
        <v>0.15</v>
      </c>
      <c r="F382" s="3265">
        <v>0.15</v>
      </c>
      <c r="G382" s="3266">
        <v>0.15</v>
      </c>
    </row>
    <row r="383" spans="1:7">
      <c r="A383" s="3275" t="s">
        <v>2855</v>
      </c>
      <c r="B383" s="3264" t="s">
        <v>2893</v>
      </c>
      <c r="C383" s="3265">
        <v>0.15</v>
      </c>
      <c r="D383" s="3265">
        <v>0.15</v>
      </c>
      <c r="E383" s="3265">
        <v>0.15</v>
      </c>
      <c r="F383" s="3265">
        <v>0.14699999999999999</v>
      </c>
      <c r="G383" s="3266">
        <v>0.15</v>
      </c>
    </row>
    <row r="384" spans="1:7" ht="14.25" thickBot="1">
      <c r="A384" s="3285" t="s">
        <v>2855</v>
      </c>
      <c r="B384" s="3286" t="s">
        <v>2897</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90" t="s">
        <v>3236</v>
      </c>
      <c r="B1" s="3790"/>
      <c r="C1" s="3790"/>
      <c r="D1" s="3790"/>
      <c r="E1" s="3790"/>
      <c r="F1" s="3791"/>
    </row>
    <row r="2" spans="1:6">
      <c r="A2" s="3291" t="s">
        <v>3237</v>
      </c>
      <c r="B2" s="3292"/>
      <c r="C2" s="3292"/>
      <c r="D2" s="3292"/>
      <c r="E2" s="3292"/>
      <c r="F2" s="3292"/>
    </row>
    <row r="3" spans="1:6">
      <c r="A3" s="3291" t="s">
        <v>3238</v>
      </c>
      <c r="B3" s="3292"/>
      <c r="C3" s="3292"/>
      <c r="D3" s="3292"/>
      <c r="E3" s="3292"/>
      <c r="F3" s="3293" t="s">
        <v>3239</v>
      </c>
    </row>
    <row r="4" spans="1:6">
      <c r="A4" s="3294" t="s">
        <v>672</v>
      </c>
      <c r="B4" s="3294" t="s">
        <v>673</v>
      </c>
      <c r="C4" s="3294" t="s">
        <v>21</v>
      </c>
      <c r="D4" s="3294" t="s">
        <v>674</v>
      </c>
      <c r="E4" s="3294" t="s">
        <v>3</v>
      </c>
      <c r="F4" s="3294" t="s">
        <v>3240</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21">
        <f>基准地价修正!G23</f>
        <v>45321</v>
      </c>
      <c r="B1" s="3210" t="s">
        <v>3375</v>
      </c>
      <c r="C1" s="3211"/>
      <c r="D1" s="3211"/>
      <c r="E1" s="3211"/>
      <c r="F1" s="3211"/>
      <c r="G1" s="3211"/>
      <c r="H1" s="3211"/>
      <c r="I1" s="3211"/>
      <c r="J1" s="3165"/>
      <c r="K1" s="3211" t="s">
        <v>454</v>
      </c>
      <c r="L1" s="3211"/>
      <c r="M1" s="3211"/>
      <c r="N1" s="3211"/>
      <c r="O1" s="3211"/>
      <c r="P1" s="3211"/>
      <c r="Q1" s="3165"/>
      <c r="R1" s="3792" t="s">
        <v>456</v>
      </c>
      <c r="S1" s="3793"/>
      <c r="T1" s="3793"/>
      <c r="U1" s="3793"/>
      <c r="V1" s="3793"/>
      <c r="W1" s="3793"/>
      <c r="X1" s="3165"/>
      <c r="Y1" s="3792" t="s">
        <v>457</v>
      </c>
      <c r="Z1" s="3793"/>
      <c r="AA1" s="3793"/>
      <c r="AB1" s="3793"/>
      <c r="AC1" s="3793"/>
      <c r="AD1" s="3793"/>
    </row>
    <row r="2" spans="1:30" s="3143" customFormat="1" ht="14.25" thickBot="1">
      <c r="B2" s="3144"/>
      <c r="C2" s="3145"/>
      <c r="D2" s="3146" t="s">
        <v>2814</v>
      </c>
      <c r="E2" s="3147" t="s">
        <v>2815</v>
      </c>
      <c r="F2" s="3147" t="s">
        <v>2816</v>
      </c>
      <c r="G2" s="3147" t="s">
        <v>2817</v>
      </c>
      <c r="H2" s="3147" t="s">
        <v>2818</v>
      </c>
      <c r="I2" s="3147" t="s">
        <v>2635</v>
      </c>
      <c r="J2" s="3148"/>
      <c r="K2" s="3146" t="s">
        <v>2814</v>
      </c>
      <c r="L2" s="3147" t="s">
        <v>2815</v>
      </c>
      <c r="M2" s="3147" t="s">
        <v>2816</v>
      </c>
      <c r="N2" s="3147" t="s">
        <v>2817</v>
      </c>
      <c r="O2" s="3147" t="s">
        <v>2819</v>
      </c>
      <c r="P2" s="3147" t="s">
        <v>2635</v>
      </c>
      <c r="Q2" s="3148"/>
      <c r="R2" s="3146" t="s">
        <v>2814</v>
      </c>
      <c r="S2" s="3147" t="s">
        <v>2815</v>
      </c>
      <c r="T2" s="3147" t="s">
        <v>2816</v>
      </c>
      <c r="U2" s="3147" t="s">
        <v>2820</v>
      </c>
      <c r="V2" s="3147" t="s">
        <v>2821</v>
      </c>
      <c r="W2" s="3147" t="s">
        <v>2635</v>
      </c>
      <c r="X2" s="3148"/>
      <c r="Y2" s="3146" t="s">
        <v>2814</v>
      </c>
      <c r="Z2" s="3147" t="s">
        <v>2815</v>
      </c>
      <c r="AA2" s="3147" t="s">
        <v>2816</v>
      </c>
      <c r="AB2" s="3147" t="s">
        <v>2822</v>
      </c>
      <c r="AC2" s="3147" t="s">
        <v>2821</v>
      </c>
      <c r="AD2" s="3147" t="s">
        <v>2635</v>
      </c>
    </row>
    <row r="3" spans="1:30" s="3161" customFormat="1" ht="12.75">
      <c r="A3" s="3149" t="s">
        <v>2823</v>
      </c>
      <c r="B3" s="3150"/>
      <c r="C3" s="3151"/>
      <c r="D3" s="3151">
        <f>ROUND(AVERAGEIF(D4:D18,"&lt;&gt;0"),2)</f>
        <v>0.73</v>
      </c>
      <c r="E3" s="3151">
        <f t="shared" ref="E3:H3" si="0">ROUND(AVERAGEIF(E4:E18,"&lt;&gt;0"),2)</f>
        <v>0.4</v>
      </c>
      <c r="F3" s="3151">
        <f t="shared" si="0"/>
        <v>0.2</v>
      </c>
      <c r="G3" s="3151">
        <f t="shared" si="0"/>
        <v>0.78</v>
      </c>
      <c r="H3" s="3151">
        <f t="shared" si="0"/>
        <v>0.63</v>
      </c>
      <c r="I3" s="3151">
        <f>F3</f>
        <v>0.2</v>
      </c>
      <c r="J3" s="3152"/>
      <c r="K3" s="3153">
        <f>ROUND(AVERAGEIF(K4:K18,"&lt;&gt;0"),4)</f>
        <v>7.3000000000000001E-3</v>
      </c>
      <c r="L3" s="3154">
        <f t="shared" ref="L3:O3" si="1">ROUND(AVERAGEIF(L4:L18,"&lt;&gt;0"),4)</f>
        <v>4.0000000000000001E-3</v>
      </c>
      <c r="M3" s="3154">
        <f t="shared" si="1"/>
        <v>2E-3</v>
      </c>
      <c r="N3" s="3154">
        <f t="shared" si="1"/>
        <v>7.7999999999999996E-3</v>
      </c>
      <c r="O3" s="3154">
        <f t="shared" si="1"/>
        <v>6.3E-3</v>
      </c>
      <c r="P3" s="3154">
        <f>M3</f>
        <v>2E-3</v>
      </c>
      <c r="Q3" s="3152"/>
      <c r="R3" s="3155">
        <f>ROUND(SUMPRODUCT(PRODUCT(1+K4:K18)),4)</f>
        <v>1.0908</v>
      </c>
      <c r="S3" s="3156">
        <f t="shared" ref="S3:V3" si="2">ROUND(SUMPRODUCT(PRODUCT(1+L4:L18)),4)</f>
        <v>1.0488</v>
      </c>
      <c r="T3" s="3156">
        <f t="shared" si="2"/>
        <v>1.024</v>
      </c>
      <c r="U3" s="3156">
        <f t="shared" si="2"/>
        <v>1.0980000000000001</v>
      </c>
      <c r="V3" s="3156">
        <f t="shared" si="2"/>
        <v>1.0779000000000001</v>
      </c>
      <c r="W3" s="3155">
        <f>T3</f>
        <v>1.024</v>
      </c>
      <c r="X3" s="3152"/>
      <c r="Y3" s="3157">
        <f>ROUND(AVERAGEIF(Y5:Y18,"&lt;&gt;0"),4)</f>
        <v>8.6999999999999994E-3</v>
      </c>
      <c r="Z3" s="3158">
        <f t="shared" ref="Z3:AC3" si="3">ROUND(AVERAGEIF(Z5:Z18,"&lt;&gt;0"),4)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2205" t="s">
        <v>3378</v>
      </c>
      <c r="B5" s="3177">
        <v>2024</v>
      </c>
      <c r="C5" s="3178">
        <v>2</v>
      </c>
      <c r="D5" s="3179">
        <v>0</v>
      </c>
      <c r="E5" s="3179">
        <v>0</v>
      </c>
      <c r="F5" s="3179">
        <v>0</v>
      </c>
      <c r="G5" s="3179">
        <v>0</v>
      </c>
      <c r="H5" s="3179">
        <v>0</v>
      </c>
      <c r="I5" s="3180">
        <f t="shared" ref="I5:I18" si="4">F5</f>
        <v>0</v>
      </c>
      <c r="J5" s="3181"/>
      <c r="K5" s="3182">
        <f t="shared" ref="K5:O18" si="5">D5/100</f>
        <v>0</v>
      </c>
      <c r="L5" s="3172">
        <f t="shared" si="5"/>
        <v>0</v>
      </c>
      <c r="M5" s="3172">
        <f t="shared" si="5"/>
        <v>0</v>
      </c>
      <c r="N5" s="3172">
        <f t="shared" si="5"/>
        <v>0</v>
      </c>
      <c r="O5" s="3172">
        <f t="shared" si="5"/>
        <v>0</v>
      </c>
      <c r="P5" s="3172">
        <f>M5</f>
        <v>0</v>
      </c>
      <c r="Q5" s="3181"/>
      <c r="R5" s="3183">
        <f>ROUND(IF(项目基本情况!$B$8="出让",SUMPRODUCT(PRODUCT(1+K5:$K$18)),SUMPRODUCT(PRODUCT(1+K5:$K$17))),4)</f>
        <v>1.0804</v>
      </c>
      <c r="S5" s="3183">
        <f>ROUND(IF(项目基本情况!$B$8="出让",SUMPRODUCT(PRODUCT(1+L5:$L$18)),SUMPRODUCT(PRODUCT(1+L5:$L$17))),4)</f>
        <v>1.0471999999999999</v>
      </c>
      <c r="T5" s="3183">
        <f>ROUND(IF(项目基本情况!$B$8="出让",SUMPRODUCT(PRODUCT(1+M5:$M$18)),SUMPRODUCT(PRODUCT(1+M5:$M$17))),4)</f>
        <v>1.0266</v>
      </c>
      <c r="U5" s="3183">
        <f>ROUND(IF(项目基本情况!$B$8="出让",SUMPRODUCT(PRODUCT(1+N5:$N$18)),SUMPRODUCT(PRODUCT(1+N5:$N$17))),4)</f>
        <v>1.0859000000000001</v>
      </c>
      <c r="V5" s="3183">
        <f>ROUND(IF(项目基本情况!$B$8="出让",SUMPRODUCT(PRODUCT(1+O5:$O$18)),SUMPRODUCT(PRODUCT(1+O5:$O$17))),4)</f>
        <v>1.0741000000000001</v>
      </c>
      <c r="W5" s="3183">
        <f>T5</f>
        <v>1.0266</v>
      </c>
      <c r="X5" s="3181"/>
      <c r="Y5" s="3184">
        <f>IF(D5=0,0,ROUND(AVERAGE(D5:D18)/100,4))</f>
        <v>0</v>
      </c>
      <c r="Z5" s="3184">
        <f t="shared" ref="Z5:AC5" si="6">IF(E5=0,0,ROUND(AVERAGE(E5:E18)/100,4))</f>
        <v>0</v>
      </c>
      <c r="AA5" s="3184">
        <f t="shared" si="6"/>
        <v>0</v>
      </c>
      <c r="AB5" s="3184">
        <f t="shared" si="6"/>
        <v>0</v>
      </c>
      <c r="AC5" s="3184">
        <f t="shared" si="6"/>
        <v>0</v>
      </c>
      <c r="AD5" s="3184">
        <f t="shared" ref="AD5:AD17" si="7">AA5</f>
        <v>0</v>
      </c>
    </row>
    <row r="6" spans="1:30" s="3185" customFormat="1" ht="12.75">
      <c r="A6" s="2205" t="s">
        <v>3379</v>
      </c>
      <c r="B6" s="3177">
        <v>2024</v>
      </c>
      <c r="C6" s="3178">
        <v>1</v>
      </c>
      <c r="D6" s="3179">
        <v>0</v>
      </c>
      <c r="E6" s="3179">
        <v>0</v>
      </c>
      <c r="F6" s="3179">
        <v>0</v>
      </c>
      <c r="G6" s="3179">
        <v>0</v>
      </c>
      <c r="H6" s="3196">
        <v>0</v>
      </c>
      <c r="I6" s="3180">
        <v>0</v>
      </c>
      <c r="J6" s="3181"/>
      <c r="K6" s="3182">
        <f t="shared" ref="K6" si="8">D6/100</f>
        <v>0</v>
      </c>
      <c r="L6" s="3172">
        <f t="shared" ref="L6" si="9">E6/100</f>
        <v>0</v>
      </c>
      <c r="M6" s="3172">
        <f t="shared" ref="M6" si="10">F6/100</f>
        <v>0</v>
      </c>
      <c r="N6" s="3172">
        <f t="shared" ref="N6" si="11">G6/100</f>
        <v>0</v>
      </c>
      <c r="O6" s="3172">
        <f t="shared" ref="O6" si="12">H6/100</f>
        <v>0</v>
      </c>
      <c r="P6" s="3172">
        <f t="shared" ref="P6" si="13">M6</f>
        <v>0</v>
      </c>
      <c r="Q6" s="3181"/>
      <c r="R6" s="3183">
        <f>ROUND(IF(项目基本情况!$B$8="出让",SUMPRODUCT(PRODUCT(1+K6:$K$18)),SUMPRODUCT(PRODUCT(1+K6:$K$17))),4)</f>
        <v>1.0804</v>
      </c>
      <c r="S6" s="3183">
        <f>ROUND(IF(项目基本情况!$B$8="出让",SUMPRODUCT(PRODUCT(1+L6:$L$18)),SUMPRODUCT(PRODUCT(1+L6:$L$17))),4)</f>
        <v>1.0471999999999999</v>
      </c>
      <c r="T6" s="3183">
        <f>ROUND(IF(项目基本情况!$B$8="出让",SUMPRODUCT(PRODUCT(1+M6:$M$18)),SUMPRODUCT(PRODUCT(1+M6:$M$17))),4)</f>
        <v>1.0266</v>
      </c>
      <c r="U6" s="3183">
        <f>ROUND(IF(项目基本情况!$B$8="出让",SUMPRODUCT(PRODUCT(1+N6:$N$18)),SUMPRODUCT(PRODUCT(1+N6:$N$17))),4)</f>
        <v>1.0859000000000001</v>
      </c>
      <c r="V6" s="3183">
        <f>ROUND(IF(项目基本情况!$B$8="出让",SUMPRODUCT(PRODUCT(1+O6:$O$18)),SUMPRODUCT(PRODUCT(1+O6:$O$17))),4)</f>
        <v>1.0741000000000001</v>
      </c>
      <c r="W6" s="3183">
        <f t="shared" ref="W6" si="14">T6</f>
        <v>1.0266</v>
      </c>
      <c r="X6" s="3181"/>
      <c r="Y6" s="3184"/>
      <c r="Z6" s="3184"/>
      <c r="AA6" s="3184"/>
      <c r="AB6" s="3184"/>
      <c r="AC6" s="3184"/>
      <c r="AD6" s="3184"/>
    </row>
    <row r="7" spans="1:30" s="3195" customFormat="1" ht="12.75">
      <c r="A7" s="3186" t="s">
        <v>3381</v>
      </c>
      <c r="B7" s="3187">
        <v>2023</v>
      </c>
      <c r="C7" s="3188">
        <v>4</v>
      </c>
      <c r="D7" s="3189">
        <v>0.19</v>
      </c>
      <c r="E7" s="3189">
        <v>0.24</v>
      </c>
      <c r="F7" s="3189">
        <v>-0.16</v>
      </c>
      <c r="G7" s="3189">
        <v>0.17</v>
      </c>
      <c r="H7" s="3190">
        <v>0.61</v>
      </c>
      <c r="I7" s="3191">
        <f>F7</f>
        <v>-0.16</v>
      </c>
      <c r="J7" s="3192"/>
      <c r="K7" s="3193">
        <f t="shared" si="5"/>
        <v>1.9E-3</v>
      </c>
      <c r="L7" s="3194">
        <f t="shared" si="5"/>
        <v>2.3999999999999998E-3</v>
      </c>
      <c r="M7" s="3194">
        <f t="shared" si="5"/>
        <v>-1.6000000000000001E-3</v>
      </c>
      <c r="N7" s="3194">
        <f t="shared" si="5"/>
        <v>1.7000000000000001E-3</v>
      </c>
      <c r="O7" s="3194">
        <f t="shared" si="5"/>
        <v>6.0999999999999995E-3</v>
      </c>
      <c r="P7" s="3194">
        <f t="shared" ref="P7" si="15">M7</f>
        <v>-1.6000000000000001E-3</v>
      </c>
      <c r="Q7" s="3192"/>
      <c r="R7" s="3192">
        <f>ROUND(IF(项目基本情况!$B$8="出让",SUMPRODUCT(PRODUCT(1+K7:$K$18)),SUMPRODUCT(PRODUCT(1+K7:$K$17))),4)</f>
        <v>1.0804</v>
      </c>
      <c r="S7" s="3192">
        <f>ROUND(IF(项目基本情况!$B$8="出让",SUMPRODUCT(PRODUCT(1+L7:$L$18)),SUMPRODUCT(PRODUCT(1+L7:$L$17))),4)</f>
        <v>1.0471999999999999</v>
      </c>
      <c r="T7" s="3192">
        <f>ROUND(IF(项目基本情况!$B$8="出让",SUMPRODUCT(PRODUCT(1+M7:$M$18)),SUMPRODUCT(PRODUCT(1+M7:$M$17))),4)</f>
        <v>1.0266</v>
      </c>
      <c r="U7" s="3192">
        <f>ROUND(IF(项目基本情况!$B$8="出让",SUMPRODUCT(PRODUCT(1+N7:$N$18)),SUMPRODUCT(PRODUCT(1+N7:$N$17))),4)</f>
        <v>1.0859000000000001</v>
      </c>
      <c r="V7" s="3192">
        <f>ROUND(IF(项目基本情况!$B$8="出让",SUMPRODUCT(PRODUCT(1+O7:$O$18)),SUMPRODUCT(PRODUCT(1+O7:$O$17))),4)</f>
        <v>1.0741000000000001</v>
      </c>
      <c r="W7" s="3192">
        <f t="shared" ref="W7" si="16">T7</f>
        <v>1.0266</v>
      </c>
      <c r="X7" s="3192"/>
      <c r="Y7" s="3194"/>
      <c r="Z7" s="3194"/>
      <c r="AA7" s="3194"/>
      <c r="AB7" s="3194"/>
      <c r="AC7" s="3194"/>
      <c r="AD7" s="3194"/>
    </row>
    <row r="8" spans="1:30" s="3185" customFormat="1" ht="12.75">
      <c r="A8" s="3176" t="s">
        <v>3382</v>
      </c>
      <c r="B8" s="3177">
        <v>2023</v>
      </c>
      <c r="C8" s="3178">
        <v>3</v>
      </c>
      <c r="D8" s="3179">
        <v>0.25</v>
      </c>
      <c r="E8" s="3179">
        <v>0.5</v>
      </c>
      <c r="F8" s="3179">
        <v>0.31</v>
      </c>
      <c r="G8" s="3179">
        <v>0.21</v>
      </c>
      <c r="H8" s="3196">
        <v>0.43</v>
      </c>
      <c r="I8" s="3180">
        <f t="shared" si="4"/>
        <v>0.31</v>
      </c>
      <c r="J8" s="3181"/>
      <c r="K8" s="3182">
        <f t="shared" ref="K8:K10" si="17">D8/100</f>
        <v>2.5000000000000001E-3</v>
      </c>
      <c r="L8" s="3172">
        <f t="shared" ref="L8:L10" si="18">E8/100</f>
        <v>5.0000000000000001E-3</v>
      </c>
      <c r="M8" s="3172">
        <f t="shared" ref="M8:M10" si="19">F8/100</f>
        <v>3.0999999999999999E-3</v>
      </c>
      <c r="N8" s="3172">
        <f t="shared" ref="N8:N10" si="20">G8/100</f>
        <v>2.0999999999999999E-3</v>
      </c>
      <c r="O8" s="3172">
        <f t="shared" ref="O8:O10" si="21">H8/100</f>
        <v>4.3E-3</v>
      </c>
      <c r="P8" s="3172">
        <f t="shared" ref="P8:P10" si="22">M8</f>
        <v>3.0999999999999999E-3</v>
      </c>
      <c r="Q8" s="3181"/>
      <c r="R8" s="3183">
        <f>ROUND(IF(项目基本情况!$B$8="出让",SUMPRODUCT(PRODUCT(1+K8:$K$18)),SUMPRODUCT(PRODUCT(1+K8:$K$17))),4)</f>
        <v>1.0783</v>
      </c>
      <c r="S8" s="3183">
        <f>ROUND(IF(项目基本情况!$B$8="出让",SUMPRODUCT(PRODUCT(1+L8:$L$18)),SUMPRODUCT(PRODUCT(1+L8:$L$17))),4)</f>
        <v>1.0447</v>
      </c>
      <c r="T8" s="3183">
        <f>ROUND(IF(项目基本情况!$B$8="出让",SUMPRODUCT(PRODUCT(1+M8:$M$18)),SUMPRODUCT(PRODUCT(1+M8:$M$17))),4)</f>
        <v>1.0282</v>
      </c>
      <c r="U8" s="3183">
        <f>ROUND(IF(项目基本情况!$B$8="出让",SUMPRODUCT(PRODUCT(1+N8:$N$18)),SUMPRODUCT(PRODUCT(1+N8:$N$17))),4)</f>
        <v>1.0841000000000001</v>
      </c>
      <c r="V8" s="3183">
        <f>ROUND(IF(项目基本情况!$B$8="出让",SUMPRODUCT(PRODUCT(1+O8:$O$18)),SUMPRODUCT(PRODUCT(1+O8:$O$17))),4)</f>
        <v>1.0674999999999999</v>
      </c>
      <c r="W8" s="3183">
        <f t="shared" ref="W8:W9" si="23">T8</f>
        <v>1.0282</v>
      </c>
      <c r="X8" s="3181"/>
      <c r="Y8" s="3184"/>
      <c r="Z8" s="3184"/>
      <c r="AA8" s="3184"/>
      <c r="AB8" s="3184"/>
      <c r="AC8" s="3184"/>
      <c r="AD8" s="3184"/>
    </row>
    <row r="9" spans="1:30" s="3185" customFormat="1" ht="12.75">
      <c r="A9" s="3176" t="s">
        <v>3374</v>
      </c>
      <c r="B9" s="3177">
        <v>2023</v>
      </c>
      <c r="C9" s="3178">
        <v>2</v>
      </c>
      <c r="D9" s="3179">
        <v>0.91</v>
      </c>
      <c r="E9" s="3179">
        <v>0.66</v>
      </c>
      <c r="F9" s="3179">
        <v>0.47</v>
      </c>
      <c r="G9" s="3179">
        <v>0.96</v>
      </c>
      <c r="H9" s="3196">
        <v>0.71</v>
      </c>
      <c r="I9" s="3180">
        <f t="shared" si="4"/>
        <v>0.47</v>
      </c>
      <c r="J9" s="3181"/>
      <c r="K9" s="3182">
        <f t="shared" si="17"/>
        <v>9.1000000000000004E-3</v>
      </c>
      <c r="L9" s="3172">
        <f t="shared" si="18"/>
        <v>6.6E-3</v>
      </c>
      <c r="M9" s="3172">
        <f t="shared" si="19"/>
        <v>4.6999999999999993E-3</v>
      </c>
      <c r="N9" s="3172">
        <f t="shared" si="20"/>
        <v>9.5999999999999992E-3</v>
      </c>
      <c r="O9" s="3172">
        <f t="shared" si="21"/>
        <v>7.0999999999999995E-3</v>
      </c>
      <c r="P9" s="3172">
        <f t="shared" si="22"/>
        <v>4.6999999999999993E-3</v>
      </c>
      <c r="Q9" s="3181"/>
      <c r="R9" s="3183">
        <f>ROUND(IF(项目基本情况!$B$8="出让",SUMPRODUCT(PRODUCT(1+K9:$K$18)),SUMPRODUCT(PRODUCT(1+K9:$K$17))),4)</f>
        <v>1.0755999999999999</v>
      </c>
      <c r="S9" s="3183">
        <f>ROUND(IF(项目基本情况!$B$8="出让",SUMPRODUCT(PRODUCT(1+L9:$L$18)),SUMPRODUCT(PRODUCT(1+L9:$L$17))),4)</f>
        <v>1.0395000000000001</v>
      </c>
      <c r="T9" s="3183">
        <f>ROUND(IF(项目基本情况!$B$8="出让",SUMPRODUCT(PRODUCT(1+M9:$M$18)),SUMPRODUCT(PRODUCT(1+M9:$M$17))),4)</f>
        <v>1.0250999999999999</v>
      </c>
      <c r="U9" s="3183">
        <f>ROUND(IF(项目基本情况!$B$8="出让",SUMPRODUCT(PRODUCT(1+N9:$N$18)),SUMPRODUCT(PRODUCT(1+N9:$N$17))),4)</f>
        <v>1.0818000000000001</v>
      </c>
      <c r="V9" s="3183">
        <f>ROUND(IF(项目基本情况!$B$8="出让",SUMPRODUCT(PRODUCT(1+O9:$O$18)),SUMPRODUCT(PRODUCT(1+O9:$O$17))),4)</f>
        <v>1.0629999999999999</v>
      </c>
      <c r="W9" s="3183">
        <f t="shared" si="23"/>
        <v>1.0250999999999999</v>
      </c>
      <c r="X9" s="3181"/>
      <c r="Y9" s="3184"/>
      <c r="Z9" s="3184"/>
      <c r="AA9" s="3184"/>
      <c r="AB9" s="3184"/>
      <c r="AC9" s="3184"/>
      <c r="AD9" s="3184"/>
    </row>
    <row r="10" spans="1:30" s="3185" customFormat="1" ht="12.75">
      <c r="A10" s="3176" t="s">
        <v>3373</v>
      </c>
      <c r="B10" s="3177">
        <v>2023</v>
      </c>
      <c r="C10" s="3178">
        <v>1</v>
      </c>
      <c r="D10" s="3179">
        <v>0.89</v>
      </c>
      <c r="E10" s="3179">
        <v>0.74</v>
      </c>
      <c r="F10" s="3179">
        <v>0.56999999999999995</v>
      </c>
      <c r="G10" s="3179">
        <v>0.92</v>
      </c>
      <c r="H10" s="3196">
        <v>0.5</v>
      </c>
      <c r="I10" s="3180">
        <f t="shared" si="4"/>
        <v>0.56999999999999995</v>
      </c>
      <c r="J10" s="3181"/>
      <c r="K10" s="3182">
        <f t="shared" si="17"/>
        <v>8.8999999999999999E-3</v>
      </c>
      <c r="L10" s="3172">
        <f t="shared" si="18"/>
        <v>7.4000000000000003E-3</v>
      </c>
      <c r="M10" s="3172">
        <f t="shared" si="19"/>
        <v>5.6999999999999993E-3</v>
      </c>
      <c r="N10" s="3172">
        <f t="shared" si="20"/>
        <v>9.1999999999999998E-3</v>
      </c>
      <c r="O10" s="3172">
        <f t="shared" si="21"/>
        <v>5.0000000000000001E-3</v>
      </c>
      <c r="P10" s="3172">
        <f t="shared" si="22"/>
        <v>5.6999999999999993E-3</v>
      </c>
      <c r="Q10" s="3181"/>
      <c r="R10" s="3183">
        <f>ROUND(IF(项目基本情况!$B$8="出让",SUMPRODUCT(PRODUCT(1+K10:$K$18)),SUMPRODUCT(PRODUCT(1+K10:$K$17))),4)</f>
        <v>1.0659000000000001</v>
      </c>
      <c r="S10" s="3183">
        <f>ROUND(IF(项目基本情况!$B$8="出让",SUMPRODUCT(PRODUCT(1+L10:$L$18)),SUMPRODUCT(PRODUCT(1+L10:$L$17))),4)</f>
        <v>1.0326</v>
      </c>
      <c r="T10" s="3183">
        <f>ROUND(IF(项目基本情况!$B$8="出让",SUMPRODUCT(PRODUCT(1+M10:$M$18)),SUMPRODUCT(PRODUCT(1+M10:$M$17))),4)</f>
        <v>1.0203</v>
      </c>
      <c r="U10" s="3183">
        <f>ROUND(IF(项目基本情况!$B$8="出让",SUMPRODUCT(PRODUCT(1+N10:$N$18)),SUMPRODUCT(PRODUCT(1+N10:$N$17))),4)</f>
        <v>1.0714999999999999</v>
      </c>
      <c r="V10" s="3183">
        <f>ROUND(IF(项目基本情况!$B$8="出让",SUMPRODUCT(PRODUCT(1+O10:$O$18)),SUMPRODUCT(PRODUCT(1+O10:$O$17))),4)</f>
        <v>1.0555000000000001</v>
      </c>
      <c r="W10" s="3183">
        <f t="shared" ref="W10:W17" si="24">T10</f>
        <v>1.0203</v>
      </c>
      <c r="X10" s="3181"/>
      <c r="Y10" s="3184"/>
      <c r="Z10" s="3184"/>
      <c r="AA10" s="3184"/>
      <c r="AB10" s="3184"/>
      <c r="AC10" s="3184"/>
      <c r="AD10" s="3184"/>
    </row>
    <row r="11" spans="1:30" s="3185" customFormat="1" ht="12.75">
      <c r="A11" s="3176" t="s">
        <v>3372</v>
      </c>
      <c r="B11" s="3177">
        <v>2022</v>
      </c>
      <c r="C11" s="3178">
        <v>4</v>
      </c>
      <c r="D11" s="3179">
        <v>0.62</v>
      </c>
      <c r="E11" s="3179">
        <v>0.2</v>
      </c>
      <c r="F11" s="3179">
        <v>0.11</v>
      </c>
      <c r="G11" s="3179">
        <v>0.69</v>
      </c>
      <c r="H11" s="3196">
        <v>0.53</v>
      </c>
      <c r="I11" s="3180">
        <f t="shared" si="4"/>
        <v>0.11</v>
      </c>
      <c r="J11" s="3181"/>
      <c r="K11" s="3182">
        <f t="shared" si="5"/>
        <v>6.1999999999999998E-3</v>
      </c>
      <c r="L11" s="3172">
        <f t="shared" si="5"/>
        <v>2E-3</v>
      </c>
      <c r="M11" s="3172">
        <f t="shared" si="5"/>
        <v>1.1000000000000001E-3</v>
      </c>
      <c r="N11" s="3172">
        <f t="shared" si="5"/>
        <v>6.8999999999999999E-3</v>
      </c>
      <c r="O11" s="3172">
        <f t="shared" si="5"/>
        <v>5.3E-3</v>
      </c>
      <c r="P11" s="3172">
        <f t="shared" ref="P11:P18" si="25">M11</f>
        <v>1.1000000000000001E-3</v>
      </c>
      <c r="Q11" s="3181"/>
      <c r="R11" s="3183">
        <f>ROUND(IF(项目基本情况!$B$8="出让",SUMPRODUCT(PRODUCT(1+K11:$K$18)),SUMPRODUCT(PRODUCT(1+K11:$K$17))),4)</f>
        <v>1.0565</v>
      </c>
      <c r="S11" s="3183">
        <f>ROUND(IF(项目基本情况!$B$8="出让",SUMPRODUCT(PRODUCT(1+L11:$L$18)),SUMPRODUCT(PRODUCT(1+L11:$L$17))),4)</f>
        <v>1.0250999999999999</v>
      </c>
      <c r="T11" s="3183">
        <f>ROUND(IF(项目基本情况!$B$8="出让",SUMPRODUCT(PRODUCT(1+M11:$M$18)),SUMPRODUCT(PRODUCT(1+M11:$M$17))),4)</f>
        <v>1.0145</v>
      </c>
      <c r="U11" s="3183">
        <f>ROUND(IF(项目基本情况!$B$8="出让",SUMPRODUCT(PRODUCT(1+N11:$N$18)),SUMPRODUCT(PRODUCT(1+N11:$N$17))),4)</f>
        <v>1.0618000000000001</v>
      </c>
      <c r="V11" s="3183">
        <f>ROUND(IF(项目基本情况!$B$8="出让",SUMPRODUCT(PRODUCT(1+O11:$O$18)),SUMPRODUCT(PRODUCT(1+O11:$O$17))),4)</f>
        <v>1.0502</v>
      </c>
      <c r="W11" s="3183">
        <f t="shared" si="24"/>
        <v>1.0145</v>
      </c>
      <c r="X11" s="3181"/>
      <c r="Y11" s="3184">
        <f>IF(D11=0,0,ROUND(AVERAGE(D11:D19)/100,4))</f>
        <v>8.0999999999999996E-3</v>
      </c>
      <c r="Z11" s="3184">
        <f t="shared" ref="Z11:AC11" si="26">IF(E11=0,0,ROUND(AVERAGE(E11:E18)/100,4))</f>
        <v>3.3E-3</v>
      </c>
      <c r="AA11" s="3184">
        <f t="shared" si="26"/>
        <v>1.5E-3</v>
      </c>
      <c r="AB11" s="3184">
        <f t="shared" si="26"/>
        <v>8.8999999999999999E-3</v>
      </c>
      <c r="AC11" s="3184">
        <f t="shared" si="26"/>
        <v>6.6E-3</v>
      </c>
      <c r="AD11" s="3184">
        <f t="shared" si="7"/>
        <v>1.5E-3</v>
      </c>
    </row>
    <row r="12" spans="1:30" s="3185" customFormat="1" ht="12.75">
      <c r="A12" s="3176" t="s">
        <v>3368</v>
      </c>
      <c r="B12" s="3177">
        <v>2022</v>
      </c>
      <c r="C12" s="3178">
        <v>3</v>
      </c>
      <c r="D12" s="3179">
        <v>0.66</v>
      </c>
      <c r="E12" s="3179">
        <v>0.32</v>
      </c>
      <c r="F12" s="3179">
        <v>0.23</v>
      </c>
      <c r="G12" s="3179">
        <v>0.72</v>
      </c>
      <c r="H12" s="3196">
        <v>0.63</v>
      </c>
      <c r="I12" s="3180">
        <f t="shared" si="4"/>
        <v>0.23</v>
      </c>
      <c r="J12" s="3181"/>
      <c r="K12" s="3182">
        <f t="shared" si="5"/>
        <v>6.6E-3</v>
      </c>
      <c r="L12" s="3172">
        <f t="shared" si="5"/>
        <v>3.2000000000000002E-3</v>
      </c>
      <c r="M12" s="3172">
        <f t="shared" si="5"/>
        <v>2.3E-3</v>
      </c>
      <c r="N12" s="3172">
        <f t="shared" si="5"/>
        <v>7.1999999999999998E-3</v>
      </c>
      <c r="O12" s="3172">
        <f t="shared" si="5"/>
        <v>6.3E-3</v>
      </c>
      <c r="P12" s="3172">
        <f t="shared" si="25"/>
        <v>2.3E-3</v>
      </c>
      <c r="Q12" s="3181"/>
      <c r="R12" s="3183">
        <f>ROUND(IF(项目基本情况!$B$8="出让",SUMPRODUCT(PRODUCT(1+K12:$K$18)),SUMPRODUCT(PRODUCT(1+K12:$K$17))),4)</f>
        <v>1.05</v>
      </c>
      <c r="S12" s="3183">
        <f>ROUND(IF(项目基本情况!$B$8="出让",SUMPRODUCT(PRODUCT(1+L12:$L$18)),SUMPRODUCT(PRODUCT(1+L12:$L$17))),4)</f>
        <v>1.0229999999999999</v>
      </c>
      <c r="T12" s="3183">
        <f>ROUND(IF(项目基本情况!$B$8="出让",SUMPRODUCT(PRODUCT(1+M12:$M$18)),SUMPRODUCT(PRODUCT(1+M12:$M$17))),4)</f>
        <v>1.0134000000000001</v>
      </c>
      <c r="U12" s="3183">
        <f>ROUND(IF(项目基本情况!$B$8="出让",SUMPRODUCT(PRODUCT(1+N12:$N$18)),SUMPRODUCT(PRODUCT(1+N12:$N$17))),4)</f>
        <v>1.0545</v>
      </c>
      <c r="V12" s="3183">
        <f>ROUND(IF(项目基本情况!$B$8="出让",SUMPRODUCT(PRODUCT(1+O12:$O$18)),SUMPRODUCT(PRODUCT(1+O12:$O$17))),4)</f>
        <v>1.0447</v>
      </c>
      <c r="W12" s="3183">
        <f t="shared" si="24"/>
        <v>1.0134000000000001</v>
      </c>
      <c r="X12" s="3181"/>
      <c r="Y12" s="3184">
        <f>IF(D12=0,0,ROUND(AVERAGE(D12:D18)/100,4))</f>
        <v>8.3999999999999995E-3</v>
      </c>
      <c r="Z12" s="3184">
        <f t="shared" ref="Z12:AC12" si="27">IF(E12=0,0,ROUND(AVERAGE(E12:E18)/100,4))</f>
        <v>3.5000000000000001E-3</v>
      </c>
      <c r="AA12" s="3184">
        <f t="shared" si="27"/>
        <v>1.5E-3</v>
      </c>
      <c r="AB12" s="3184">
        <f t="shared" si="27"/>
        <v>9.1999999999999998E-3</v>
      </c>
      <c r="AC12" s="3184">
        <f t="shared" si="27"/>
        <v>6.7999999999999996E-3</v>
      </c>
      <c r="AD12" s="3184">
        <f t="shared" si="7"/>
        <v>1.5E-3</v>
      </c>
    </row>
    <row r="13" spans="1:30" s="3185" customFormat="1" ht="12.75">
      <c r="A13" s="3176" t="s">
        <v>3359</v>
      </c>
      <c r="B13" s="3177">
        <v>2022</v>
      </c>
      <c r="C13" s="3178">
        <v>2</v>
      </c>
      <c r="D13" s="3179">
        <v>0.93</v>
      </c>
      <c r="E13" s="3179">
        <v>0.15</v>
      </c>
      <c r="F13" s="3179">
        <v>0.01</v>
      </c>
      <c r="G13" s="3179">
        <v>1.05</v>
      </c>
      <c r="H13" s="3196">
        <v>1.08</v>
      </c>
      <c r="I13" s="3180">
        <f t="shared" si="4"/>
        <v>0.01</v>
      </c>
      <c r="J13" s="3181"/>
      <c r="K13" s="3182">
        <f t="shared" si="5"/>
        <v>9.300000000000001E-3</v>
      </c>
      <c r="L13" s="3172">
        <f t="shared" si="5"/>
        <v>1.5E-3</v>
      </c>
      <c r="M13" s="3172">
        <f t="shared" si="5"/>
        <v>1E-4</v>
      </c>
      <c r="N13" s="3172">
        <f t="shared" si="5"/>
        <v>1.0500000000000001E-2</v>
      </c>
      <c r="O13" s="3172">
        <f t="shared" si="5"/>
        <v>1.0800000000000001E-2</v>
      </c>
      <c r="P13" s="3172">
        <f t="shared" si="25"/>
        <v>1E-4</v>
      </c>
      <c r="Q13" s="3181"/>
      <c r="R13" s="3183">
        <f>ROUND(IF(项目基本情况!$B$8="出让",SUMPRODUCT(PRODUCT(1+K13:$K$18)),SUMPRODUCT(PRODUCT(1+K13:$K$17))),4)</f>
        <v>1.0430999999999999</v>
      </c>
      <c r="S13" s="3183">
        <f>ROUND(IF(项目基本情况!$B$8="出让",SUMPRODUCT(PRODUCT(1+L13:$L$18)),SUMPRODUCT(PRODUCT(1+L13:$L$17))),4)</f>
        <v>1.0197000000000001</v>
      </c>
      <c r="T13" s="3183">
        <f>ROUND(IF(项目基本情况!$B$8="出让",SUMPRODUCT(PRODUCT(1+M13:$M$18)),SUMPRODUCT(PRODUCT(1+M13:$M$17))),4)</f>
        <v>1.0109999999999999</v>
      </c>
      <c r="U13" s="3183">
        <f>ROUND(IF(项目基本情况!$B$8="出让",SUMPRODUCT(PRODUCT(1+N13:$N$18)),SUMPRODUCT(PRODUCT(1+N13:$N$17))),4)</f>
        <v>1.0468999999999999</v>
      </c>
      <c r="V13" s="3183">
        <f>ROUND(IF(项目基本情况!$B$8="出让",SUMPRODUCT(PRODUCT(1+O13:$O$18)),SUMPRODUCT(PRODUCT(1+O13:$O$17))),4)</f>
        <v>1.0382</v>
      </c>
      <c r="W13" s="3183">
        <f t="shared" si="24"/>
        <v>1.0109999999999999</v>
      </c>
      <c r="X13" s="3181"/>
      <c r="Y13" s="3184">
        <f>IF(D13=0,0,ROUND(AVERAGE(D13:D18)/100,4))</f>
        <v>8.6999999999999994E-3</v>
      </c>
      <c r="Z13" s="3184">
        <f t="shared" ref="Z13:AC13" si="28">IF(E13=0,0,ROUND(AVERAGE(E13:E18)/100,4))</f>
        <v>3.5000000000000001E-3</v>
      </c>
      <c r="AA13" s="3184">
        <f t="shared" si="28"/>
        <v>1.4E-3</v>
      </c>
      <c r="AB13" s="3184">
        <f t="shared" si="28"/>
        <v>9.4999999999999998E-3</v>
      </c>
      <c r="AC13" s="3184">
        <f t="shared" si="28"/>
        <v>6.8999999999999999E-3</v>
      </c>
      <c r="AD13" s="3184">
        <f t="shared" si="7"/>
        <v>1.4E-3</v>
      </c>
    </row>
    <row r="14" spans="1:30" s="3185" customFormat="1" ht="12.75">
      <c r="A14" s="3176" t="s">
        <v>2824</v>
      </c>
      <c r="B14" s="3177">
        <v>2022</v>
      </c>
      <c r="C14" s="3178">
        <v>1</v>
      </c>
      <c r="D14" s="3179">
        <v>0.89</v>
      </c>
      <c r="E14" s="3179">
        <v>0.44</v>
      </c>
      <c r="F14" s="3179">
        <v>0.37</v>
      </c>
      <c r="G14" s="3179">
        <v>0.96</v>
      </c>
      <c r="H14" s="3196">
        <v>0.64</v>
      </c>
      <c r="I14" s="3180">
        <f t="shared" si="4"/>
        <v>0.37</v>
      </c>
      <c r="J14" s="3181"/>
      <c r="K14" s="3182">
        <f t="shared" si="5"/>
        <v>8.8999999999999999E-3</v>
      </c>
      <c r="L14" s="3172">
        <f t="shared" si="5"/>
        <v>4.4000000000000003E-3</v>
      </c>
      <c r="M14" s="3172">
        <f t="shared" si="5"/>
        <v>3.7000000000000002E-3</v>
      </c>
      <c r="N14" s="3172">
        <f t="shared" si="5"/>
        <v>9.5999999999999992E-3</v>
      </c>
      <c r="O14" s="3172">
        <f t="shared" si="5"/>
        <v>6.4000000000000003E-3</v>
      </c>
      <c r="P14" s="3172">
        <f t="shared" si="25"/>
        <v>3.7000000000000002E-3</v>
      </c>
      <c r="Q14" s="3181"/>
      <c r="R14" s="3183">
        <f>ROUND(IF(项目基本情况!$B$8="出让",SUMPRODUCT(PRODUCT(1+K14:$K$18)),SUMPRODUCT(PRODUCT(1+K14:$K$17))),4)</f>
        <v>1.0335000000000001</v>
      </c>
      <c r="S14" s="3183">
        <f>ROUND(IF(项目基本情况!$B$8="出让",SUMPRODUCT(PRODUCT(1+L14:$L$18)),SUMPRODUCT(PRODUCT(1+L14:$L$17))),4)</f>
        <v>1.0182</v>
      </c>
      <c r="T14" s="3183">
        <f>ROUND(IF(项目基本情况!$B$8="出让",SUMPRODUCT(PRODUCT(1+M14:$M$18)),SUMPRODUCT(PRODUCT(1+M14:$M$17))),4)</f>
        <v>1.0108999999999999</v>
      </c>
      <c r="U14" s="3183">
        <f>ROUND(IF(项目基本情况!$B$8="出让",SUMPRODUCT(PRODUCT(1+N14:$N$18)),SUMPRODUCT(PRODUCT(1+N14:$N$17))),4)</f>
        <v>1.0361</v>
      </c>
      <c r="V14" s="3183">
        <f>ROUND(IF(项目基本情况!$B$8="出让",SUMPRODUCT(PRODUCT(1+O14:$O$18)),SUMPRODUCT(PRODUCT(1+O14:$O$17))),4)</f>
        <v>1.0270999999999999</v>
      </c>
      <c r="W14" s="3183">
        <f t="shared" si="24"/>
        <v>1.0108999999999999</v>
      </c>
      <c r="X14" s="3181"/>
      <c r="Y14" s="3184">
        <f>IF(D14=0,0,ROUND(AVERAGE(D14:D18)/100,4))</f>
        <v>8.6E-3</v>
      </c>
      <c r="Z14" s="3184">
        <f t="shared" ref="Z14:AC14" si="29">IF(E14=0,0,ROUND(AVERAGE(E14:E18)/100,4))</f>
        <v>3.8999999999999998E-3</v>
      </c>
      <c r="AA14" s="3184">
        <f t="shared" si="29"/>
        <v>1.6999999999999999E-3</v>
      </c>
      <c r="AB14" s="3184">
        <f t="shared" si="29"/>
        <v>9.2999999999999992E-3</v>
      </c>
      <c r="AC14" s="3184">
        <f t="shared" si="29"/>
        <v>6.1000000000000004E-3</v>
      </c>
      <c r="AD14" s="3184">
        <f t="shared" si="7"/>
        <v>1.6999999999999999E-3</v>
      </c>
    </row>
    <row r="15" spans="1:30" s="3185" customFormat="1" ht="12.75">
      <c r="A15" s="3176" t="s">
        <v>2825</v>
      </c>
      <c r="B15" s="3177">
        <v>2021</v>
      </c>
      <c r="C15" s="3178">
        <v>4</v>
      </c>
      <c r="D15" s="3179">
        <v>1.03</v>
      </c>
      <c r="E15" s="3179">
        <v>0.24</v>
      </c>
      <c r="F15" s="3179">
        <v>7.0000000000000007E-2</v>
      </c>
      <c r="G15" s="3179">
        <v>1.17</v>
      </c>
      <c r="H15" s="3196">
        <v>0.55000000000000004</v>
      </c>
      <c r="I15" s="3180">
        <f t="shared" si="4"/>
        <v>7.0000000000000007E-2</v>
      </c>
      <c r="J15" s="3181"/>
      <c r="K15" s="3182">
        <f t="shared" si="5"/>
        <v>1.03E-2</v>
      </c>
      <c r="L15" s="3172">
        <f t="shared" si="5"/>
        <v>2.3999999999999998E-3</v>
      </c>
      <c r="M15" s="3172">
        <f t="shared" si="5"/>
        <v>7.000000000000001E-4</v>
      </c>
      <c r="N15" s="3172">
        <f t="shared" si="5"/>
        <v>1.1699999999999999E-2</v>
      </c>
      <c r="O15" s="3172">
        <f t="shared" si="5"/>
        <v>5.5000000000000005E-3</v>
      </c>
      <c r="P15" s="3172">
        <f t="shared" si="25"/>
        <v>7.000000000000001E-4</v>
      </c>
      <c r="Q15" s="3181"/>
      <c r="R15" s="3183">
        <f>ROUND(IF(项目基本情况!$B$8="出让",SUMPRODUCT(PRODUCT(1+K15:$K$18)),SUMPRODUCT(PRODUCT(1+K15:$K$17))),4)</f>
        <v>1.0244</v>
      </c>
      <c r="S15" s="3183">
        <f>ROUND(IF(项目基本情况!$B$8="出让",SUMPRODUCT(PRODUCT(1+L15:$L$18)),SUMPRODUCT(PRODUCT(1+L15:$L$17))),4)</f>
        <v>1.0138</v>
      </c>
      <c r="T15" s="3183">
        <f>ROUND(IF(项目基本情况!$B$8="出让",SUMPRODUCT(PRODUCT(1+M15:$M$18)),SUMPRODUCT(PRODUCT(1+M15:$M$17))),4)</f>
        <v>1.0072000000000001</v>
      </c>
      <c r="U15" s="3183">
        <f>ROUND(IF(项目基本情况!$B$8="出让",SUMPRODUCT(PRODUCT(1+N15:$N$18)),SUMPRODUCT(PRODUCT(1+N15:$N$17))),4)</f>
        <v>1.0262</v>
      </c>
      <c r="V15" s="3183">
        <f>ROUND(IF(项目基本情况!$B$8="出让",SUMPRODUCT(PRODUCT(1+O15:$O$18)),SUMPRODUCT(PRODUCT(1+O15:$O$17))),4)</f>
        <v>1.0205</v>
      </c>
      <c r="W15" s="3183">
        <f t="shared" si="24"/>
        <v>1.0072000000000001</v>
      </c>
      <c r="X15" s="3181"/>
      <c r="Y15" s="3184">
        <f>IF(D15=0,0,ROUND(AVERAGE(D15:D18)/100,4))</f>
        <v>8.5000000000000006E-3</v>
      </c>
      <c r="Z15" s="3184">
        <f t="shared" ref="Z15:AC15" si="30">IF(E15=0,0,ROUND(AVERAGE(E15:E18)/100,4))</f>
        <v>3.8E-3</v>
      </c>
      <c r="AA15" s="3184">
        <f t="shared" si="30"/>
        <v>1.1999999999999999E-3</v>
      </c>
      <c r="AB15" s="3184">
        <f t="shared" si="30"/>
        <v>9.2999999999999992E-3</v>
      </c>
      <c r="AC15" s="3184">
        <f t="shared" si="30"/>
        <v>6.0000000000000001E-3</v>
      </c>
      <c r="AD15" s="3184">
        <f t="shared" si="7"/>
        <v>1.1999999999999999E-3</v>
      </c>
    </row>
    <row r="16" spans="1:30" s="3185" customFormat="1" ht="12.75">
      <c r="A16" s="3176" t="s">
        <v>2826</v>
      </c>
      <c r="B16" s="3177">
        <v>2021</v>
      </c>
      <c r="C16" s="3178">
        <v>3</v>
      </c>
      <c r="D16" s="3179">
        <v>0.47</v>
      </c>
      <c r="E16" s="3179">
        <v>0.41</v>
      </c>
      <c r="F16" s="3179">
        <v>0.24</v>
      </c>
      <c r="G16" s="3179">
        <v>0.48</v>
      </c>
      <c r="H16" s="3196">
        <v>0.48</v>
      </c>
      <c r="I16" s="3180">
        <f t="shared" si="4"/>
        <v>0.24</v>
      </c>
      <c r="J16" s="3181"/>
      <c r="K16" s="3182">
        <f t="shared" si="5"/>
        <v>4.6999999999999993E-3</v>
      </c>
      <c r="L16" s="3172">
        <f t="shared" si="5"/>
        <v>4.0999999999999995E-3</v>
      </c>
      <c r="M16" s="3172">
        <f t="shared" si="5"/>
        <v>2.3999999999999998E-3</v>
      </c>
      <c r="N16" s="3172">
        <f t="shared" si="5"/>
        <v>4.7999999999999996E-3</v>
      </c>
      <c r="O16" s="3172">
        <f t="shared" si="5"/>
        <v>4.7999999999999996E-3</v>
      </c>
      <c r="P16" s="3172">
        <f t="shared" si="25"/>
        <v>2.3999999999999998E-3</v>
      </c>
      <c r="Q16" s="3181"/>
      <c r="R16" s="3183">
        <f>ROUND(IF(项目基本情况!$B$8="出让",SUMPRODUCT(PRODUCT(1+K16:$K$18)),SUMPRODUCT(PRODUCT(1+K16:$K$17))),4)</f>
        <v>1.0139</v>
      </c>
      <c r="S16" s="3183">
        <f>ROUND(IF(项目基本情况!$B$8="出让",SUMPRODUCT(PRODUCT(1+L16:$L$18)),SUMPRODUCT(PRODUCT(1+L16:$L$17))),4)</f>
        <v>1.0113000000000001</v>
      </c>
      <c r="T16" s="3183">
        <f>ROUND(IF(项目基本情况!$B$8="出让",SUMPRODUCT(PRODUCT(1+M16:$M$18)),SUMPRODUCT(PRODUCT(1+M16:$M$17))),4)</f>
        <v>1.0065</v>
      </c>
      <c r="U16" s="3183">
        <f>ROUND(IF(项目基本情况!$B$8="出让",SUMPRODUCT(PRODUCT(1+N16:$N$18)),SUMPRODUCT(PRODUCT(1+N16:$N$17))),4)</f>
        <v>1.0143</v>
      </c>
      <c r="V16" s="3183">
        <f>ROUND(IF(项目基本情况!$B$8="出让",SUMPRODUCT(PRODUCT(1+O16:$O$18)),SUMPRODUCT(PRODUCT(1+O16:$O$17))),4)</f>
        <v>1.0148999999999999</v>
      </c>
      <c r="W16" s="3183">
        <f t="shared" si="24"/>
        <v>1.0065</v>
      </c>
      <c r="X16" s="3181"/>
      <c r="Y16" s="3184">
        <f>IF(D16=0,0,ROUND(AVERAGE(D16:D18)/100,4))</f>
        <v>7.9000000000000008E-3</v>
      </c>
      <c r="Z16" s="3184">
        <f>IF(E16=0,0,ROUND(AVERAGE(E16:E18)/100,4))</f>
        <v>4.3E-3</v>
      </c>
      <c r="AA16" s="3184">
        <f>IF(F16=0,0,ROUND(AVERAGE(F16:F18)/100,4))</f>
        <v>1.2999999999999999E-3</v>
      </c>
      <c r="AB16" s="3184">
        <f>IF(G16=0,0,ROUND(AVERAGE(G16:G18)/100,4))</f>
        <v>8.5000000000000006E-3</v>
      </c>
      <c r="AC16" s="3184">
        <f>IF(H16=0,0,ROUND(AVERAGE(H16:H18)/100,4))</f>
        <v>6.1999999999999998E-3</v>
      </c>
      <c r="AD16" s="3184">
        <f t="shared" si="7"/>
        <v>1.2999999999999999E-3</v>
      </c>
    </row>
    <row r="17" spans="1:30" s="3185" customFormat="1" ht="12.75">
      <c r="A17" s="3176" t="s">
        <v>2827</v>
      </c>
      <c r="B17" s="3177">
        <v>2021</v>
      </c>
      <c r="C17" s="3178">
        <v>2</v>
      </c>
      <c r="D17" s="3179">
        <v>0.92</v>
      </c>
      <c r="E17" s="3179">
        <v>0.72</v>
      </c>
      <c r="F17" s="3179">
        <v>0.41</v>
      </c>
      <c r="G17" s="3179">
        <v>0.95</v>
      </c>
      <c r="H17" s="3196">
        <v>1.01</v>
      </c>
      <c r="I17" s="3180">
        <f t="shared" si="4"/>
        <v>0.41</v>
      </c>
      <c r="J17" s="3181"/>
      <c r="K17" s="3182">
        <f t="shared" si="5"/>
        <v>9.1999999999999998E-3</v>
      </c>
      <c r="L17" s="3172">
        <f t="shared" si="5"/>
        <v>7.1999999999999998E-3</v>
      </c>
      <c r="M17" s="3172">
        <f t="shared" si="5"/>
        <v>4.0999999999999995E-3</v>
      </c>
      <c r="N17" s="3172">
        <f t="shared" si="5"/>
        <v>9.4999999999999998E-3</v>
      </c>
      <c r="O17" s="3172">
        <f t="shared" si="5"/>
        <v>1.01E-2</v>
      </c>
      <c r="P17" s="3172">
        <f t="shared" si="25"/>
        <v>4.0999999999999995E-3</v>
      </c>
      <c r="Q17" s="3181"/>
      <c r="R17" s="3183">
        <f>ROUND(IF(项目基本情况!$B$8="出让",SUMPRODUCT(PRODUCT(1+K17:$K$18)),SUMPRODUCT(PRODUCT(1+K17:$K$17))),4)</f>
        <v>1.0092000000000001</v>
      </c>
      <c r="S17" s="3183">
        <f>ROUND(IF(项目基本情况!$B$8="出让",SUMPRODUCT(PRODUCT(1+L17:$L$18)),SUMPRODUCT(PRODUCT(1+L17:$L$17))),4)</f>
        <v>1.0072000000000001</v>
      </c>
      <c r="T17" s="3183">
        <f>ROUND(IF(项目基本情况!$B$8="出让",SUMPRODUCT(PRODUCT(1+M17:$M$18)),SUMPRODUCT(PRODUCT(1+M17:$M$17))),4)</f>
        <v>1.0041</v>
      </c>
      <c r="U17" s="3183">
        <f>ROUND(IF(项目基本情况!$B$8="出让",SUMPRODUCT(PRODUCT(1+N17:$N$18)),SUMPRODUCT(PRODUCT(1+N17:$N$17))),4)</f>
        <v>1.0095000000000001</v>
      </c>
      <c r="V17" s="3183">
        <f>ROUND(IF(项目基本情况!$B$8="出让",SUMPRODUCT(PRODUCT(1+O17:$O$18)),SUMPRODUCT(PRODUCT(1+O17:$O$17))),4)</f>
        <v>1.0101</v>
      </c>
      <c r="W17" s="3183">
        <f t="shared" si="24"/>
        <v>1.0041</v>
      </c>
      <c r="X17" s="3181"/>
      <c r="Y17" s="3184">
        <f>IF(D17=0,0,ROUND(AVERAGE(D17:D18)/100,4))</f>
        <v>9.4999999999999998E-3</v>
      </c>
      <c r="Z17" s="3184">
        <f>IF(E17=0,0,ROUND(AVERAGE(E17:E18)/100,4))</f>
        <v>4.4000000000000003E-3</v>
      </c>
      <c r="AA17" s="3184">
        <f>IF(F17=0,0,ROUND(AVERAGE(F17:F18)/100,4))</f>
        <v>8.0000000000000004E-4</v>
      </c>
      <c r="AB17" s="3184">
        <f>IF(G17=0,0,ROUND(AVERAGE(G17:G18)/100,4))</f>
        <v>1.03E-2</v>
      </c>
      <c r="AC17" s="3184">
        <f>IF(H17=0,0,ROUND(AVERAGE(H17:H18)/100,4))</f>
        <v>6.8999999999999999E-3</v>
      </c>
      <c r="AD17" s="3184">
        <f t="shared" si="7"/>
        <v>8.0000000000000004E-4</v>
      </c>
    </row>
    <row r="18" spans="1:30" s="3207" customFormat="1" thickBot="1">
      <c r="A18" s="3197" t="s">
        <v>2828</v>
      </c>
      <c r="B18" s="3198">
        <v>2021</v>
      </c>
      <c r="C18" s="3199">
        <v>1</v>
      </c>
      <c r="D18" s="3200">
        <v>0.97</v>
      </c>
      <c r="E18" s="3200">
        <v>0.16</v>
      </c>
      <c r="F18" s="3200">
        <v>-0.25</v>
      </c>
      <c r="G18" s="3200">
        <v>1.1100000000000001</v>
      </c>
      <c r="H18" s="3201">
        <v>0.36</v>
      </c>
      <c r="I18" s="3202">
        <f t="shared" si="4"/>
        <v>-0.25</v>
      </c>
      <c r="J18" s="3203"/>
      <c r="K18" s="3204">
        <f t="shared" si="5"/>
        <v>9.7000000000000003E-3</v>
      </c>
      <c r="L18" s="3205">
        <f t="shared" si="5"/>
        <v>1.6000000000000001E-3</v>
      </c>
      <c r="M18" s="3205">
        <f>F18/100</f>
        <v>-2.5000000000000001E-3</v>
      </c>
      <c r="N18" s="3205">
        <f t="shared" si="5"/>
        <v>1.11E-2</v>
      </c>
      <c r="O18" s="3205">
        <f t="shared" si="5"/>
        <v>3.5999999999999999E-3</v>
      </c>
      <c r="P18" s="3205">
        <f t="shared" si="25"/>
        <v>-2.5000000000000001E-3</v>
      </c>
      <c r="Q18" s="3203"/>
      <c r="R18" s="3206">
        <v>1</v>
      </c>
      <c r="S18" s="3206">
        <v>1</v>
      </c>
      <c r="T18" s="3206">
        <v>1</v>
      </c>
      <c r="U18" s="3206">
        <v>1</v>
      </c>
      <c r="V18" s="3206">
        <v>1</v>
      </c>
      <c r="W18" s="3206">
        <f t="shared" ref="W18" si="31">T18</f>
        <v>1</v>
      </c>
      <c r="X18" s="3203"/>
      <c r="Y18" s="3205">
        <f>IF(D18=0,0,ROUND(AVERAGE(D18:D18)/100,4))</f>
        <v>9.7000000000000003E-3</v>
      </c>
      <c r="Z18" s="3205">
        <f>IF(E18=0,0,ROUND(AVERAGE(E18:E18)/100,4))</f>
        <v>1.6000000000000001E-3</v>
      </c>
      <c r="AA18" s="3205">
        <f>IF(F18=0,0,ROUND(AVERAGE(F18:F18)/100,4))</f>
        <v>-2.5000000000000001E-3</v>
      </c>
      <c r="AB18" s="3205">
        <f>IF(G18=0,0,ROUND(AVERAGE(G18:G18)/100,4))</f>
        <v>1.11E-2</v>
      </c>
      <c r="AC18" s="3205">
        <f>IF(H18=0,0,ROUND(AVERAGE(H18:H18)/100,4))</f>
        <v>3.5999999999999999E-3</v>
      </c>
      <c r="AD18" s="3205">
        <f>AA18</f>
        <v>-2.5000000000000001E-3</v>
      </c>
    </row>
    <row r="19" spans="1:30" s="3009" customFormat="1" ht="14.25" thickTop="1"/>
    <row r="20" spans="1:30" s="3009" customFormat="1">
      <c r="A20" s="3448" t="s">
        <v>3370</v>
      </c>
    </row>
    <row r="21" spans="1:30" s="3009" customFormat="1">
      <c r="I21" s="3208" t="s">
        <v>2829</v>
      </c>
    </row>
    <row r="22" spans="1:30" s="3009" customFormat="1"/>
    <row r="23" spans="1:30" s="3209" customFormat="1" ht="12.75">
      <c r="B23" s="3210" t="s">
        <v>3376</v>
      </c>
      <c r="C23" s="3211"/>
      <c r="D23" s="3211"/>
      <c r="E23" s="3211"/>
      <c r="F23" s="3211"/>
      <c r="G23" s="3211"/>
      <c r="H23" s="3211"/>
      <c r="I23" s="3211"/>
      <c r="J23" s="3165"/>
      <c r="K23" s="3211" t="s">
        <v>2830</v>
      </c>
      <c r="L23" s="3211"/>
      <c r="M23" s="3211"/>
      <c r="N23" s="3211"/>
      <c r="O23" s="3211"/>
      <c r="P23" s="3211"/>
      <c r="Q23" s="3165"/>
      <c r="R23" s="3792" t="s">
        <v>2831</v>
      </c>
      <c r="S23" s="3793"/>
      <c r="T23" s="3793"/>
      <c r="U23" s="3793"/>
      <c r="V23" s="3793"/>
      <c r="W23" s="3793"/>
      <c r="X23" s="3165"/>
      <c r="Y23" s="3792" t="s">
        <v>2832</v>
      </c>
      <c r="Z23" s="3793"/>
      <c r="AA23" s="3793"/>
      <c r="AB23" s="3793"/>
      <c r="AC23" s="3793"/>
      <c r="AD23" s="3793"/>
    </row>
    <row r="24" spans="1:30" s="3143" customFormat="1" ht="14.25" thickBot="1">
      <c r="B24" s="3144"/>
      <c r="C24" s="3145"/>
      <c r="D24" s="3146" t="s">
        <v>2833</v>
      </c>
      <c r="E24" s="3147" t="s">
        <v>2834</v>
      </c>
      <c r="F24" s="3147" t="s">
        <v>2835</v>
      </c>
      <c r="G24" s="3147" t="s">
        <v>2836</v>
      </c>
      <c r="H24" s="3147"/>
      <c r="I24" s="3147" t="s">
        <v>2837</v>
      </c>
      <c r="J24" s="3148"/>
      <c r="K24" s="3146" t="s">
        <v>2833</v>
      </c>
      <c r="L24" s="3147" t="s">
        <v>2834</v>
      </c>
      <c r="M24" s="3147" t="s">
        <v>2835</v>
      </c>
      <c r="N24" s="3147" t="s">
        <v>2836</v>
      </c>
      <c r="O24" s="3147"/>
      <c r="P24" s="3147" t="s">
        <v>2837</v>
      </c>
      <c r="Q24" s="3148"/>
      <c r="R24" s="3146" t="s">
        <v>2833</v>
      </c>
      <c r="S24" s="3147" t="s">
        <v>2834</v>
      </c>
      <c r="T24" s="3147" t="s">
        <v>2835</v>
      </c>
      <c r="U24" s="3147" t="s">
        <v>2836</v>
      </c>
      <c r="V24" s="3147"/>
      <c r="W24" s="3147" t="s">
        <v>2837</v>
      </c>
      <c r="X24" s="3148"/>
      <c r="Y24" s="3146" t="s">
        <v>2833</v>
      </c>
      <c r="Z24" s="3147" t="s">
        <v>2834</v>
      </c>
      <c r="AA24" s="3147" t="s">
        <v>2835</v>
      </c>
      <c r="AB24" s="3147" t="s">
        <v>2836</v>
      </c>
      <c r="AC24" s="3147"/>
      <c r="AD24" s="3147" t="s">
        <v>2837</v>
      </c>
    </row>
    <row r="25" spans="1:30" s="3161" customFormat="1" ht="12.75">
      <c r="A25" s="3149" t="s">
        <v>2838</v>
      </c>
      <c r="B25" s="3150"/>
      <c r="C25" s="3151"/>
      <c r="D25" s="3151"/>
      <c r="E25" s="3151">
        <f t="shared" ref="E25:G25" si="32">ROUND(AVERAGEIF(E26:E40,"&lt;&gt;0"),2)</f>
        <v>0.39</v>
      </c>
      <c r="F25" s="3151">
        <f t="shared" si="32"/>
        <v>0.28000000000000003</v>
      </c>
      <c r="G25" s="3151">
        <f t="shared" si="32"/>
        <v>0.67</v>
      </c>
      <c r="H25" s="3151"/>
      <c r="I25" s="3151">
        <f>F25</f>
        <v>0.28000000000000003</v>
      </c>
      <c r="J25" s="3152"/>
      <c r="K25" s="3153"/>
      <c r="L25" s="3154">
        <f t="shared" ref="L25:N25" si="33">ROUND(AVERAGEIF(L26:L40,"&lt;&gt;0"),4)</f>
        <v>3.8999999999999998E-3</v>
      </c>
      <c r="M25" s="3154">
        <f t="shared" si="33"/>
        <v>2.8E-3</v>
      </c>
      <c r="N25" s="3154">
        <f t="shared" si="33"/>
        <v>6.7000000000000002E-3</v>
      </c>
      <c r="O25" s="3154"/>
      <c r="P25" s="3154">
        <f>M25</f>
        <v>2.8E-3</v>
      </c>
      <c r="Q25" s="3152"/>
      <c r="R25" s="3155"/>
      <c r="S25" s="3156">
        <f>ROUND(SUMPRODUCT(PRODUCT(1+L26:L40)),4)</f>
        <v>1.0476000000000001</v>
      </c>
      <c r="T25" s="3156">
        <f t="shared" ref="T25:U25" si="34">ROUND(SUMPRODUCT(PRODUCT(1+M26:M40)),4)</f>
        <v>1.0346</v>
      </c>
      <c r="U25" s="3156">
        <f t="shared" si="34"/>
        <v>1.0831999999999999</v>
      </c>
      <c r="V25" s="3156"/>
      <c r="W25" s="3155">
        <f>T25</f>
        <v>1.0346</v>
      </c>
      <c r="X25" s="3152"/>
      <c r="Y25" s="3157"/>
      <c r="Z25" s="3158">
        <f t="shared" ref="Z25:AB25" si="35">ROUND(AVERAGEIF(Z26:Z40,"&lt;&gt;0"),4)</f>
        <v>4.3E-3</v>
      </c>
      <c r="AA25" s="3159">
        <f t="shared" si="35"/>
        <v>3.5999999999999999E-3</v>
      </c>
      <c r="AB25" s="3157">
        <f t="shared" si="35"/>
        <v>8.8999999999999999E-3</v>
      </c>
      <c r="AC25" s="3160"/>
      <c r="AD25" s="3157">
        <f>AA25</f>
        <v>3.5999999999999999E-3</v>
      </c>
    </row>
    <row r="26" spans="1:30" s="3162" customFormat="1" ht="12.75">
      <c r="B26" s="3163"/>
      <c r="C26" s="3164"/>
      <c r="D26" s="3164"/>
      <c r="E26" s="3164"/>
      <c r="F26" s="3164"/>
      <c r="G26" s="3164"/>
      <c r="H26" s="3164"/>
      <c r="I26" s="3164"/>
      <c r="J26" s="3165"/>
      <c r="K26" s="3166"/>
      <c r="L26" s="3167"/>
      <c r="M26" s="3167"/>
      <c r="N26" s="3167"/>
      <c r="O26" s="3167"/>
      <c r="P26" s="3167"/>
      <c r="Q26" s="3165"/>
      <c r="R26" s="3168"/>
      <c r="S26" s="3169"/>
      <c r="T26" s="3170"/>
      <c r="U26" s="3168"/>
      <c r="V26" s="3171"/>
      <c r="W26" s="3168"/>
      <c r="X26" s="3165"/>
      <c r="Y26" s="3172"/>
      <c r="Z26" s="3173"/>
      <c r="AA26" s="3174"/>
      <c r="AB26" s="3172"/>
      <c r="AC26" s="3175"/>
      <c r="AD26" s="3172"/>
    </row>
    <row r="27" spans="1:30" s="3185" customFormat="1" ht="12.75">
      <c r="A27" s="2205" t="s">
        <v>3378</v>
      </c>
      <c r="B27" s="3177">
        <v>2024</v>
      </c>
      <c r="C27" s="3178">
        <v>2</v>
      </c>
      <c r="D27" s="3179"/>
      <c r="E27" s="3179">
        <v>0</v>
      </c>
      <c r="F27" s="3179">
        <v>0</v>
      </c>
      <c r="G27" s="3179">
        <v>0</v>
      </c>
      <c r="H27" s="3179"/>
      <c r="I27" s="3180">
        <f t="shared" ref="I27:I40" si="36">F27</f>
        <v>0</v>
      </c>
      <c r="J27" s="3181"/>
      <c r="K27" s="3182"/>
      <c r="L27" s="3172">
        <f t="shared" ref="L27:N40" si="37">E27/100</f>
        <v>0</v>
      </c>
      <c r="M27" s="3172">
        <f t="shared" si="37"/>
        <v>0</v>
      </c>
      <c r="N27" s="3172">
        <f t="shared" si="37"/>
        <v>0</v>
      </c>
      <c r="O27" s="3172"/>
      <c r="P27" s="3172">
        <f>M27</f>
        <v>0</v>
      </c>
      <c r="Q27" s="3181"/>
      <c r="R27" s="3183"/>
      <c r="S27" s="3183">
        <f>ROUND(IF(项目基本情况!$B$8="出让",SUMPRODUCT(PRODUCT(1+L27:L$40)),SUMPRODUCT(PRODUCT(1+L27:L$39))),4)</f>
        <v>1.0439000000000001</v>
      </c>
      <c r="T27" s="3183">
        <f>ROUND(IF(项目基本情况!$B$8="出让",SUMPRODUCT(PRODUCT(1+M27:M$40)),SUMPRODUCT(PRODUCT(1+M27:M$39))),4)</f>
        <v>1.0297000000000001</v>
      </c>
      <c r="U27" s="3183">
        <f>ROUND(IF(项目基本情况!$B$8="出让",SUMPRODUCT(PRODUCT(1+N27:N$40)),SUMPRODUCT(PRODUCT(1+N27:N$39))),4)</f>
        <v>1.0727</v>
      </c>
      <c r="V27" s="3183"/>
      <c r="W27" s="3183">
        <f>T27</f>
        <v>1.0297000000000001</v>
      </c>
      <c r="X27" s="3181"/>
      <c r="Y27" s="3184"/>
      <c r="Z27" s="3212">
        <f>IF(E27=0,0,ROUND(AVERAGE(E27:E40)/100,4))</f>
        <v>0</v>
      </c>
      <c r="AA27" s="3212">
        <f>IF(F27=0,0,ROUND(AVERAGE(F27:F40)/100,4))</f>
        <v>0</v>
      </c>
      <c r="AB27" s="3212">
        <f>IF(G27=0,0,ROUND(AVERAGE(G27:G40)/100,4))</f>
        <v>0</v>
      </c>
      <c r="AC27" s="3213"/>
      <c r="AD27" s="3184">
        <f>IF(I27=0,0,ROUND(AVERAGE(I27:I40)/100,4))</f>
        <v>0</v>
      </c>
    </row>
    <row r="28" spans="1:30" s="3185" customFormat="1" ht="12.75">
      <c r="A28" s="2205" t="s">
        <v>3379</v>
      </c>
      <c r="B28" s="3177">
        <v>2024</v>
      </c>
      <c r="C28" s="3178">
        <v>1</v>
      </c>
      <c r="D28" s="3179"/>
      <c r="E28" s="3179">
        <v>0</v>
      </c>
      <c r="F28" s="3179">
        <v>0</v>
      </c>
      <c r="G28" s="3179">
        <v>0</v>
      </c>
      <c r="H28" s="3179"/>
      <c r="I28" s="3180">
        <f t="shared" ref="I28:I29" si="38">F28</f>
        <v>0</v>
      </c>
      <c r="J28" s="3181"/>
      <c r="K28" s="3182"/>
      <c r="L28" s="3172">
        <f t="shared" ref="L28" si="39">E28/100</f>
        <v>0</v>
      </c>
      <c r="M28" s="3172">
        <f t="shared" ref="M28" si="40">F28/100</f>
        <v>0</v>
      </c>
      <c r="N28" s="3172">
        <f t="shared" ref="N28" si="41">G28/100</f>
        <v>0</v>
      </c>
      <c r="O28" s="3172"/>
      <c r="P28" s="3172">
        <f t="shared" ref="P28" si="42">M28</f>
        <v>0</v>
      </c>
      <c r="Q28" s="3181"/>
      <c r="R28" s="3183"/>
      <c r="S28" s="3183">
        <f>ROUND(IF(项目基本情况!$B$8="出让",SUMPRODUCT(PRODUCT(1+L28:L$40)),SUMPRODUCT(PRODUCT(1+L28:L$39))),4)</f>
        <v>1.0439000000000001</v>
      </c>
      <c r="T28" s="3183">
        <f>ROUND(IF(项目基本情况!$B$8="出让",SUMPRODUCT(PRODUCT(1+M28:M$40)),SUMPRODUCT(PRODUCT(1+M28:M$39))),4)</f>
        <v>1.0297000000000001</v>
      </c>
      <c r="U28" s="3183">
        <f>ROUND(IF(项目基本情况!$B$8="出让",SUMPRODUCT(PRODUCT(1+N28:N$40)),SUMPRODUCT(PRODUCT(1+N28:N$39))),4)</f>
        <v>1.0727</v>
      </c>
      <c r="V28" s="3183"/>
      <c r="W28" s="3183">
        <f t="shared" ref="W28" si="43">T28</f>
        <v>1.0297000000000001</v>
      </c>
      <c r="X28" s="3181"/>
      <c r="Y28" s="3184"/>
      <c r="Z28" s="3212"/>
      <c r="AA28" s="3214"/>
      <c r="AB28" s="3184"/>
      <c r="AC28" s="3213"/>
      <c r="AD28" s="3184"/>
    </row>
    <row r="29" spans="1:30" s="3195" customFormat="1" ht="12.75">
      <c r="A29" s="3186" t="s">
        <v>3383</v>
      </c>
      <c r="B29" s="3187">
        <v>2023</v>
      </c>
      <c r="C29" s="3188">
        <v>4</v>
      </c>
      <c r="D29" s="3189"/>
      <c r="E29" s="3189">
        <v>7.0000000000000007E-2</v>
      </c>
      <c r="F29" s="3189">
        <v>0.09</v>
      </c>
      <c r="G29" s="3189">
        <v>0.03</v>
      </c>
      <c r="H29" s="3190"/>
      <c r="I29" s="3191">
        <f t="shared" si="38"/>
        <v>0.09</v>
      </c>
      <c r="J29" s="3192"/>
      <c r="K29" s="3193"/>
      <c r="L29" s="3194">
        <f t="shared" si="37"/>
        <v>7.000000000000001E-4</v>
      </c>
      <c r="M29" s="3194">
        <f t="shared" si="37"/>
        <v>8.9999999999999998E-4</v>
      </c>
      <c r="N29" s="3194">
        <f t="shared" si="37"/>
        <v>2.9999999999999997E-4</v>
      </c>
      <c r="O29" s="3194"/>
      <c r="P29" s="3194">
        <f t="shared" ref="P29" si="44">M29</f>
        <v>8.9999999999999998E-4</v>
      </c>
      <c r="Q29" s="3192"/>
      <c r="R29" s="3192"/>
      <c r="S29" s="3192">
        <f>ROUND(IF(项目基本情况!$B$8="出让",SUMPRODUCT(PRODUCT(1+L29:L$40)),SUMPRODUCT(PRODUCT(1+L29:L$39))),4)</f>
        <v>1.0439000000000001</v>
      </c>
      <c r="T29" s="3192">
        <f>ROUND(IF(项目基本情况!$B$8="出让",SUMPRODUCT(PRODUCT(1+M29:M$40)),SUMPRODUCT(PRODUCT(1+M29:M$39))),4)</f>
        <v>1.0297000000000001</v>
      </c>
      <c r="U29" s="3192">
        <f>ROUND(IF(项目基本情况!$B$8="出让",SUMPRODUCT(PRODUCT(1+N29:N$40)),SUMPRODUCT(PRODUCT(1+N29:N$39))),4)</f>
        <v>1.0727</v>
      </c>
      <c r="V29" s="3192"/>
      <c r="W29" s="3192">
        <f t="shared" ref="W29" si="45">T29</f>
        <v>1.0297000000000001</v>
      </c>
      <c r="X29" s="3192"/>
      <c r="Y29" s="3194"/>
      <c r="Z29" s="3215"/>
      <c r="AA29" s="3216"/>
      <c r="AB29" s="3194"/>
      <c r="AC29" s="3217"/>
      <c r="AD29" s="3194"/>
    </row>
    <row r="30" spans="1:30" s="3185" customFormat="1" ht="12.75">
      <c r="A30" s="3176" t="s">
        <v>3382</v>
      </c>
      <c r="B30" s="3177">
        <v>2023</v>
      </c>
      <c r="C30" s="3178">
        <v>3</v>
      </c>
      <c r="D30" s="3179"/>
      <c r="E30" s="3179">
        <v>0.35</v>
      </c>
      <c r="F30" s="3179">
        <v>0.17</v>
      </c>
      <c r="G30" s="3179">
        <v>0.52</v>
      </c>
      <c r="H30" s="3196"/>
      <c r="I30" s="3180">
        <f t="shared" si="36"/>
        <v>0.17</v>
      </c>
      <c r="J30" s="3181"/>
      <c r="K30" s="3182"/>
      <c r="L30" s="3172">
        <f t="shared" ref="L30:L32" si="46">E30/100</f>
        <v>3.4999999999999996E-3</v>
      </c>
      <c r="M30" s="3172">
        <f t="shared" ref="M30:M32" si="47">F30/100</f>
        <v>1.7000000000000001E-3</v>
      </c>
      <c r="N30" s="3172">
        <f t="shared" ref="N30:N32" si="48">G30/100</f>
        <v>5.1999999999999998E-3</v>
      </c>
      <c r="O30" s="3172"/>
      <c r="P30" s="3172">
        <f t="shared" ref="P30:P32" si="49">M30</f>
        <v>1.7000000000000001E-3</v>
      </c>
      <c r="Q30" s="3181"/>
      <c r="R30" s="3183"/>
      <c r="S30" s="3183">
        <f>ROUND(IF(项目基本情况!$B$8="出让",SUMPRODUCT(PRODUCT(1+L30:L$40)),SUMPRODUCT(PRODUCT(1+L30:L$39))),4)</f>
        <v>1.0431999999999999</v>
      </c>
      <c r="T30" s="3183">
        <f>ROUND(IF(项目基本情况!$B$8="出让",SUMPRODUCT(PRODUCT(1+M30:M$40)),SUMPRODUCT(PRODUCT(1+M30:M$39))),4)</f>
        <v>1.0286999999999999</v>
      </c>
      <c r="U30" s="3183">
        <f>ROUND(IF(项目基本情况!$B$8="出让",SUMPRODUCT(PRODUCT(1+N30:N$40)),SUMPRODUCT(PRODUCT(1+N30:N$39))),4)</f>
        <v>1.0723</v>
      </c>
      <c r="V30" s="3183"/>
      <c r="W30" s="3183">
        <f t="shared" ref="W30:W32" si="50">T30</f>
        <v>1.0286999999999999</v>
      </c>
      <c r="X30" s="3181"/>
      <c r="Y30" s="3184"/>
      <c r="Z30" s="3212"/>
      <c r="AA30" s="3214"/>
      <c r="AB30" s="3184"/>
      <c r="AC30" s="3213"/>
      <c r="AD30" s="3184"/>
    </row>
    <row r="31" spans="1:30" s="3185" customFormat="1" ht="12.75">
      <c r="A31" s="3176" t="s">
        <v>3377</v>
      </c>
      <c r="B31" s="3177">
        <v>2023</v>
      </c>
      <c r="C31" s="3178">
        <v>2</v>
      </c>
      <c r="D31" s="3179"/>
      <c r="E31" s="3179">
        <v>0.5</v>
      </c>
      <c r="F31" s="3179">
        <v>0.45</v>
      </c>
      <c r="G31" s="3179">
        <v>0.89</v>
      </c>
      <c r="H31" s="3196"/>
      <c r="I31" s="3180">
        <f t="shared" si="36"/>
        <v>0.45</v>
      </c>
      <c r="J31" s="3181"/>
      <c r="K31" s="3182"/>
      <c r="L31" s="3172">
        <f t="shared" si="46"/>
        <v>5.0000000000000001E-3</v>
      </c>
      <c r="M31" s="3172">
        <f t="shared" si="47"/>
        <v>4.5000000000000005E-3</v>
      </c>
      <c r="N31" s="3172">
        <f t="shared" si="48"/>
        <v>8.8999999999999999E-3</v>
      </c>
      <c r="O31" s="3172"/>
      <c r="P31" s="3172">
        <f t="shared" si="49"/>
        <v>4.5000000000000005E-3</v>
      </c>
      <c r="Q31" s="3181"/>
      <c r="R31" s="3183"/>
      <c r="S31" s="3183">
        <f>ROUND(IF(项目基本情况!$B$8="出让",SUMPRODUCT(PRODUCT(1+L31:L$40)),SUMPRODUCT(PRODUCT(1+L31:L$39))),4)</f>
        <v>1.0396000000000001</v>
      </c>
      <c r="T31" s="3183">
        <f>ROUND(IF(项目基本情况!$B$8="出让",SUMPRODUCT(PRODUCT(1+M31:M$40)),SUMPRODUCT(PRODUCT(1+M31:M$39))),4)</f>
        <v>1.0269999999999999</v>
      </c>
      <c r="U31" s="3183">
        <f>ROUND(IF(项目基本情况!$B$8="出让",SUMPRODUCT(PRODUCT(1+N31:N$40)),SUMPRODUCT(PRODUCT(1+N31:N$39))),4)</f>
        <v>1.0668</v>
      </c>
      <c r="V31" s="3183"/>
      <c r="W31" s="3183">
        <f t="shared" si="50"/>
        <v>1.0269999999999999</v>
      </c>
      <c r="X31" s="3181"/>
      <c r="Y31" s="3184"/>
      <c r="Z31" s="3212"/>
      <c r="AA31" s="3214"/>
      <c r="AB31" s="3184"/>
      <c r="AC31" s="3213"/>
      <c r="AD31" s="3184"/>
    </row>
    <row r="32" spans="1:30" s="3185" customFormat="1" ht="12.75">
      <c r="A32" s="3176" t="s">
        <v>3373</v>
      </c>
      <c r="B32" s="3177">
        <v>2023</v>
      </c>
      <c r="C32" s="3178">
        <v>1</v>
      </c>
      <c r="D32" s="3179"/>
      <c r="E32" s="3179">
        <v>0.55000000000000004</v>
      </c>
      <c r="F32" s="3179">
        <v>0.59</v>
      </c>
      <c r="G32" s="3179">
        <v>0.64</v>
      </c>
      <c r="H32" s="3196"/>
      <c r="I32" s="3180">
        <f t="shared" si="36"/>
        <v>0.59</v>
      </c>
      <c r="J32" s="3181"/>
      <c r="K32" s="3182"/>
      <c r="L32" s="3172">
        <f t="shared" si="46"/>
        <v>5.5000000000000005E-3</v>
      </c>
      <c r="M32" s="3172">
        <f t="shared" si="47"/>
        <v>5.8999999999999999E-3</v>
      </c>
      <c r="N32" s="3172">
        <f t="shared" si="48"/>
        <v>6.4000000000000003E-3</v>
      </c>
      <c r="O32" s="3172"/>
      <c r="P32" s="3172">
        <f t="shared" si="49"/>
        <v>5.8999999999999999E-3</v>
      </c>
      <c r="Q32" s="3181"/>
      <c r="R32" s="3183"/>
      <c r="S32" s="3183">
        <f>ROUND(IF(项目基本情况!$B$8="出让",SUMPRODUCT(PRODUCT(1+L32:L$40)),SUMPRODUCT(PRODUCT(1+L32:L$39))),4)</f>
        <v>1.0344</v>
      </c>
      <c r="T32" s="3183">
        <f>ROUND(IF(项目基本情况!$B$8="出让",SUMPRODUCT(PRODUCT(1+M32:M$40)),SUMPRODUCT(PRODUCT(1+M32:M$39))),4)</f>
        <v>1.0224</v>
      </c>
      <c r="U32" s="3183">
        <f>ROUND(IF(项目基本情况!$B$8="出让",SUMPRODUCT(PRODUCT(1+N32:N$40)),SUMPRODUCT(PRODUCT(1+N32:N$39))),4)</f>
        <v>1.0573999999999999</v>
      </c>
      <c r="V32" s="3183"/>
      <c r="W32" s="3183">
        <f t="shared" si="50"/>
        <v>1.0224</v>
      </c>
      <c r="X32" s="3181"/>
      <c r="Y32" s="3184"/>
      <c r="Z32" s="3212"/>
      <c r="AA32" s="3214"/>
      <c r="AB32" s="3184"/>
      <c r="AC32" s="3213"/>
      <c r="AD32" s="3184"/>
    </row>
    <row r="33" spans="1:30" s="3185" customFormat="1" ht="12.75">
      <c r="A33" s="3176" t="s">
        <v>3372</v>
      </c>
      <c r="B33" s="3177">
        <v>2022</v>
      </c>
      <c r="C33" s="3178">
        <v>4</v>
      </c>
      <c r="D33" s="3179"/>
      <c r="E33" s="3179">
        <v>0.45</v>
      </c>
      <c r="F33" s="3179">
        <v>0.2</v>
      </c>
      <c r="G33" s="3179">
        <v>0.38</v>
      </c>
      <c r="H33" s="3196"/>
      <c r="I33" s="3180">
        <f t="shared" si="36"/>
        <v>0.2</v>
      </c>
      <c r="J33" s="3181"/>
      <c r="K33" s="3182"/>
      <c r="L33" s="3172">
        <f t="shared" si="37"/>
        <v>4.5000000000000005E-3</v>
      </c>
      <c r="M33" s="3172">
        <f t="shared" si="37"/>
        <v>2E-3</v>
      </c>
      <c r="N33" s="3172">
        <f t="shared" si="37"/>
        <v>3.8E-3</v>
      </c>
      <c r="O33" s="3172"/>
      <c r="P33" s="3172">
        <f t="shared" ref="P33:P40" si="51">M33</f>
        <v>2E-3</v>
      </c>
      <c r="Q33" s="3181"/>
      <c r="R33" s="3183"/>
      <c r="S33" s="3183">
        <f>ROUND(IF(项目基本情况!$B$8="出让",SUMPRODUCT(PRODUCT(1+L33:L$40)),SUMPRODUCT(PRODUCT(1+L33:L$39))),4)</f>
        <v>1.0286999999999999</v>
      </c>
      <c r="T33" s="3183">
        <f>ROUND(IF(项目基本情况!$B$8="出让",SUMPRODUCT(PRODUCT(1+M33:M$40)),SUMPRODUCT(PRODUCT(1+M33:M$39))),4)</f>
        <v>1.0164</v>
      </c>
      <c r="U33" s="3183">
        <f>ROUND(IF(项目基本情况!$B$8="出让",SUMPRODUCT(PRODUCT(1+N33:N$40)),SUMPRODUCT(PRODUCT(1+N33:N$39))),4)</f>
        <v>1.0506</v>
      </c>
      <c r="V33" s="3183"/>
      <c r="W33" s="3183">
        <f t="shared" ref="W33:W40" si="52">T33</f>
        <v>1.0164</v>
      </c>
      <c r="X33" s="3181"/>
      <c r="Y33" s="3184"/>
      <c r="Z33" s="3212">
        <f t="shared" ref="Z33:AD40" si="53">IF(E33=0,0,ROUND(AVERAGE(E33:E41)/100,4))</f>
        <v>4.0000000000000001E-3</v>
      </c>
      <c r="AA33" s="3214">
        <f t="shared" si="53"/>
        <v>2.5999999999999999E-3</v>
      </c>
      <c r="AB33" s="3184">
        <f t="shared" si="53"/>
        <v>7.4000000000000003E-3</v>
      </c>
      <c r="AC33" s="3213"/>
      <c r="AD33" s="3184">
        <f t="shared" si="53"/>
        <v>2.5999999999999999E-3</v>
      </c>
    </row>
    <row r="34" spans="1:30" s="3185" customFormat="1" ht="12.75">
      <c r="A34" s="3176" t="s">
        <v>3369</v>
      </c>
      <c r="B34" s="3177">
        <v>2022</v>
      </c>
      <c r="C34" s="3178">
        <v>3</v>
      </c>
      <c r="D34" s="3179"/>
      <c r="E34" s="3179">
        <v>0.3</v>
      </c>
      <c r="F34" s="3179">
        <v>0.28999999999999998</v>
      </c>
      <c r="G34" s="3179">
        <v>0.83</v>
      </c>
      <c r="H34" s="3196"/>
      <c r="I34" s="3180">
        <f t="shared" si="36"/>
        <v>0.28999999999999998</v>
      </c>
      <c r="J34" s="3181"/>
      <c r="K34" s="3182"/>
      <c r="L34" s="3172">
        <f t="shared" si="37"/>
        <v>3.0000000000000001E-3</v>
      </c>
      <c r="M34" s="3172">
        <f t="shared" si="37"/>
        <v>2.8999999999999998E-3</v>
      </c>
      <c r="N34" s="3172">
        <f t="shared" si="37"/>
        <v>8.3000000000000001E-3</v>
      </c>
      <c r="O34" s="3172"/>
      <c r="P34" s="3172">
        <f t="shared" si="51"/>
        <v>2.8999999999999998E-3</v>
      </c>
      <c r="Q34" s="3181"/>
      <c r="R34" s="3183"/>
      <c r="S34" s="3183">
        <f>ROUND(IF(项目基本情况!$B$8="出让",SUMPRODUCT(PRODUCT(1+L34:L$40)),SUMPRODUCT(PRODUCT(1+L34:L$39))),4)</f>
        <v>1.0241</v>
      </c>
      <c r="T34" s="3183">
        <f>ROUND(IF(项目基本情况!$B$8="出让",SUMPRODUCT(PRODUCT(1+M34:M$40)),SUMPRODUCT(PRODUCT(1+M34:M$39))),4)</f>
        <v>1.0144</v>
      </c>
      <c r="U34" s="3183">
        <f>ROUND(IF(项目基本情况!$B$8="出让",SUMPRODUCT(PRODUCT(1+N34:N$40)),SUMPRODUCT(PRODUCT(1+N34:N$39))),4)</f>
        <v>1.0467</v>
      </c>
      <c r="V34" s="3183"/>
      <c r="W34" s="3183">
        <f t="shared" si="52"/>
        <v>1.0144</v>
      </c>
      <c r="X34" s="3181"/>
      <c r="Y34" s="3184"/>
      <c r="Z34" s="3212">
        <f t="shared" si="53"/>
        <v>3.8999999999999998E-3</v>
      </c>
      <c r="AA34" s="3214">
        <f t="shared" si="53"/>
        <v>2.7000000000000001E-3</v>
      </c>
      <c r="AB34" s="3184">
        <f t="shared" si="53"/>
        <v>7.9000000000000008E-3</v>
      </c>
      <c r="AC34" s="3213"/>
      <c r="AD34" s="3184">
        <f t="shared" si="53"/>
        <v>2.7000000000000001E-3</v>
      </c>
    </row>
    <row r="35" spans="1:30" s="3185" customFormat="1" ht="12.75">
      <c r="A35" s="3176" t="s">
        <v>3359</v>
      </c>
      <c r="B35" s="3177">
        <v>2022</v>
      </c>
      <c r="C35" s="3178">
        <v>2</v>
      </c>
      <c r="D35" s="3179"/>
      <c r="E35" s="3179">
        <v>-0.11</v>
      </c>
      <c r="F35" s="3179">
        <v>-0.13</v>
      </c>
      <c r="G35" s="3179">
        <v>0.53</v>
      </c>
      <c r="H35" s="3196"/>
      <c r="I35" s="3180">
        <f t="shared" si="36"/>
        <v>-0.13</v>
      </c>
      <c r="J35" s="3181"/>
      <c r="K35" s="3182"/>
      <c r="L35" s="3172">
        <f t="shared" si="37"/>
        <v>-1.1000000000000001E-3</v>
      </c>
      <c r="M35" s="3172">
        <f t="shared" si="37"/>
        <v>-1.2999999999999999E-3</v>
      </c>
      <c r="N35" s="3172">
        <f t="shared" si="37"/>
        <v>5.3E-3</v>
      </c>
      <c r="O35" s="3172"/>
      <c r="P35" s="3172">
        <f t="shared" si="51"/>
        <v>-1.2999999999999999E-3</v>
      </c>
      <c r="Q35" s="3181"/>
      <c r="R35" s="3183"/>
      <c r="S35" s="3183">
        <f>ROUND(IF(项目基本情况!$B$8="出让",SUMPRODUCT(PRODUCT(1+L35:L$40)),SUMPRODUCT(PRODUCT(1+L35:L$39))),4)</f>
        <v>1.0210999999999999</v>
      </c>
      <c r="T35" s="3183">
        <f>ROUND(IF(项目基本情况!$B$8="出让",SUMPRODUCT(PRODUCT(1+M35:M$40)),SUMPRODUCT(PRODUCT(1+M35:M$39))),4)</f>
        <v>1.0114000000000001</v>
      </c>
      <c r="U35" s="3183">
        <f>ROUND(IF(项目基本情况!$B$8="出让",SUMPRODUCT(PRODUCT(1+N35:N$40)),SUMPRODUCT(PRODUCT(1+N35:N$39))),4)</f>
        <v>1.0381</v>
      </c>
      <c r="V35" s="3183"/>
      <c r="W35" s="3183">
        <f t="shared" si="52"/>
        <v>1.0114000000000001</v>
      </c>
      <c r="X35" s="3181"/>
      <c r="Y35" s="3184"/>
      <c r="Z35" s="3212">
        <f t="shared" si="53"/>
        <v>4.1000000000000003E-3</v>
      </c>
      <c r="AA35" s="3214">
        <f t="shared" si="53"/>
        <v>2.7000000000000001E-3</v>
      </c>
      <c r="AB35" s="3184">
        <f t="shared" si="53"/>
        <v>7.9000000000000008E-3</v>
      </c>
      <c r="AC35" s="3213"/>
      <c r="AD35" s="3184">
        <f t="shared" si="53"/>
        <v>2.7000000000000001E-3</v>
      </c>
    </row>
    <row r="36" spans="1:30" s="3185" customFormat="1" ht="12.75">
      <c r="A36" s="3176" t="s">
        <v>2839</v>
      </c>
      <c r="B36" s="3177">
        <v>2022</v>
      </c>
      <c r="C36" s="3178">
        <v>1</v>
      </c>
      <c r="D36" s="3179"/>
      <c r="E36" s="3179">
        <v>0.6</v>
      </c>
      <c r="F36" s="3179">
        <v>0.45</v>
      </c>
      <c r="G36" s="3179">
        <v>0.53</v>
      </c>
      <c r="H36" s="3196"/>
      <c r="I36" s="3180">
        <f t="shared" si="36"/>
        <v>0.45</v>
      </c>
      <c r="J36" s="3181"/>
      <c r="K36" s="3182"/>
      <c r="L36" s="3172">
        <f t="shared" si="37"/>
        <v>6.0000000000000001E-3</v>
      </c>
      <c r="M36" s="3172">
        <f t="shared" si="37"/>
        <v>4.5000000000000005E-3</v>
      </c>
      <c r="N36" s="3172">
        <f t="shared" si="37"/>
        <v>5.3E-3</v>
      </c>
      <c r="O36" s="3172"/>
      <c r="P36" s="3172">
        <f t="shared" si="51"/>
        <v>4.5000000000000005E-3</v>
      </c>
      <c r="Q36" s="3181"/>
      <c r="R36" s="3183"/>
      <c r="S36" s="3183">
        <f>ROUND(IF(项目基本情况!$B$8="出让",SUMPRODUCT(PRODUCT(1+L36:L$40)),SUMPRODUCT(PRODUCT(1+L36:L$39))),4)</f>
        <v>1.0222</v>
      </c>
      <c r="T36" s="3183">
        <f>ROUND(IF(项目基本情况!$B$8="出让",SUMPRODUCT(PRODUCT(1+M36:M$40)),SUMPRODUCT(PRODUCT(1+M36:M$39))),4)</f>
        <v>1.0127999999999999</v>
      </c>
      <c r="U36" s="3183">
        <f>ROUND(IF(项目基本情况!$B$8="出让",SUMPRODUCT(PRODUCT(1+N36:N$40)),SUMPRODUCT(PRODUCT(1+N36:N$39))),4)</f>
        <v>1.0326</v>
      </c>
      <c r="V36" s="3183"/>
      <c r="W36" s="3183">
        <f t="shared" si="52"/>
        <v>1.0127999999999999</v>
      </c>
      <c r="X36" s="3181"/>
      <c r="Y36" s="3184"/>
      <c r="Z36" s="3212">
        <f t="shared" si="53"/>
        <v>5.1000000000000004E-3</v>
      </c>
      <c r="AA36" s="3214">
        <f t="shared" si="53"/>
        <v>3.5000000000000001E-3</v>
      </c>
      <c r="AB36" s="3184">
        <f t="shared" si="53"/>
        <v>8.3999999999999995E-3</v>
      </c>
      <c r="AC36" s="3213"/>
      <c r="AD36" s="3184">
        <f t="shared" si="53"/>
        <v>3.5000000000000001E-3</v>
      </c>
    </row>
    <row r="37" spans="1:30" s="3185" customFormat="1" ht="12.75">
      <c r="A37" s="3176" t="s">
        <v>2840</v>
      </c>
      <c r="B37" s="3177">
        <v>2021</v>
      </c>
      <c r="C37" s="3178">
        <v>4</v>
      </c>
      <c r="D37" s="3179"/>
      <c r="E37" s="3179">
        <v>0.57999999999999996</v>
      </c>
      <c r="F37" s="3179">
        <v>0.08</v>
      </c>
      <c r="G37" s="3179">
        <v>0.68</v>
      </c>
      <c r="H37" s="3196"/>
      <c r="I37" s="3180">
        <f t="shared" si="36"/>
        <v>0.08</v>
      </c>
      <c r="J37" s="3181"/>
      <c r="K37" s="3182"/>
      <c r="L37" s="3172">
        <f t="shared" si="37"/>
        <v>5.7999999999999996E-3</v>
      </c>
      <c r="M37" s="3172">
        <f t="shared" si="37"/>
        <v>8.0000000000000004E-4</v>
      </c>
      <c r="N37" s="3172">
        <f t="shared" si="37"/>
        <v>6.8000000000000005E-3</v>
      </c>
      <c r="O37" s="3172"/>
      <c r="P37" s="3172">
        <f t="shared" si="51"/>
        <v>8.0000000000000004E-4</v>
      </c>
      <c r="Q37" s="3181"/>
      <c r="R37" s="3183"/>
      <c r="S37" s="3183">
        <f>ROUND(IF(项目基本情况!$B$8="出让",SUMPRODUCT(PRODUCT(1+L37:L$40)),SUMPRODUCT(PRODUCT(1+L37:L$39))),4)</f>
        <v>1.0161</v>
      </c>
      <c r="T37" s="3183">
        <f>ROUND(IF(项目基本情况!$B$8="出让",SUMPRODUCT(PRODUCT(1+M37:M$40)),SUMPRODUCT(PRODUCT(1+M37:M$39))),4)</f>
        <v>1.0082</v>
      </c>
      <c r="U37" s="3183">
        <f>ROUND(IF(项目基本情况!$B$8="出让",SUMPRODUCT(PRODUCT(1+N37:N$40)),SUMPRODUCT(PRODUCT(1+N37:N$39))),4)</f>
        <v>1.0270999999999999</v>
      </c>
      <c r="V37" s="3183"/>
      <c r="W37" s="3183">
        <f t="shared" si="52"/>
        <v>1.0082</v>
      </c>
      <c r="X37" s="3181"/>
      <c r="Y37" s="3184"/>
      <c r="Z37" s="3212">
        <f t="shared" si="53"/>
        <v>4.8999999999999998E-3</v>
      </c>
      <c r="AA37" s="3214">
        <f t="shared" si="53"/>
        <v>3.3E-3</v>
      </c>
      <c r="AB37" s="3184">
        <f t="shared" si="53"/>
        <v>9.1999999999999998E-3</v>
      </c>
      <c r="AC37" s="3213"/>
      <c r="AD37" s="3184">
        <f t="shared" si="53"/>
        <v>3.3E-3</v>
      </c>
    </row>
    <row r="38" spans="1:30" s="3185" customFormat="1" ht="12.75">
      <c r="A38" s="3176" t="s">
        <v>2841</v>
      </c>
      <c r="B38" s="3177">
        <v>2021</v>
      </c>
      <c r="C38" s="3178">
        <v>3</v>
      </c>
      <c r="D38" s="3179"/>
      <c r="E38" s="3179">
        <v>0.47</v>
      </c>
      <c r="F38" s="3179">
        <v>0.28000000000000003</v>
      </c>
      <c r="G38" s="3179">
        <v>0.91</v>
      </c>
      <c r="H38" s="3196"/>
      <c r="I38" s="3180">
        <f t="shared" si="36"/>
        <v>0.28000000000000003</v>
      </c>
      <c r="J38" s="3181"/>
      <c r="K38" s="3182"/>
      <c r="L38" s="3172">
        <f t="shared" si="37"/>
        <v>4.6999999999999993E-3</v>
      </c>
      <c r="M38" s="3172">
        <f t="shared" si="37"/>
        <v>2.8000000000000004E-3</v>
      </c>
      <c r="N38" s="3172">
        <f t="shared" si="37"/>
        <v>9.1000000000000004E-3</v>
      </c>
      <c r="O38" s="3172"/>
      <c r="P38" s="3172">
        <f t="shared" si="51"/>
        <v>2.8000000000000004E-3</v>
      </c>
      <c r="Q38" s="3181"/>
      <c r="R38" s="3183"/>
      <c r="S38" s="3183">
        <f>ROUND(IF(项目基本情况!$B$8="出让",SUMPRODUCT(PRODUCT(1+L38:L$40)),SUMPRODUCT(PRODUCT(1+L38:L$39))),4)</f>
        <v>1.0102</v>
      </c>
      <c r="T38" s="3183">
        <f>ROUND(IF(项目基本情况!$B$8="出让",SUMPRODUCT(PRODUCT(1+M38:M$40)),SUMPRODUCT(PRODUCT(1+M38:M$39))),4)</f>
        <v>1.0074000000000001</v>
      </c>
      <c r="U38" s="3183">
        <f>ROUND(IF(项目基本情况!$B$8="出让",SUMPRODUCT(PRODUCT(1+N38:N$40)),SUMPRODUCT(PRODUCT(1+N38:N$39))),4)</f>
        <v>1.0202</v>
      </c>
      <c r="V38" s="3183"/>
      <c r="W38" s="3183">
        <f t="shared" si="52"/>
        <v>1.0074000000000001</v>
      </c>
      <c r="X38" s="3181"/>
      <c r="Y38" s="3184"/>
      <c r="Z38" s="3212">
        <f t="shared" si="53"/>
        <v>4.5999999999999999E-3</v>
      </c>
      <c r="AA38" s="3214">
        <f t="shared" si="53"/>
        <v>4.1000000000000003E-3</v>
      </c>
      <c r="AB38" s="3184">
        <f t="shared" si="53"/>
        <v>0.01</v>
      </c>
      <c r="AC38" s="3213"/>
      <c r="AD38" s="3184">
        <f t="shared" si="53"/>
        <v>4.1000000000000003E-3</v>
      </c>
    </row>
    <row r="39" spans="1:30" s="3185" customFormat="1" ht="12.75">
      <c r="A39" s="3176" t="s">
        <v>2842</v>
      </c>
      <c r="B39" s="3177">
        <v>2021</v>
      </c>
      <c r="C39" s="3178">
        <v>2</v>
      </c>
      <c r="D39" s="3179"/>
      <c r="E39" s="3179">
        <v>0.55000000000000004</v>
      </c>
      <c r="F39" s="3179">
        <v>0.46</v>
      </c>
      <c r="G39" s="3179">
        <v>1.1000000000000001</v>
      </c>
      <c r="H39" s="3196"/>
      <c r="I39" s="3180">
        <f t="shared" si="36"/>
        <v>0.46</v>
      </c>
      <c r="J39" s="3181"/>
      <c r="K39" s="3182"/>
      <c r="L39" s="3172">
        <f t="shared" si="37"/>
        <v>5.5000000000000005E-3</v>
      </c>
      <c r="M39" s="3172">
        <f t="shared" si="37"/>
        <v>4.5999999999999999E-3</v>
      </c>
      <c r="N39" s="3172">
        <f t="shared" si="37"/>
        <v>1.1000000000000001E-2</v>
      </c>
      <c r="O39" s="3172"/>
      <c r="P39" s="3172">
        <f t="shared" si="51"/>
        <v>4.5999999999999999E-3</v>
      </c>
      <c r="Q39" s="3181"/>
      <c r="R39" s="3183"/>
      <c r="S39" s="3183">
        <f>ROUND(IF(项目基本情况!$B$8="出让",SUMPRODUCT(PRODUCT(1+L39:L$40)),SUMPRODUCT(PRODUCT(1+L39:L$39))),4)</f>
        <v>1.0055000000000001</v>
      </c>
      <c r="T39" s="3183">
        <f>ROUND(IF(项目基本情况!$B$8="出让",SUMPRODUCT(PRODUCT(1+M39:M$40)),SUMPRODUCT(PRODUCT(1+M39:M$39))),4)</f>
        <v>1.0045999999999999</v>
      </c>
      <c r="U39" s="3183">
        <f>ROUND(IF(项目基本情况!$B$8="出让",SUMPRODUCT(PRODUCT(1+N39:N$40)),SUMPRODUCT(PRODUCT(1+N39:N$39))),4)</f>
        <v>1.0109999999999999</v>
      </c>
      <c r="V39" s="3183"/>
      <c r="W39" s="3183">
        <f t="shared" si="52"/>
        <v>1.0045999999999999</v>
      </c>
      <c r="X39" s="3181"/>
      <c r="Y39" s="3184"/>
      <c r="Z39" s="3212">
        <f t="shared" si="53"/>
        <v>4.4999999999999997E-3</v>
      </c>
      <c r="AA39" s="3214">
        <f t="shared" si="53"/>
        <v>4.7000000000000002E-3</v>
      </c>
      <c r="AB39" s="3184">
        <f t="shared" si="53"/>
        <v>1.04E-2</v>
      </c>
      <c r="AC39" s="3213"/>
      <c r="AD39" s="3184">
        <f t="shared" si="53"/>
        <v>4.7000000000000002E-3</v>
      </c>
    </row>
    <row r="40" spans="1:30" s="3207" customFormat="1" thickBot="1">
      <c r="A40" s="3197" t="s">
        <v>2828</v>
      </c>
      <c r="B40" s="3198">
        <v>2021</v>
      </c>
      <c r="C40" s="3199">
        <v>1</v>
      </c>
      <c r="D40" s="3200"/>
      <c r="E40" s="3200">
        <v>0.35</v>
      </c>
      <c r="F40" s="3200">
        <v>0.48</v>
      </c>
      <c r="G40" s="3200">
        <v>0.98</v>
      </c>
      <c r="H40" s="3201"/>
      <c r="I40" s="3202">
        <f t="shared" si="36"/>
        <v>0.48</v>
      </c>
      <c r="J40" s="3203"/>
      <c r="K40" s="3204"/>
      <c r="L40" s="3205">
        <f t="shared" si="37"/>
        <v>3.4999999999999996E-3</v>
      </c>
      <c r="M40" s="3205">
        <f>F40/100</f>
        <v>4.7999999999999996E-3</v>
      </c>
      <c r="N40" s="3205">
        <f t="shared" si="37"/>
        <v>9.7999999999999997E-3</v>
      </c>
      <c r="O40" s="3205"/>
      <c r="P40" s="3205">
        <f t="shared" si="51"/>
        <v>4.7999999999999996E-3</v>
      </c>
      <c r="Q40" s="3203"/>
      <c r="R40" s="3206"/>
      <c r="S40" s="3206">
        <v>1</v>
      </c>
      <c r="T40" s="3206">
        <v>1</v>
      </c>
      <c r="U40" s="3206">
        <v>1</v>
      </c>
      <c r="V40" s="3206"/>
      <c r="W40" s="3206">
        <f t="shared" si="52"/>
        <v>1</v>
      </c>
      <c r="X40" s="3203"/>
      <c r="Y40" s="3205"/>
      <c r="Z40" s="3218">
        <f t="shared" si="53"/>
        <v>3.5000000000000001E-3</v>
      </c>
      <c r="AA40" s="3219">
        <f t="shared" si="53"/>
        <v>4.7999999999999996E-3</v>
      </c>
      <c r="AB40" s="3205">
        <f t="shared" si="53"/>
        <v>9.7999999999999997E-3</v>
      </c>
      <c r="AC40" s="3220"/>
      <c r="AD40" s="3205">
        <f t="shared" si="53"/>
        <v>4.7999999999999996E-3</v>
      </c>
    </row>
    <row r="41" spans="1:30" ht="14.25" thickTop="1"/>
    <row r="42" spans="1:30">
      <c r="A42" s="3448" t="s">
        <v>3371</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9" t="s">
        <v>452</v>
      </c>
      <c r="C1" s="3799"/>
      <c r="D1" s="3799"/>
      <c r="E1" s="3799"/>
      <c r="F1" s="3799"/>
      <c r="G1" s="3795" t="s">
        <v>453</v>
      </c>
      <c r="H1" s="3795"/>
      <c r="I1" s="3795"/>
      <c r="J1" s="3795"/>
      <c r="K1" s="3795"/>
      <c r="L1" s="3795"/>
      <c r="N1" s="3795" t="s">
        <v>454</v>
      </c>
      <c r="O1" s="3795"/>
      <c r="P1" s="3795"/>
      <c r="Q1" s="3795"/>
      <c r="S1" s="3795" t="s">
        <v>455</v>
      </c>
      <c r="T1" s="3795"/>
      <c r="U1" s="3795"/>
      <c r="V1" s="3795"/>
      <c r="X1" s="3794" t="s">
        <v>456</v>
      </c>
      <c r="Y1" s="3795"/>
      <c r="Z1" s="3795"/>
      <c r="AA1" s="3795"/>
      <c r="AB1" s="3795"/>
      <c r="AD1" s="3794" t="s">
        <v>457</v>
      </c>
      <c r="AE1" s="3795"/>
      <c r="AF1" s="3795"/>
      <c r="AG1" s="3795"/>
      <c r="AH1" s="3795"/>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2440</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2317</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2316</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2315</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7">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7"/>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7"/>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4"/>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00">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7"/>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7"/>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4"/>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00">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7"/>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7"/>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8"/>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6">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7"/>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7"/>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8"/>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6">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7"/>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7"/>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8"/>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01">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02"/>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02"/>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03"/>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6">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7"/>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7"/>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8"/>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6">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7">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7">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8">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6">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7">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7">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8">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6">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7">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7">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8">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6">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7">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7">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8">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6">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7">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7">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8">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6">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7">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7">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8">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6">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7">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7">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8">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6">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7">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7">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8">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6">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7">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7">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8">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6">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7">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7">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8">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45321</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45159</v>
      </c>
      <c r="D13" s="2822">
        <v>3.45</v>
      </c>
      <c r="E13" s="2822">
        <f>D13</f>
        <v>3.45</v>
      </c>
      <c r="F13" s="2822">
        <f>D13</f>
        <v>3.45</v>
      </c>
      <c r="G13" s="2822">
        <f>D13</f>
        <v>3.45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45097</v>
      </c>
      <c r="D14" s="2817">
        <v>3.55</v>
      </c>
      <c r="E14" s="2817">
        <f>D14</f>
        <v>3.55</v>
      </c>
      <c r="F14" s="2817">
        <f>D14</f>
        <v>3.55</v>
      </c>
      <c r="G14" s="2817">
        <f>D14</f>
        <v>3.55</v>
      </c>
      <c r="H14" s="2817">
        <v>4.2</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44795</v>
      </c>
      <c r="D15" s="2817">
        <v>3.65</v>
      </c>
      <c r="E15" s="2817">
        <v>3.65</v>
      </c>
      <c r="F15" s="2817">
        <v>3.65</v>
      </c>
      <c r="G15" s="2817">
        <v>3.65</v>
      </c>
      <c r="H15" s="2817">
        <v>4.3</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44701</v>
      </c>
      <c r="D16" s="2817">
        <v>3.7</v>
      </c>
      <c r="E16" s="2817">
        <f>D16</f>
        <v>3.7</v>
      </c>
      <c r="F16" s="2817">
        <f>D16</f>
        <v>3.7</v>
      </c>
      <c r="G16" s="2817">
        <f>D16</f>
        <v>3.7</v>
      </c>
      <c r="H16" s="2817">
        <v>4.45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44581</v>
      </c>
      <c r="D17" s="2817">
        <v>3.7</v>
      </c>
      <c r="E17" s="2817">
        <f>D17</f>
        <v>3.7</v>
      </c>
      <c r="F17" s="2817">
        <f>D17</f>
        <v>3.7</v>
      </c>
      <c r="G17" s="2817">
        <f>D17</f>
        <v>3.7</v>
      </c>
      <c r="H17" s="2817">
        <v>4.5999999999999996</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44550</v>
      </c>
      <c r="D18" s="2817">
        <v>3.8</v>
      </c>
      <c r="E18" s="2817">
        <f>D18</f>
        <v>3.8</v>
      </c>
      <c r="F18" s="2817">
        <f>D18</f>
        <v>3.8</v>
      </c>
      <c r="G18" s="2817">
        <f>D18</f>
        <v>3.8</v>
      </c>
      <c r="H18" s="2817">
        <v>4.6500000000000004</v>
      </c>
      <c r="I18" s="2817"/>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43941</v>
      </c>
      <c r="D19" s="2817">
        <v>3.85</v>
      </c>
      <c r="E19" s="2817">
        <v>3.85</v>
      </c>
      <c r="F19" s="2817">
        <v>3.85</v>
      </c>
      <c r="G19" s="2817">
        <v>3.85</v>
      </c>
      <c r="H19" s="2817">
        <v>4.6500000000000004</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43881</v>
      </c>
      <c r="D20" s="2817">
        <v>4.05</v>
      </c>
      <c r="E20" s="2817">
        <v>4.05</v>
      </c>
      <c r="F20" s="2817">
        <v>4.05</v>
      </c>
      <c r="G20" s="2817">
        <v>4.05</v>
      </c>
      <c r="H20" s="2817">
        <v>4.75</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43789</v>
      </c>
      <c r="D21" s="2817">
        <v>4.1500000000000004</v>
      </c>
      <c r="E21" s="2817">
        <v>4.1500000000000004</v>
      </c>
      <c r="F21" s="2817">
        <v>4.1500000000000004</v>
      </c>
      <c r="G21" s="2817">
        <v>4.1500000000000004</v>
      </c>
      <c r="H21" s="2817">
        <v>4.8</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43728</v>
      </c>
      <c r="D22" s="2817">
        <v>4.2</v>
      </c>
      <c r="E22" s="2817">
        <v>4.2</v>
      </c>
      <c r="F22" s="2817">
        <v>4.2</v>
      </c>
      <c r="G22" s="2817">
        <v>4.2</v>
      </c>
      <c r="H22" s="2817">
        <v>4.8499999999999996</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6" t="s">
        <v>2313</v>
      </c>
      <c r="C23" s="2819">
        <v>43697</v>
      </c>
      <c r="D23" s="2820">
        <v>4.25</v>
      </c>
      <c r="E23" s="2820">
        <v>4.25</v>
      </c>
      <c r="F23" s="2820">
        <v>4.25</v>
      </c>
      <c r="G23" s="2820">
        <v>4.25</v>
      </c>
      <c r="H23" s="2820">
        <v>4.8499999999999996</v>
      </c>
      <c r="I23" s="2820"/>
      <c r="J23" s="2820"/>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4"/>
      <c r="C24" s="2825">
        <v>42301</v>
      </c>
      <c r="D24" s="2826">
        <v>4.3499999999999996</v>
      </c>
      <c r="E24" s="2826">
        <v>4.3499999999999996</v>
      </c>
      <c r="F24" s="2826">
        <v>4.75</v>
      </c>
      <c r="G24" s="2826">
        <v>4.75</v>
      </c>
      <c r="H24" s="2826">
        <v>4.9000000000000004</v>
      </c>
      <c r="I24" s="2826"/>
      <c r="J24" s="282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133936</v>
      </c>
      <c r="C2" s="1872" t="s">
        <v>1651</v>
      </c>
      <c r="D2" s="1873" t="s">
        <v>1652</v>
      </c>
      <c r="E2" s="2607">
        <f>SUM(E6:E13)</f>
        <v>68805.62</v>
      </c>
      <c r="F2" s="2707"/>
      <c r="G2" s="1489"/>
      <c r="H2" s="1489"/>
      <c r="I2" s="1489"/>
      <c r="J2" s="1489"/>
      <c r="K2" s="1489"/>
      <c r="L2" s="1489"/>
      <c r="M2" s="1489"/>
      <c r="N2" s="1489"/>
      <c r="O2" s="1489"/>
      <c r="P2" s="1489"/>
      <c r="Q2" s="1489"/>
      <c r="R2" s="1489"/>
      <c r="S2" s="1489"/>
    </row>
    <row r="3" spans="1:22" ht="15.75">
      <c r="A3" s="1870" t="s">
        <v>686</v>
      </c>
      <c r="B3" s="2601">
        <f ca="1">ROUND(B2*10000/E2,0)</f>
        <v>19466</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805" t="s">
        <v>1654</v>
      </c>
      <c r="C5" s="3806"/>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77827</v>
      </c>
      <c r="C6" s="1872" t="s">
        <v>1651</v>
      </c>
      <c r="D6" s="2709"/>
      <c r="E6" s="2606">
        <f>IF(OR(A6=0,F6="否"),0,'数据-取费表'!K6+'数据-取费表'!S6)</f>
        <v>31630.55</v>
      </c>
      <c r="F6" s="1876" t="s">
        <v>1657</v>
      </c>
      <c r="G6" s="1489"/>
      <c r="H6" s="1489"/>
      <c r="I6" s="1489"/>
      <c r="J6" s="1489"/>
      <c r="K6" s="1489"/>
      <c r="L6" s="1489"/>
      <c r="M6" s="1489"/>
      <c r="N6" s="1489"/>
      <c r="O6" s="1489"/>
      <c r="P6" s="1489"/>
      <c r="Q6" s="1489"/>
      <c r="R6" s="1489"/>
      <c r="S6" s="1489"/>
    </row>
    <row r="7" spans="1:22">
      <c r="A7" s="2604" t="str">
        <f>'数据-取费表'!AN7</f>
        <v>收益法2</v>
      </c>
      <c r="B7" s="2602">
        <f ca="1">IF(F7="是",'数据-取费表'!AO7,0)</f>
        <v>48220</v>
      </c>
      <c r="C7" s="1872" t="s">
        <v>1651</v>
      </c>
      <c r="D7" s="2709"/>
      <c r="E7" s="2606">
        <f>IF(OR(A7=0,F7="否"),0,'数据-取费表'!K7+'数据-取费表'!S7)</f>
        <v>15587.069999999998</v>
      </c>
      <c r="F7" s="1876" t="s">
        <v>1657</v>
      </c>
      <c r="G7" s="1489"/>
      <c r="H7" s="1489"/>
      <c r="I7" s="1489"/>
      <c r="J7" s="1489"/>
      <c r="K7" s="1489"/>
      <c r="L7" s="1489"/>
      <c r="M7" s="1489"/>
      <c r="N7" s="1489"/>
      <c r="O7" s="1489"/>
      <c r="P7" s="1489"/>
      <c r="Q7" s="1489"/>
      <c r="R7" s="1489"/>
      <c r="S7" s="1489"/>
    </row>
    <row r="8" spans="1:22">
      <c r="A8" s="2604" t="str">
        <f>'数据-取费表'!AN8</f>
        <v>收益法(车库)</v>
      </c>
      <c r="B8" s="2602">
        <f ca="1">IF(F8="是",'数据-取费表'!AO8,0)</f>
        <v>7889</v>
      </c>
      <c r="C8" s="1872" t="s">
        <v>1651</v>
      </c>
      <c r="D8" s="2709"/>
      <c r="E8" s="2606">
        <f>IF(OR(A8=0,F8="否"),0,'数据-取费表'!K8+'数据-取费表'!S8)</f>
        <v>21588</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D7"/>
  <sheetViews>
    <sheetView workbookViewId="0">
      <selection activeCell="M56" sqref="M56"/>
    </sheetView>
  </sheetViews>
  <sheetFormatPr defaultRowHeight="13.5"/>
  <cols>
    <col min="1" max="1" width="4.75" customWidth="1"/>
    <col min="2" max="2" width="10.75" customWidth="1"/>
    <col min="4" max="4" width="7.125" customWidth="1"/>
    <col min="5" max="5" width="7.875" customWidth="1"/>
    <col min="6" max="6" width="6.25" customWidth="1"/>
    <col min="8" max="8" width="8.125" customWidth="1"/>
    <col min="9" max="9" width="8.375" customWidth="1"/>
    <col min="10" max="10" width="8.625" customWidth="1"/>
    <col min="11" max="11" width="9.125" bestFit="1" customWidth="1"/>
    <col min="12" max="12" width="10.875" customWidth="1"/>
    <col min="13" max="14" width="9.125" bestFit="1" customWidth="1"/>
    <col min="15" max="15" width="7.5" customWidth="1"/>
    <col min="17" max="17" width="28.125" customWidth="1"/>
  </cols>
  <sheetData>
    <row r="1" spans="1:16384" s="3466" customFormat="1" ht="36">
      <c r="A1" s="3465" t="s">
        <v>3475</v>
      </c>
      <c r="B1" s="3465" t="s">
        <v>3476</v>
      </c>
      <c r="C1" s="3465" t="s">
        <v>3477</v>
      </c>
      <c r="D1" s="3465" t="s">
        <v>3478</v>
      </c>
      <c r="E1" s="3465" t="s">
        <v>3479</v>
      </c>
      <c r="F1" s="3465" t="s">
        <v>3480</v>
      </c>
      <c r="G1" s="3465" t="s">
        <v>672</v>
      </c>
      <c r="H1" s="3465" t="s">
        <v>3481</v>
      </c>
      <c r="I1" s="3465" t="s">
        <v>3482</v>
      </c>
      <c r="J1" s="3465" t="s">
        <v>3483</v>
      </c>
      <c r="K1" s="3465" t="s">
        <v>3484</v>
      </c>
      <c r="L1" s="3465" t="s">
        <v>3485</v>
      </c>
      <c r="M1" s="3465" t="s">
        <v>3486</v>
      </c>
      <c r="N1" s="3465" t="s">
        <v>3487</v>
      </c>
      <c r="O1" s="3465" t="s">
        <v>3488</v>
      </c>
      <c r="P1" s="3465" t="s">
        <v>3489</v>
      </c>
      <c r="Q1" s="3465" t="s">
        <v>3490</v>
      </c>
      <c r="R1" s="3465" t="s">
        <v>3491</v>
      </c>
      <c r="S1" s="3465" t="s">
        <v>3492</v>
      </c>
    </row>
    <row r="2" spans="1:16384" s="3466" customFormat="1" ht="66.75" customHeight="1">
      <c r="A2" s="3467">
        <v>1</v>
      </c>
      <c r="B2" s="3467" t="s">
        <v>3493</v>
      </c>
      <c r="C2" s="3467" t="s">
        <v>3494</v>
      </c>
      <c r="D2" s="3467" t="s">
        <v>3495</v>
      </c>
      <c r="E2" s="3467" t="s">
        <v>3496</v>
      </c>
      <c r="F2" s="3467" t="s">
        <v>3497</v>
      </c>
      <c r="G2" s="3467" t="s">
        <v>3498</v>
      </c>
      <c r="H2" s="3467" t="s">
        <v>3499</v>
      </c>
      <c r="I2" s="3467">
        <v>38000</v>
      </c>
      <c r="J2" s="3467">
        <v>26467.47</v>
      </c>
      <c r="K2" s="3467">
        <v>11532.53</v>
      </c>
      <c r="L2" s="3467">
        <v>157500</v>
      </c>
      <c r="M2" s="3467">
        <v>41447</v>
      </c>
      <c r="N2" s="3467">
        <v>59507</v>
      </c>
      <c r="O2" s="3467" t="s">
        <v>43</v>
      </c>
      <c r="P2" s="3467" t="s">
        <v>3500</v>
      </c>
      <c r="Q2" s="3467" t="s">
        <v>3501</v>
      </c>
      <c r="R2" s="3467" t="s">
        <v>3502</v>
      </c>
      <c r="S2" s="3467"/>
    </row>
    <row r="3" spans="1:16384" s="3466" customFormat="1" ht="101.25" customHeight="1">
      <c r="A3" s="3467">
        <v>2</v>
      </c>
      <c r="B3" s="3467" t="s">
        <v>3519</v>
      </c>
      <c r="C3" s="3467" t="s">
        <v>3503</v>
      </c>
      <c r="D3" s="3467" t="s">
        <v>3504</v>
      </c>
      <c r="E3" s="3467" t="s">
        <v>3505</v>
      </c>
      <c r="F3" s="3467" t="s">
        <v>3506</v>
      </c>
      <c r="G3" s="3467" t="s">
        <v>3498</v>
      </c>
      <c r="H3" s="3467" t="s">
        <v>3499</v>
      </c>
      <c r="I3" s="3467">
        <v>138490</v>
      </c>
      <c r="J3" s="3467">
        <v>104336.17</v>
      </c>
      <c r="K3" s="3467">
        <v>34153.83</v>
      </c>
      <c r="L3" s="3467">
        <v>618571.42859999998</v>
      </c>
      <c r="M3" s="3467">
        <v>44665</v>
      </c>
      <c r="N3" s="3467">
        <v>59286</v>
      </c>
      <c r="O3" s="3467" t="s">
        <v>3507</v>
      </c>
      <c r="P3" s="3467" t="s">
        <v>3508</v>
      </c>
      <c r="Q3" s="3467" t="s">
        <v>3509</v>
      </c>
      <c r="R3" s="3467" t="s">
        <v>3510</v>
      </c>
      <c r="S3" s="3467"/>
    </row>
    <row r="4" spans="1:16384" s="3466" customFormat="1" ht="36">
      <c r="A4" s="3467">
        <v>3</v>
      </c>
      <c r="B4" s="3467" t="s">
        <v>3511</v>
      </c>
      <c r="C4" s="3467" t="s">
        <v>3512</v>
      </c>
      <c r="D4" s="3467" t="s">
        <v>3513</v>
      </c>
      <c r="E4" s="3467" t="s">
        <v>3514</v>
      </c>
      <c r="F4" s="3467" t="s">
        <v>3499</v>
      </c>
      <c r="G4" s="3467" t="s">
        <v>3498</v>
      </c>
      <c r="H4" s="3467">
        <v>6018</v>
      </c>
      <c r="I4" s="3467">
        <v>67666.289999999994</v>
      </c>
      <c r="J4" s="3467">
        <v>40000</v>
      </c>
      <c r="K4" s="3467">
        <v>28000</v>
      </c>
      <c r="L4" s="3467">
        <v>269311.83</v>
      </c>
      <c r="M4" s="3467">
        <v>39800</v>
      </c>
      <c r="N4" s="3467">
        <v>67300</v>
      </c>
      <c r="O4" s="3467" t="s">
        <v>3499</v>
      </c>
      <c r="P4" s="3467" t="s">
        <v>3515</v>
      </c>
      <c r="Q4" s="3467" t="s">
        <v>3516</v>
      </c>
      <c r="R4" s="3467" t="s">
        <v>3517</v>
      </c>
      <c r="S4" s="3467"/>
      <c r="T4" s="3468"/>
      <c r="U4" s="3469"/>
      <c r="V4" s="3469"/>
      <c r="W4" s="3469"/>
      <c r="X4" s="3469"/>
      <c r="Y4" s="3469"/>
      <c r="Z4" s="3469"/>
      <c r="AA4" s="3469"/>
      <c r="AB4" s="3469"/>
      <c r="AC4" s="3469"/>
      <c r="AD4" s="3469"/>
      <c r="AE4" s="3469"/>
      <c r="AF4" s="3469"/>
      <c r="AG4" s="3469"/>
      <c r="AH4" s="3469"/>
      <c r="AI4" s="3469"/>
      <c r="AJ4" s="3469"/>
      <c r="AK4" s="3469"/>
      <c r="AL4" s="3469"/>
      <c r="AM4" s="3469"/>
      <c r="AN4" s="3469"/>
      <c r="AO4" s="3469"/>
      <c r="AP4" s="3469"/>
      <c r="AQ4" s="3469"/>
      <c r="AR4" s="3469"/>
      <c r="AS4" s="3469"/>
      <c r="AT4" s="3469"/>
      <c r="AU4" s="3469"/>
      <c r="AV4" s="3469"/>
      <c r="AW4" s="3469"/>
      <c r="AX4" s="3469"/>
      <c r="AY4" s="3469"/>
      <c r="AZ4" s="3469"/>
      <c r="BA4" s="3469"/>
      <c r="BB4" s="3469"/>
      <c r="BC4" s="3469"/>
      <c r="BD4" s="3469"/>
      <c r="BE4" s="3469"/>
      <c r="BF4" s="3469"/>
      <c r="BG4" s="3469"/>
      <c r="BH4" s="3469"/>
      <c r="BI4" s="3469"/>
      <c r="BJ4" s="3469"/>
      <c r="BK4" s="3469"/>
      <c r="BL4" s="3469"/>
      <c r="BM4" s="3469"/>
      <c r="BN4" s="3469"/>
      <c r="BO4" s="3469"/>
      <c r="BP4" s="3469"/>
      <c r="BQ4" s="3469"/>
      <c r="BR4" s="3469"/>
      <c r="BS4" s="3469"/>
      <c r="BT4" s="3469"/>
      <c r="BU4" s="3469"/>
      <c r="BV4" s="3469"/>
      <c r="BW4" s="3469"/>
      <c r="BX4" s="3469"/>
      <c r="BY4" s="3469"/>
      <c r="BZ4" s="3469"/>
      <c r="CA4" s="3469"/>
      <c r="CB4" s="3469"/>
      <c r="CC4" s="3469"/>
      <c r="CD4" s="3469"/>
      <c r="CE4" s="3469"/>
      <c r="CF4" s="3469"/>
      <c r="CG4" s="3469"/>
      <c r="CH4" s="3469"/>
      <c r="CI4" s="3469"/>
      <c r="CJ4" s="3469"/>
      <c r="CK4" s="3469"/>
      <c r="CL4" s="3469"/>
      <c r="CM4" s="3469"/>
      <c r="CN4" s="3469"/>
      <c r="CO4" s="3469"/>
      <c r="CP4" s="3469"/>
      <c r="CQ4" s="3469"/>
      <c r="CR4" s="3469"/>
      <c r="CS4" s="3469"/>
      <c r="CT4" s="3469"/>
      <c r="CU4" s="3469"/>
      <c r="CV4" s="3469"/>
      <c r="CW4" s="3469"/>
      <c r="CX4" s="3469"/>
      <c r="CY4" s="3469"/>
      <c r="CZ4" s="3469"/>
      <c r="DA4" s="3469"/>
      <c r="DB4" s="3469"/>
      <c r="DC4" s="3469"/>
      <c r="DD4" s="3469"/>
      <c r="DE4" s="3469"/>
      <c r="DF4" s="3469"/>
      <c r="DG4" s="3469"/>
      <c r="DH4" s="3469"/>
      <c r="DI4" s="3469"/>
      <c r="DJ4" s="3469"/>
      <c r="DK4" s="3469"/>
      <c r="DL4" s="3469"/>
      <c r="DM4" s="3469"/>
      <c r="DN4" s="3469"/>
      <c r="DO4" s="3469"/>
      <c r="DP4" s="3469"/>
      <c r="DQ4" s="3469"/>
      <c r="DR4" s="3469"/>
      <c r="DS4" s="3469"/>
      <c r="DT4" s="3469"/>
      <c r="DU4" s="3469"/>
      <c r="DV4" s="3469"/>
      <c r="DW4" s="3469"/>
      <c r="DX4" s="3469"/>
      <c r="DY4" s="3469"/>
      <c r="DZ4" s="3469"/>
      <c r="EA4" s="3469"/>
      <c r="EB4" s="3469"/>
      <c r="EC4" s="3469"/>
      <c r="ED4" s="3469"/>
      <c r="EE4" s="3469"/>
      <c r="EF4" s="3469"/>
      <c r="EG4" s="3469"/>
      <c r="EH4" s="3469"/>
      <c r="EI4" s="3469"/>
      <c r="EJ4" s="3469"/>
      <c r="EK4" s="3469"/>
      <c r="EL4" s="3469"/>
      <c r="EM4" s="3469"/>
      <c r="EN4" s="3469"/>
      <c r="EO4" s="3469"/>
      <c r="EP4" s="3469"/>
      <c r="EQ4" s="3469"/>
      <c r="ER4" s="3469"/>
      <c r="ES4" s="3469"/>
      <c r="ET4" s="3469"/>
      <c r="EU4" s="3469"/>
      <c r="EV4" s="3469"/>
      <c r="EW4" s="3469"/>
      <c r="EX4" s="3469"/>
      <c r="EY4" s="3469"/>
      <c r="EZ4" s="3469"/>
      <c r="FA4" s="3469"/>
      <c r="FB4" s="3469"/>
      <c r="FC4" s="3469"/>
      <c r="FD4" s="3469"/>
      <c r="FE4" s="3469"/>
      <c r="FF4" s="3469"/>
      <c r="FG4" s="3469"/>
      <c r="FH4" s="3469"/>
      <c r="FI4" s="3469"/>
      <c r="FJ4" s="3469"/>
      <c r="FK4" s="3469"/>
      <c r="FL4" s="3469"/>
      <c r="FM4" s="3469"/>
      <c r="FN4" s="3469"/>
      <c r="FO4" s="3469"/>
      <c r="FP4" s="3469"/>
      <c r="FQ4" s="3469"/>
      <c r="FR4" s="3469"/>
      <c r="FS4" s="3469"/>
      <c r="FT4" s="3469"/>
      <c r="FU4" s="3469"/>
      <c r="FV4" s="3469"/>
      <c r="FW4" s="3469"/>
      <c r="FX4" s="3469"/>
      <c r="FY4" s="3469"/>
      <c r="FZ4" s="3469"/>
      <c r="GA4" s="3469"/>
      <c r="GB4" s="3469"/>
      <c r="GC4" s="3469"/>
      <c r="GD4" s="3469"/>
      <c r="GE4" s="3469"/>
      <c r="GF4" s="3469"/>
      <c r="GG4" s="3469"/>
      <c r="GH4" s="3469"/>
      <c r="GI4" s="3469"/>
      <c r="GJ4" s="3469"/>
      <c r="GK4" s="3469"/>
      <c r="GL4" s="3469"/>
      <c r="GM4" s="3469"/>
      <c r="GN4" s="3469"/>
      <c r="GO4" s="3469"/>
      <c r="GP4" s="3469"/>
      <c r="GQ4" s="3469"/>
      <c r="GR4" s="3469"/>
      <c r="GS4" s="3469"/>
      <c r="GT4" s="3469"/>
      <c r="GU4" s="3469"/>
      <c r="GV4" s="3469"/>
      <c r="GW4" s="3469"/>
      <c r="GX4" s="3469"/>
      <c r="GY4" s="3469"/>
      <c r="GZ4" s="3469"/>
      <c r="HA4" s="3469"/>
      <c r="HB4" s="3469"/>
      <c r="HC4" s="3469"/>
      <c r="HD4" s="3469"/>
      <c r="HE4" s="3469"/>
      <c r="HF4" s="3469"/>
      <c r="HG4" s="3469"/>
      <c r="HH4" s="3469"/>
      <c r="HI4" s="3469"/>
      <c r="HJ4" s="3469"/>
      <c r="HK4" s="3469"/>
      <c r="HL4" s="3469"/>
      <c r="HM4" s="3469"/>
      <c r="HN4" s="3469"/>
      <c r="HO4" s="3469"/>
      <c r="HP4" s="3469"/>
      <c r="HQ4" s="3469"/>
      <c r="HR4" s="3469"/>
      <c r="HS4" s="3469"/>
      <c r="HT4" s="3469"/>
      <c r="HU4" s="3469"/>
      <c r="HV4" s="3469"/>
      <c r="HW4" s="3469"/>
      <c r="HX4" s="3469"/>
      <c r="HY4" s="3469"/>
      <c r="HZ4" s="3469"/>
      <c r="IA4" s="3469"/>
      <c r="IB4" s="3469"/>
      <c r="IC4" s="3469"/>
      <c r="ID4" s="3469"/>
      <c r="IE4" s="3469"/>
      <c r="IF4" s="3469"/>
      <c r="IG4" s="3469"/>
      <c r="IH4" s="3469"/>
      <c r="II4" s="3469"/>
      <c r="IJ4" s="3469"/>
      <c r="IK4" s="3469"/>
      <c r="IL4" s="3469"/>
      <c r="IM4" s="3469"/>
      <c r="IN4" s="3469"/>
      <c r="IO4" s="3469"/>
      <c r="IP4" s="3469"/>
      <c r="IQ4" s="3469"/>
      <c r="IR4" s="3469"/>
      <c r="IS4" s="3469"/>
      <c r="IT4" s="3469"/>
      <c r="IU4" s="3469"/>
      <c r="IV4" s="3469"/>
      <c r="IW4" s="3469"/>
      <c r="IX4" s="3469"/>
      <c r="IY4" s="3469"/>
      <c r="IZ4" s="3469"/>
      <c r="JA4" s="3469"/>
      <c r="JB4" s="3469"/>
      <c r="JC4" s="3469"/>
      <c r="JD4" s="3469"/>
      <c r="JE4" s="3469"/>
      <c r="JF4" s="3469"/>
      <c r="JG4" s="3469"/>
      <c r="JH4" s="3469"/>
      <c r="JI4" s="3469"/>
      <c r="JJ4" s="3469"/>
      <c r="JK4" s="3469"/>
      <c r="JL4" s="3469"/>
      <c r="JM4" s="3469"/>
      <c r="JN4" s="3469"/>
      <c r="JO4" s="3469"/>
      <c r="JP4" s="3469"/>
      <c r="JQ4" s="3469"/>
      <c r="JR4" s="3469"/>
      <c r="JS4" s="3469"/>
      <c r="JT4" s="3469"/>
      <c r="JU4" s="3469"/>
      <c r="JV4" s="3469"/>
      <c r="JW4" s="3469"/>
      <c r="JX4" s="3469"/>
      <c r="JY4" s="3469"/>
      <c r="JZ4" s="3469"/>
      <c r="KA4" s="3469"/>
      <c r="KB4" s="3469"/>
      <c r="KC4" s="3469"/>
      <c r="KD4" s="3469"/>
      <c r="KE4" s="3469"/>
      <c r="KF4" s="3469"/>
      <c r="KG4" s="3469"/>
      <c r="KH4" s="3469"/>
      <c r="KI4" s="3469"/>
      <c r="KJ4" s="3469"/>
      <c r="KK4" s="3469"/>
      <c r="KL4" s="3469"/>
      <c r="KM4" s="3469"/>
      <c r="KN4" s="3469"/>
      <c r="KO4" s="3469"/>
      <c r="KP4" s="3469"/>
      <c r="KQ4" s="3469"/>
      <c r="KR4" s="3469"/>
      <c r="KS4" s="3469"/>
      <c r="KT4" s="3469"/>
      <c r="KU4" s="3469"/>
      <c r="KV4" s="3469"/>
      <c r="KW4" s="3469"/>
      <c r="KX4" s="3469"/>
      <c r="KY4" s="3469"/>
      <c r="KZ4" s="3469"/>
      <c r="LA4" s="3469"/>
      <c r="LB4" s="3469"/>
      <c r="LC4" s="3469"/>
      <c r="LD4" s="3469"/>
      <c r="LE4" s="3469"/>
      <c r="LF4" s="3469"/>
      <c r="LG4" s="3469"/>
      <c r="LH4" s="3469"/>
      <c r="LI4" s="3469"/>
      <c r="LJ4" s="3469"/>
      <c r="LK4" s="3469"/>
      <c r="LL4" s="3469"/>
      <c r="LM4" s="3469"/>
      <c r="LN4" s="3469"/>
      <c r="LO4" s="3469"/>
      <c r="LP4" s="3469"/>
      <c r="LQ4" s="3469"/>
      <c r="LR4" s="3469"/>
      <c r="LS4" s="3469"/>
      <c r="LT4" s="3469"/>
      <c r="LU4" s="3469"/>
      <c r="LV4" s="3469"/>
      <c r="LW4" s="3469"/>
      <c r="LX4" s="3469"/>
      <c r="LY4" s="3469"/>
      <c r="LZ4" s="3469"/>
      <c r="MA4" s="3469"/>
      <c r="MB4" s="3469"/>
      <c r="MC4" s="3469"/>
      <c r="MD4" s="3469"/>
      <c r="ME4" s="3469"/>
      <c r="MF4" s="3469"/>
      <c r="MG4" s="3469"/>
      <c r="MH4" s="3469"/>
      <c r="MI4" s="3469"/>
      <c r="MJ4" s="3469"/>
      <c r="MK4" s="3469"/>
      <c r="ML4" s="3469"/>
      <c r="MM4" s="3469"/>
      <c r="MN4" s="3469"/>
      <c r="MO4" s="3469"/>
      <c r="MP4" s="3469"/>
      <c r="MQ4" s="3469"/>
      <c r="MR4" s="3469"/>
      <c r="MS4" s="3469"/>
      <c r="MT4" s="3469"/>
      <c r="MU4" s="3469"/>
      <c r="MV4" s="3469"/>
      <c r="MW4" s="3469"/>
      <c r="MX4" s="3469"/>
      <c r="MY4" s="3469"/>
      <c r="MZ4" s="3469"/>
      <c r="NA4" s="3469"/>
      <c r="NB4" s="3469"/>
      <c r="NC4" s="3469"/>
      <c r="ND4" s="3469"/>
      <c r="NE4" s="3469"/>
      <c r="NF4" s="3469"/>
      <c r="NG4" s="3469"/>
      <c r="NH4" s="3469"/>
      <c r="NI4" s="3469"/>
      <c r="NJ4" s="3469"/>
      <c r="NK4" s="3469"/>
      <c r="NL4" s="3469"/>
      <c r="NM4" s="3469"/>
      <c r="NN4" s="3469"/>
      <c r="NO4" s="3469"/>
      <c r="NP4" s="3469"/>
      <c r="NQ4" s="3469"/>
      <c r="NR4" s="3469"/>
      <c r="NS4" s="3469"/>
      <c r="NT4" s="3469"/>
      <c r="NU4" s="3469"/>
      <c r="NV4" s="3469"/>
      <c r="NW4" s="3469"/>
      <c r="NX4" s="3469"/>
      <c r="NY4" s="3469"/>
      <c r="NZ4" s="3469"/>
      <c r="OA4" s="3469"/>
      <c r="OB4" s="3469"/>
      <c r="OC4" s="3469"/>
      <c r="OD4" s="3469"/>
      <c r="OE4" s="3469"/>
      <c r="OF4" s="3469"/>
      <c r="OG4" s="3469"/>
      <c r="OH4" s="3469"/>
      <c r="OI4" s="3469"/>
      <c r="OJ4" s="3469"/>
      <c r="OK4" s="3469"/>
      <c r="OL4" s="3469"/>
      <c r="OM4" s="3469"/>
      <c r="ON4" s="3469"/>
      <c r="OO4" s="3469"/>
      <c r="OP4" s="3469"/>
      <c r="OQ4" s="3469"/>
      <c r="OR4" s="3469"/>
      <c r="OS4" s="3469"/>
      <c r="OT4" s="3469"/>
      <c r="OU4" s="3469"/>
      <c r="OV4" s="3469"/>
      <c r="OW4" s="3469"/>
      <c r="OX4" s="3469"/>
      <c r="OY4" s="3469"/>
      <c r="OZ4" s="3469"/>
      <c r="PA4" s="3469"/>
      <c r="PB4" s="3469"/>
      <c r="PC4" s="3469"/>
      <c r="PD4" s="3469"/>
      <c r="PE4" s="3469"/>
      <c r="PF4" s="3469"/>
      <c r="PG4" s="3469"/>
      <c r="PH4" s="3469"/>
      <c r="PI4" s="3469"/>
      <c r="PJ4" s="3469"/>
      <c r="PK4" s="3469"/>
      <c r="PL4" s="3469"/>
      <c r="PM4" s="3469"/>
      <c r="PN4" s="3469"/>
      <c r="PO4" s="3469"/>
      <c r="PP4" s="3469"/>
      <c r="PQ4" s="3469"/>
      <c r="PR4" s="3469"/>
      <c r="PS4" s="3469"/>
      <c r="PT4" s="3469"/>
      <c r="PU4" s="3469"/>
      <c r="PV4" s="3469"/>
      <c r="PW4" s="3469"/>
      <c r="PX4" s="3469"/>
      <c r="PY4" s="3469"/>
      <c r="PZ4" s="3469"/>
      <c r="QA4" s="3469"/>
      <c r="QB4" s="3469"/>
      <c r="QC4" s="3469"/>
      <c r="QD4" s="3469"/>
      <c r="QE4" s="3469"/>
      <c r="QF4" s="3469"/>
      <c r="QG4" s="3469"/>
      <c r="QH4" s="3469"/>
      <c r="QI4" s="3469"/>
      <c r="QJ4" s="3469"/>
      <c r="QK4" s="3469"/>
      <c r="QL4" s="3469"/>
      <c r="QM4" s="3469"/>
      <c r="QN4" s="3469"/>
      <c r="QO4" s="3469"/>
      <c r="QP4" s="3469"/>
      <c r="QQ4" s="3469"/>
      <c r="QR4" s="3469"/>
      <c r="QS4" s="3469"/>
      <c r="QT4" s="3469"/>
      <c r="QU4" s="3469"/>
      <c r="QV4" s="3469"/>
      <c r="QW4" s="3469"/>
      <c r="QX4" s="3469"/>
      <c r="QY4" s="3469"/>
      <c r="QZ4" s="3469"/>
      <c r="RA4" s="3469"/>
      <c r="RB4" s="3469"/>
      <c r="RC4" s="3469"/>
      <c r="RD4" s="3469"/>
      <c r="RE4" s="3469"/>
      <c r="RF4" s="3469"/>
      <c r="RG4" s="3469"/>
      <c r="RH4" s="3469"/>
      <c r="RI4" s="3469"/>
      <c r="RJ4" s="3469"/>
      <c r="RK4" s="3469"/>
      <c r="RL4" s="3469"/>
      <c r="RM4" s="3469"/>
      <c r="RN4" s="3469"/>
      <c r="RO4" s="3469"/>
      <c r="RP4" s="3469"/>
      <c r="RQ4" s="3469"/>
      <c r="RR4" s="3469"/>
      <c r="RS4" s="3469"/>
      <c r="RT4" s="3469"/>
      <c r="RU4" s="3469"/>
      <c r="RV4" s="3469"/>
      <c r="RW4" s="3469"/>
      <c r="RX4" s="3469"/>
      <c r="RY4" s="3469"/>
      <c r="RZ4" s="3469"/>
      <c r="SA4" s="3469"/>
      <c r="SB4" s="3469"/>
      <c r="SC4" s="3469"/>
      <c r="SD4" s="3469"/>
      <c r="SE4" s="3469"/>
      <c r="SF4" s="3469"/>
      <c r="SG4" s="3469"/>
      <c r="SH4" s="3469"/>
      <c r="SI4" s="3469"/>
      <c r="SJ4" s="3469"/>
      <c r="SK4" s="3469"/>
      <c r="SL4" s="3469"/>
      <c r="SM4" s="3469"/>
      <c r="SN4" s="3469"/>
      <c r="SO4" s="3469"/>
      <c r="SP4" s="3469"/>
      <c r="SQ4" s="3469"/>
      <c r="SR4" s="3469"/>
      <c r="SS4" s="3469"/>
      <c r="ST4" s="3469"/>
      <c r="SU4" s="3469"/>
      <c r="SV4" s="3469"/>
      <c r="SW4" s="3469"/>
      <c r="SX4" s="3469"/>
      <c r="SY4" s="3469"/>
      <c r="SZ4" s="3469"/>
      <c r="TA4" s="3469"/>
      <c r="TB4" s="3469"/>
      <c r="TC4" s="3469"/>
      <c r="TD4" s="3469"/>
      <c r="TE4" s="3469"/>
      <c r="TF4" s="3469"/>
      <c r="TG4" s="3469"/>
      <c r="TH4" s="3469"/>
      <c r="TI4" s="3469"/>
      <c r="TJ4" s="3469"/>
      <c r="TK4" s="3469"/>
      <c r="TL4" s="3469"/>
      <c r="TM4" s="3469"/>
      <c r="TN4" s="3469"/>
      <c r="TO4" s="3469"/>
      <c r="TP4" s="3469"/>
      <c r="TQ4" s="3469"/>
      <c r="TR4" s="3469"/>
      <c r="TS4" s="3469"/>
      <c r="TT4" s="3469"/>
      <c r="TU4" s="3469"/>
      <c r="TV4" s="3469"/>
      <c r="TW4" s="3469"/>
      <c r="TX4" s="3469"/>
      <c r="TY4" s="3469"/>
      <c r="TZ4" s="3469"/>
      <c r="UA4" s="3469"/>
      <c r="UB4" s="3469"/>
      <c r="UC4" s="3469"/>
      <c r="UD4" s="3469"/>
      <c r="UE4" s="3469"/>
      <c r="UF4" s="3469"/>
      <c r="UG4" s="3469"/>
      <c r="UH4" s="3469"/>
      <c r="UI4" s="3469"/>
      <c r="UJ4" s="3469"/>
      <c r="UK4" s="3469"/>
      <c r="UL4" s="3469"/>
      <c r="UM4" s="3469"/>
      <c r="UN4" s="3469"/>
      <c r="UO4" s="3469"/>
      <c r="UP4" s="3469"/>
      <c r="UQ4" s="3469"/>
      <c r="UR4" s="3469"/>
      <c r="US4" s="3469"/>
      <c r="UT4" s="3469"/>
      <c r="UU4" s="3469"/>
      <c r="UV4" s="3469"/>
      <c r="UW4" s="3469"/>
      <c r="UX4" s="3469"/>
      <c r="UY4" s="3469"/>
      <c r="UZ4" s="3469"/>
      <c r="VA4" s="3469"/>
      <c r="VB4" s="3469"/>
      <c r="VC4" s="3469"/>
      <c r="VD4" s="3469"/>
      <c r="VE4" s="3469"/>
      <c r="VF4" s="3469"/>
      <c r="VG4" s="3469"/>
      <c r="VH4" s="3469"/>
      <c r="VI4" s="3469"/>
      <c r="VJ4" s="3469"/>
      <c r="VK4" s="3469"/>
      <c r="VL4" s="3469"/>
      <c r="VM4" s="3469"/>
      <c r="VN4" s="3469"/>
      <c r="VO4" s="3469"/>
      <c r="VP4" s="3469"/>
      <c r="VQ4" s="3469"/>
      <c r="VR4" s="3469"/>
      <c r="VS4" s="3469"/>
      <c r="VT4" s="3469"/>
      <c r="VU4" s="3469"/>
      <c r="VV4" s="3469"/>
      <c r="VW4" s="3469"/>
      <c r="VX4" s="3469"/>
      <c r="VY4" s="3469"/>
      <c r="VZ4" s="3469"/>
      <c r="WA4" s="3469"/>
      <c r="WB4" s="3469"/>
      <c r="WC4" s="3469"/>
      <c r="WD4" s="3469"/>
      <c r="WE4" s="3469"/>
      <c r="WF4" s="3469"/>
      <c r="WG4" s="3469"/>
      <c r="WH4" s="3469"/>
      <c r="WI4" s="3469"/>
      <c r="WJ4" s="3469"/>
      <c r="WK4" s="3469"/>
      <c r="WL4" s="3469"/>
      <c r="WM4" s="3469"/>
      <c r="WN4" s="3469"/>
      <c r="WO4" s="3469"/>
      <c r="WP4" s="3469"/>
      <c r="WQ4" s="3469"/>
      <c r="WR4" s="3469"/>
      <c r="WS4" s="3469"/>
      <c r="WT4" s="3469"/>
      <c r="WU4" s="3469"/>
      <c r="WV4" s="3469"/>
      <c r="WW4" s="3469"/>
      <c r="WX4" s="3469"/>
      <c r="WY4" s="3469"/>
      <c r="WZ4" s="3469"/>
      <c r="XA4" s="3469"/>
      <c r="XB4" s="3469"/>
      <c r="XC4" s="3469"/>
      <c r="XD4" s="3469"/>
      <c r="XE4" s="3469"/>
      <c r="XF4" s="3469"/>
      <c r="XG4" s="3469"/>
      <c r="XH4" s="3469"/>
      <c r="XI4" s="3469"/>
      <c r="XJ4" s="3469"/>
      <c r="XK4" s="3469"/>
      <c r="XL4" s="3469"/>
      <c r="XM4" s="3469"/>
      <c r="XN4" s="3469"/>
      <c r="XO4" s="3469"/>
      <c r="XP4" s="3469"/>
      <c r="XQ4" s="3469"/>
      <c r="XR4" s="3469"/>
      <c r="XS4" s="3469"/>
      <c r="XT4" s="3469"/>
      <c r="XU4" s="3469"/>
      <c r="XV4" s="3469"/>
      <c r="XW4" s="3469"/>
      <c r="XX4" s="3469"/>
      <c r="XY4" s="3469"/>
      <c r="XZ4" s="3469"/>
      <c r="YA4" s="3469"/>
      <c r="YB4" s="3469"/>
      <c r="YC4" s="3469"/>
      <c r="YD4" s="3469"/>
      <c r="YE4" s="3469"/>
      <c r="YF4" s="3469"/>
      <c r="YG4" s="3469"/>
      <c r="YH4" s="3469"/>
      <c r="YI4" s="3469"/>
      <c r="YJ4" s="3469"/>
      <c r="YK4" s="3469"/>
      <c r="YL4" s="3469"/>
      <c r="YM4" s="3469"/>
      <c r="YN4" s="3469"/>
      <c r="YO4" s="3469"/>
      <c r="YP4" s="3469"/>
      <c r="YQ4" s="3469"/>
      <c r="YR4" s="3469"/>
      <c r="YS4" s="3469"/>
      <c r="YT4" s="3469"/>
      <c r="YU4" s="3469"/>
      <c r="YV4" s="3469"/>
      <c r="YW4" s="3469"/>
      <c r="YX4" s="3469"/>
      <c r="YY4" s="3469"/>
      <c r="YZ4" s="3469"/>
      <c r="ZA4" s="3469"/>
      <c r="ZB4" s="3469"/>
      <c r="ZC4" s="3469"/>
      <c r="ZD4" s="3469"/>
      <c r="ZE4" s="3469"/>
      <c r="ZF4" s="3469"/>
      <c r="ZG4" s="3469"/>
      <c r="ZH4" s="3469"/>
      <c r="ZI4" s="3469"/>
      <c r="ZJ4" s="3469"/>
      <c r="ZK4" s="3469"/>
      <c r="ZL4" s="3469"/>
      <c r="ZM4" s="3469"/>
      <c r="ZN4" s="3469"/>
      <c r="ZO4" s="3469"/>
      <c r="ZP4" s="3469"/>
      <c r="ZQ4" s="3469"/>
      <c r="ZR4" s="3469"/>
      <c r="ZS4" s="3469"/>
      <c r="ZT4" s="3469"/>
      <c r="ZU4" s="3469"/>
      <c r="ZV4" s="3469"/>
      <c r="ZW4" s="3469"/>
      <c r="ZX4" s="3469"/>
      <c r="ZY4" s="3469"/>
      <c r="ZZ4" s="3469"/>
      <c r="AAA4" s="3469"/>
      <c r="AAB4" s="3469"/>
      <c r="AAC4" s="3469"/>
      <c r="AAD4" s="3469"/>
      <c r="AAE4" s="3469"/>
      <c r="AAF4" s="3469"/>
      <c r="AAG4" s="3469"/>
      <c r="AAH4" s="3469"/>
      <c r="AAI4" s="3469"/>
      <c r="AAJ4" s="3469"/>
      <c r="AAK4" s="3469"/>
      <c r="AAL4" s="3469"/>
      <c r="AAM4" s="3469"/>
      <c r="AAN4" s="3469"/>
      <c r="AAO4" s="3469"/>
      <c r="AAP4" s="3469"/>
      <c r="AAQ4" s="3469"/>
      <c r="AAR4" s="3469"/>
      <c r="AAS4" s="3469"/>
      <c r="AAT4" s="3469"/>
      <c r="AAU4" s="3469"/>
      <c r="AAV4" s="3469"/>
      <c r="AAW4" s="3469"/>
      <c r="AAX4" s="3469"/>
      <c r="AAY4" s="3469"/>
      <c r="AAZ4" s="3469"/>
      <c r="ABA4" s="3469"/>
      <c r="ABB4" s="3469"/>
      <c r="ABC4" s="3469"/>
      <c r="ABD4" s="3469"/>
      <c r="ABE4" s="3469"/>
      <c r="ABF4" s="3469"/>
      <c r="ABG4" s="3469"/>
      <c r="ABH4" s="3469"/>
      <c r="ABI4" s="3469"/>
      <c r="ABJ4" s="3469"/>
      <c r="ABK4" s="3469"/>
      <c r="ABL4" s="3469"/>
      <c r="ABM4" s="3469"/>
      <c r="ABN4" s="3469"/>
      <c r="ABO4" s="3469"/>
      <c r="ABP4" s="3469"/>
      <c r="ABQ4" s="3469"/>
      <c r="ABR4" s="3469"/>
      <c r="ABS4" s="3469"/>
      <c r="ABT4" s="3469"/>
      <c r="ABU4" s="3469"/>
      <c r="ABV4" s="3469"/>
      <c r="ABW4" s="3469"/>
      <c r="ABX4" s="3469"/>
      <c r="ABY4" s="3469"/>
      <c r="ABZ4" s="3469"/>
      <c r="ACA4" s="3469"/>
      <c r="ACB4" s="3469"/>
      <c r="ACC4" s="3469"/>
      <c r="ACD4" s="3469"/>
      <c r="ACE4" s="3469"/>
      <c r="ACF4" s="3469"/>
      <c r="ACG4" s="3469"/>
      <c r="ACH4" s="3469"/>
      <c r="ACI4" s="3469"/>
      <c r="ACJ4" s="3469"/>
      <c r="ACK4" s="3469"/>
      <c r="ACL4" s="3469"/>
      <c r="ACM4" s="3469"/>
      <c r="ACN4" s="3469"/>
      <c r="ACO4" s="3469"/>
      <c r="ACP4" s="3469"/>
      <c r="ACQ4" s="3469"/>
      <c r="ACR4" s="3469"/>
      <c r="ACS4" s="3469"/>
      <c r="ACT4" s="3469"/>
      <c r="ACU4" s="3469"/>
      <c r="ACV4" s="3469"/>
      <c r="ACW4" s="3469"/>
      <c r="ACX4" s="3469"/>
      <c r="ACY4" s="3469"/>
      <c r="ACZ4" s="3469"/>
      <c r="ADA4" s="3469"/>
      <c r="ADB4" s="3469"/>
      <c r="ADC4" s="3469"/>
      <c r="ADD4" s="3469"/>
      <c r="ADE4" s="3469"/>
      <c r="ADF4" s="3469"/>
      <c r="ADG4" s="3469"/>
      <c r="ADH4" s="3469"/>
      <c r="ADI4" s="3469"/>
      <c r="ADJ4" s="3469"/>
      <c r="ADK4" s="3469"/>
      <c r="ADL4" s="3469"/>
      <c r="ADM4" s="3469"/>
      <c r="ADN4" s="3469"/>
      <c r="ADO4" s="3469"/>
      <c r="ADP4" s="3469"/>
      <c r="ADQ4" s="3469"/>
      <c r="ADR4" s="3469"/>
      <c r="ADS4" s="3469"/>
      <c r="ADT4" s="3469"/>
      <c r="ADU4" s="3469"/>
      <c r="ADV4" s="3469"/>
      <c r="ADW4" s="3469"/>
      <c r="ADX4" s="3469"/>
      <c r="ADY4" s="3469"/>
      <c r="ADZ4" s="3469"/>
      <c r="AEA4" s="3469"/>
      <c r="AEB4" s="3469"/>
      <c r="AEC4" s="3469"/>
      <c r="AED4" s="3469"/>
      <c r="AEE4" s="3469"/>
      <c r="AEF4" s="3469"/>
      <c r="AEG4" s="3469"/>
      <c r="AEH4" s="3469"/>
      <c r="AEI4" s="3469"/>
      <c r="AEJ4" s="3469"/>
      <c r="AEK4" s="3469"/>
      <c r="AEL4" s="3469"/>
      <c r="AEM4" s="3469"/>
      <c r="AEN4" s="3469"/>
      <c r="AEO4" s="3469"/>
      <c r="AEP4" s="3469"/>
      <c r="AEQ4" s="3469"/>
      <c r="AER4" s="3469"/>
      <c r="AES4" s="3469"/>
      <c r="AET4" s="3469"/>
      <c r="AEU4" s="3469"/>
      <c r="AEV4" s="3469"/>
      <c r="AEW4" s="3469"/>
      <c r="AEX4" s="3469"/>
      <c r="AEY4" s="3469"/>
      <c r="AEZ4" s="3469"/>
      <c r="AFA4" s="3469"/>
      <c r="AFB4" s="3469"/>
      <c r="AFC4" s="3469"/>
      <c r="AFD4" s="3469"/>
      <c r="AFE4" s="3469"/>
      <c r="AFF4" s="3469"/>
      <c r="AFG4" s="3469"/>
      <c r="AFH4" s="3469"/>
      <c r="AFI4" s="3469"/>
      <c r="AFJ4" s="3469"/>
      <c r="AFK4" s="3469"/>
      <c r="AFL4" s="3469"/>
      <c r="AFM4" s="3469"/>
      <c r="AFN4" s="3469"/>
      <c r="AFO4" s="3469"/>
      <c r="AFP4" s="3469"/>
      <c r="AFQ4" s="3469"/>
      <c r="AFR4" s="3469"/>
      <c r="AFS4" s="3469"/>
      <c r="AFT4" s="3469"/>
      <c r="AFU4" s="3469"/>
      <c r="AFV4" s="3469"/>
      <c r="AFW4" s="3469"/>
      <c r="AFX4" s="3469"/>
      <c r="AFY4" s="3469"/>
      <c r="AFZ4" s="3469"/>
      <c r="AGA4" s="3469"/>
      <c r="AGB4" s="3469"/>
      <c r="AGC4" s="3469"/>
      <c r="AGD4" s="3469"/>
      <c r="AGE4" s="3469"/>
      <c r="AGF4" s="3469"/>
      <c r="AGG4" s="3469"/>
      <c r="AGH4" s="3469"/>
      <c r="AGI4" s="3469"/>
      <c r="AGJ4" s="3469"/>
      <c r="AGK4" s="3469"/>
      <c r="AGL4" s="3469"/>
      <c r="AGM4" s="3469"/>
      <c r="AGN4" s="3469"/>
      <c r="AGO4" s="3469"/>
      <c r="AGP4" s="3469"/>
      <c r="AGQ4" s="3469"/>
      <c r="AGR4" s="3469"/>
      <c r="AGS4" s="3469"/>
      <c r="AGT4" s="3469"/>
      <c r="AGU4" s="3469"/>
      <c r="AGV4" s="3469"/>
      <c r="AGW4" s="3469"/>
      <c r="AGX4" s="3469"/>
      <c r="AGY4" s="3469"/>
      <c r="AGZ4" s="3469"/>
      <c r="AHA4" s="3469"/>
      <c r="AHB4" s="3469"/>
      <c r="AHC4" s="3469"/>
      <c r="AHD4" s="3469"/>
      <c r="AHE4" s="3469"/>
      <c r="AHF4" s="3469"/>
      <c r="AHG4" s="3469"/>
      <c r="AHH4" s="3469"/>
      <c r="AHI4" s="3469"/>
      <c r="AHJ4" s="3469"/>
      <c r="AHK4" s="3469"/>
      <c r="AHL4" s="3469"/>
      <c r="AHM4" s="3469"/>
      <c r="AHN4" s="3469"/>
      <c r="AHO4" s="3469"/>
      <c r="AHP4" s="3469"/>
      <c r="AHQ4" s="3469"/>
      <c r="AHR4" s="3469"/>
      <c r="AHS4" s="3469"/>
      <c r="AHT4" s="3469"/>
      <c r="AHU4" s="3469"/>
      <c r="AHV4" s="3469"/>
      <c r="AHW4" s="3469"/>
      <c r="AHX4" s="3469"/>
      <c r="AHY4" s="3469"/>
      <c r="AHZ4" s="3469"/>
      <c r="AIA4" s="3469"/>
      <c r="AIB4" s="3469"/>
      <c r="AIC4" s="3469"/>
      <c r="AID4" s="3469"/>
      <c r="AIE4" s="3469"/>
      <c r="AIF4" s="3469"/>
      <c r="AIG4" s="3469"/>
      <c r="AIH4" s="3469"/>
      <c r="AII4" s="3469"/>
      <c r="AIJ4" s="3469"/>
      <c r="AIK4" s="3469"/>
      <c r="AIL4" s="3469"/>
      <c r="AIM4" s="3469"/>
      <c r="AIN4" s="3469"/>
      <c r="AIO4" s="3469"/>
      <c r="AIP4" s="3469"/>
      <c r="AIQ4" s="3469"/>
      <c r="AIR4" s="3469"/>
      <c r="AIS4" s="3469"/>
      <c r="AIT4" s="3469"/>
      <c r="AIU4" s="3469"/>
      <c r="AIV4" s="3469"/>
      <c r="AIW4" s="3469"/>
      <c r="AIX4" s="3469"/>
      <c r="AIY4" s="3469"/>
      <c r="AIZ4" s="3469"/>
      <c r="AJA4" s="3469"/>
      <c r="AJB4" s="3469"/>
      <c r="AJC4" s="3469"/>
      <c r="AJD4" s="3469"/>
      <c r="AJE4" s="3469"/>
      <c r="AJF4" s="3469"/>
      <c r="AJG4" s="3469"/>
      <c r="AJH4" s="3469"/>
      <c r="AJI4" s="3469"/>
      <c r="AJJ4" s="3469"/>
      <c r="AJK4" s="3469"/>
      <c r="AJL4" s="3469"/>
      <c r="AJM4" s="3469"/>
      <c r="AJN4" s="3469"/>
      <c r="AJO4" s="3469"/>
      <c r="AJP4" s="3469"/>
      <c r="AJQ4" s="3469"/>
      <c r="AJR4" s="3469"/>
      <c r="AJS4" s="3469"/>
      <c r="AJT4" s="3469"/>
      <c r="AJU4" s="3469"/>
      <c r="AJV4" s="3469"/>
      <c r="AJW4" s="3469"/>
      <c r="AJX4" s="3469"/>
      <c r="AJY4" s="3469"/>
      <c r="AJZ4" s="3469"/>
      <c r="AKA4" s="3469"/>
      <c r="AKB4" s="3469"/>
      <c r="AKC4" s="3469"/>
      <c r="AKD4" s="3469"/>
      <c r="AKE4" s="3469"/>
      <c r="AKF4" s="3469"/>
      <c r="AKG4" s="3469"/>
      <c r="AKH4" s="3469"/>
      <c r="AKI4" s="3469"/>
      <c r="AKJ4" s="3469"/>
      <c r="AKK4" s="3469"/>
      <c r="AKL4" s="3469"/>
      <c r="AKM4" s="3469"/>
      <c r="AKN4" s="3469"/>
      <c r="AKO4" s="3469"/>
      <c r="AKP4" s="3469"/>
      <c r="AKQ4" s="3469"/>
      <c r="AKR4" s="3469"/>
      <c r="AKS4" s="3469"/>
      <c r="AKT4" s="3469"/>
      <c r="AKU4" s="3469"/>
      <c r="AKV4" s="3469"/>
      <c r="AKW4" s="3469"/>
      <c r="AKX4" s="3469"/>
      <c r="AKY4" s="3469"/>
      <c r="AKZ4" s="3469"/>
      <c r="ALA4" s="3469"/>
      <c r="ALB4" s="3469"/>
      <c r="ALC4" s="3469"/>
      <c r="ALD4" s="3469"/>
      <c r="ALE4" s="3469"/>
      <c r="ALF4" s="3469"/>
      <c r="ALG4" s="3469"/>
      <c r="ALH4" s="3469"/>
      <c r="ALI4" s="3469"/>
      <c r="ALJ4" s="3469"/>
      <c r="ALK4" s="3469"/>
      <c r="ALL4" s="3469"/>
      <c r="ALM4" s="3469"/>
      <c r="ALN4" s="3469"/>
      <c r="ALO4" s="3469"/>
      <c r="ALP4" s="3469"/>
      <c r="ALQ4" s="3469"/>
      <c r="ALR4" s="3469"/>
      <c r="ALS4" s="3469"/>
      <c r="ALT4" s="3469"/>
      <c r="ALU4" s="3469"/>
      <c r="ALV4" s="3469"/>
      <c r="ALW4" s="3469"/>
      <c r="ALX4" s="3469"/>
      <c r="ALY4" s="3469"/>
      <c r="ALZ4" s="3469"/>
      <c r="AMA4" s="3469"/>
      <c r="AMB4" s="3469"/>
      <c r="AMC4" s="3469"/>
      <c r="AMD4" s="3469"/>
      <c r="AME4" s="3469"/>
      <c r="AMF4" s="3469"/>
      <c r="AMG4" s="3469"/>
      <c r="AMH4" s="3469"/>
      <c r="AMI4" s="3469"/>
      <c r="AMJ4" s="3469"/>
      <c r="AMK4" s="3469"/>
      <c r="AML4" s="3469"/>
      <c r="AMM4" s="3469"/>
      <c r="AMN4" s="3469"/>
      <c r="AMO4" s="3469"/>
      <c r="AMP4" s="3469"/>
      <c r="AMQ4" s="3469"/>
      <c r="AMR4" s="3469"/>
      <c r="AMS4" s="3469"/>
      <c r="AMT4" s="3469"/>
      <c r="AMU4" s="3469"/>
      <c r="AMV4" s="3469"/>
      <c r="AMW4" s="3469"/>
      <c r="AMX4" s="3469"/>
      <c r="AMY4" s="3469"/>
      <c r="AMZ4" s="3469"/>
      <c r="ANA4" s="3469"/>
      <c r="ANB4" s="3469"/>
      <c r="ANC4" s="3469"/>
      <c r="AND4" s="3469"/>
      <c r="ANE4" s="3469"/>
      <c r="ANF4" s="3469"/>
      <c r="ANG4" s="3469"/>
      <c r="ANH4" s="3469"/>
      <c r="ANI4" s="3469"/>
      <c r="ANJ4" s="3469"/>
      <c r="ANK4" s="3469"/>
      <c r="ANL4" s="3469"/>
      <c r="ANM4" s="3469"/>
      <c r="ANN4" s="3469"/>
      <c r="ANO4" s="3469"/>
      <c r="ANP4" s="3469"/>
      <c r="ANQ4" s="3469"/>
      <c r="ANR4" s="3469"/>
      <c r="ANS4" s="3469"/>
      <c r="ANT4" s="3469"/>
      <c r="ANU4" s="3469"/>
      <c r="ANV4" s="3469"/>
      <c r="ANW4" s="3469"/>
      <c r="ANX4" s="3469"/>
      <c r="ANY4" s="3469"/>
      <c r="ANZ4" s="3469"/>
      <c r="AOA4" s="3469"/>
      <c r="AOB4" s="3469"/>
      <c r="AOC4" s="3469"/>
      <c r="AOD4" s="3469"/>
      <c r="AOE4" s="3469"/>
      <c r="AOF4" s="3469"/>
      <c r="AOG4" s="3469"/>
      <c r="AOH4" s="3469"/>
      <c r="AOI4" s="3469"/>
      <c r="AOJ4" s="3469"/>
      <c r="AOK4" s="3469"/>
      <c r="AOL4" s="3469"/>
      <c r="AOM4" s="3469"/>
      <c r="AON4" s="3469"/>
      <c r="AOO4" s="3469"/>
      <c r="AOP4" s="3469"/>
      <c r="AOQ4" s="3469"/>
      <c r="AOR4" s="3469"/>
      <c r="AOS4" s="3469"/>
      <c r="AOT4" s="3469"/>
      <c r="AOU4" s="3469"/>
      <c r="AOV4" s="3469"/>
      <c r="AOW4" s="3469"/>
      <c r="AOX4" s="3469"/>
      <c r="AOY4" s="3469"/>
      <c r="AOZ4" s="3469"/>
      <c r="APA4" s="3469"/>
      <c r="APB4" s="3469"/>
      <c r="APC4" s="3469"/>
      <c r="APD4" s="3469"/>
      <c r="APE4" s="3469"/>
      <c r="APF4" s="3469"/>
      <c r="APG4" s="3469"/>
      <c r="APH4" s="3469"/>
      <c r="API4" s="3469"/>
      <c r="APJ4" s="3469"/>
      <c r="APK4" s="3469"/>
      <c r="APL4" s="3469"/>
      <c r="APM4" s="3469"/>
      <c r="APN4" s="3469"/>
      <c r="APO4" s="3469"/>
      <c r="APP4" s="3469"/>
      <c r="APQ4" s="3469"/>
      <c r="APR4" s="3469"/>
      <c r="APS4" s="3469"/>
      <c r="APT4" s="3469"/>
      <c r="APU4" s="3469"/>
      <c r="APV4" s="3469"/>
      <c r="APW4" s="3469"/>
      <c r="APX4" s="3469"/>
      <c r="APY4" s="3469"/>
      <c r="APZ4" s="3469"/>
      <c r="AQA4" s="3469"/>
      <c r="AQB4" s="3469"/>
      <c r="AQC4" s="3469"/>
      <c r="AQD4" s="3469"/>
      <c r="AQE4" s="3469"/>
      <c r="AQF4" s="3469"/>
      <c r="AQG4" s="3469"/>
      <c r="AQH4" s="3469"/>
      <c r="AQI4" s="3469"/>
      <c r="AQJ4" s="3469"/>
      <c r="AQK4" s="3469"/>
      <c r="AQL4" s="3469"/>
      <c r="AQM4" s="3469"/>
      <c r="AQN4" s="3469"/>
      <c r="AQO4" s="3469"/>
      <c r="AQP4" s="3469"/>
      <c r="AQQ4" s="3469"/>
      <c r="AQR4" s="3469"/>
      <c r="AQS4" s="3469"/>
      <c r="AQT4" s="3469"/>
      <c r="AQU4" s="3469"/>
      <c r="AQV4" s="3469"/>
      <c r="AQW4" s="3469"/>
      <c r="AQX4" s="3469"/>
      <c r="AQY4" s="3469"/>
      <c r="AQZ4" s="3469"/>
      <c r="ARA4" s="3469"/>
      <c r="ARB4" s="3469"/>
      <c r="ARC4" s="3469"/>
      <c r="ARD4" s="3469"/>
      <c r="ARE4" s="3469"/>
      <c r="ARF4" s="3469"/>
      <c r="ARG4" s="3469"/>
      <c r="ARH4" s="3469"/>
      <c r="ARI4" s="3469"/>
      <c r="ARJ4" s="3469"/>
      <c r="ARK4" s="3469"/>
      <c r="ARL4" s="3469"/>
      <c r="ARM4" s="3469"/>
      <c r="ARN4" s="3469"/>
      <c r="ARO4" s="3469"/>
      <c r="ARP4" s="3469"/>
      <c r="ARQ4" s="3469"/>
      <c r="ARR4" s="3469"/>
      <c r="ARS4" s="3469"/>
      <c r="ART4" s="3469"/>
      <c r="ARU4" s="3469"/>
      <c r="ARV4" s="3469"/>
      <c r="ARW4" s="3469"/>
      <c r="ARX4" s="3469"/>
      <c r="ARY4" s="3469"/>
      <c r="ARZ4" s="3469"/>
      <c r="ASA4" s="3469"/>
      <c r="ASB4" s="3469"/>
      <c r="ASC4" s="3469"/>
      <c r="ASD4" s="3469"/>
      <c r="ASE4" s="3469"/>
      <c r="ASF4" s="3469"/>
      <c r="ASG4" s="3469"/>
      <c r="ASH4" s="3469"/>
      <c r="ASI4" s="3469"/>
      <c r="ASJ4" s="3469"/>
      <c r="ASK4" s="3469"/>
      <c r="ASL4" s="3469"/>
      <c r="ASM4" s="3469"/>
      <c r="ASN4" s="3469"/>
      <c r="ASO4" s="3469"/>
      <c r="ASP4" s="3469"/>
      <c r="ASQ4" s="3469"/>
      <c r="ASR4" s="3469"/>
      <c r="ASS4" s="3469"/>
      <c r="AST4" s="3469"/>
      <c r="ASU4" s="3469"/>
      <c r="ASV4" s="3469"/>
      <c r="ASW4" s="3469"/>
      <c r="ASX4" s="3469"/>
      <c r="ASY4" s="3469"/>
      <c r="ASZ4" s="3469"/>
      <c r="ATA4" s="3469"/>
      <c r="ATB4" s="3469"/>
      <c r="ATC4" s="3469"/>
      <c r="ATD4" s="3469"/>
      <c r="ATE4" s="3469"/>
      <c r="ATF4" s="3469"/>
      <c r="ATG4" s="3469"/>
      <c r="ATH4" s="3469"/>
      <c r="ATI4" s="3469"/>
      <c r="ATJ4" s="3469"/>
      <c r="ATK4" s="3469"/>
      <c r="ATL4" s="3469"/>
      <c r="ATM4" s="3469"/>
      <c r="ATN4" s="3469"/>
      <c r="ATO4" s="3469"/>
      <c r="ATP4" s="3469"/>
      <c r="ATQ4" s="3469"/>
      <c r="ATR4" s="3469"/>
      <c r="ATS4" s="3469"/>
      <c r="ATT4" s="3469"/>
      <c r="ATU4" s="3469"/>
      <c r="ATV4" s="3469"/>
      <c r="ATW4" s="3469"/>
      <c r="ATX4" s="3469"/>
      <c r="ATY4" s="3469"/>
      <c r="ATZ4" s="3469"/>
      <c r="AUA4" s="3469"/>
      <c r="AUB4" s="3469"/>
      <c r="AUC4" s="3469"/>
      <c r="AUD4" s="3469"/>
      <c r="AUE4" s="3469"/>
      <c r="AUF4" s="3469"/>
      <c r="AUG4" s="3469"/>
      <c r="AUH4" s="3469"/>
      <c r="AUI4" s="3469"/>
      <c r="AUJ4" s="3469"/>
      <c r="AUK4" s="3469"/>
      <c r="AUL4" s="3469"/>
      <c r="AUM4" s="3469"/>
      <c r="AUN4" s="3469"/>
      <c r="AUO4" s="3469"/>
      <c r="AUP4" s="3469"/>
      <c r="AUQ4" s="3469"/>
      <c r="AUR4" s="3469"/>
      <c r="AUS4" s="3469"/>
      <c r="AUT4" s="3469"/>
      <c r="AUU4" s="3469"/>
      <c r="AUV4" s="3469"/>
      <c r="AUW4" s="3469"/>
      <c r="AUX4" s="3469"/>
      <c r="AUY4" s="3469"/>
      <c r="AUZ4" s="3469"/>
      <c r="AVA4" s="3469"/>
      <c r="AVB4" s="3469"/>
      <c r="AVC4" s="3469"/>
      <c r="AVD4" s="3469"/>
      <c r="AVE4" s="3469"/>
      <c r="AVF4" s="3469"/>
      <c r="AVG4" s="3469"/>
      <c r="AVH4" s="3469"/>
      <c r="AVI4" s="3469"/>
      <c r="AVJ4" s="3469"/>
      <c r="AVK4" s="3469"/>
      <c r="AVL4" s="3469"/>
      <c r="AVM4" s="3469"/>
      <c r="AVN4" s="3469"/>
      <c r="AVO4" s="3469"/>
      <c r="AVP4" s="3469"/>
      <c r="AVQ4" s="3469"/>
      <c r="AVR4" s="3469"/>
      <c r="AVS4" s="3469"/>
      <c r="AVT4" s="3469"/>
      <c r="AVU4" s="3469"/>
      <c r="AVV4" s="3469"/>
      <c r="AVW4" s="3469"/>
      <c r="AVX4" s="3469"/>
      <c r="AVY4" s="3469"/>
      <c r="AVZ4" s="3469"/>
      <c r="AWA4" s="3469"/>
      <c r="AWB4" s="3469"/>
      <c r="AWC4" s="3469"/>
      <c r="AWD4" s="3469"/>
      <c r="AWE4" s="3469"/>
      <c r="AWF4" s="3469"/>
      <c r="AWG4" s="3469"/>
      <c r="AWH4" s="3469"/>
      <c r="AWI4" s="3469"/>
      <c r="AWJ4" s="3469"/>
      <c r="AWK4" s="3469"/>
      <c r="AWL4" s="3469"/>
      <c r="AWM4" s="3469"/>
      <c r="AWN4" s="3469"/>
      <c r="AWO4" s="3469"/>
      <c r="AWP4" s="3469"/>
      <c r="AWQ4" s="3469"/>
      <c r="AWR4" s="3469"/>
      <c r="AWS4" s="3469"/>
      <c r="AWT4" s="3469"/>
      <c r="AWU4" s="3469"/>
      <c r="AWV4" s="3469"/>
      <c r="AWW4" s="3469"/>
      <c r="AWX4" s="3469"/>
      <c r="AWY4" s="3469"/>
      <c r="AWZ4" s="3469"/>
      <c r="AXA4" s="3469"/>
      <c r="AXB4" s="3469"/>
      <c r="AXC4" s="3469"/>
      <c r="AXD4" s="3469"/>
      <c r="AXE4" s="3469"/>
      <c r="AXF4" s="3469"/>
      <c r="AXG4" s="3469"/>
      <c r="AXH4" s="3469"/>
      <c r="AXI4" s="3469"/>
      <c r="AXJ4" s="3469"/>
      <c r="AXK4" s="3469"/>
      <c r="AXL4" s="3469"/>
      <c r="AXM4" s="3469"/>
      <c r="AXN4" s="3469"/>
      <c r="AXO4" s="3469"/>
      <c r="AXP4" s="3469"/>
      <c r="AXQ4" s="3469"/>
      <c r="AXR4" s="3469"/>
      <c r="AXS4" s="3469"/>
      <c r="AXT4" s="3469"/>
      <c r="AXU4" s="3469"/>
      <c r="AXV4" s="3469"/>
      <c r="AXW4" s="3469"/>
      <c r="AXX4" s="3469"/>
      <c r="AXY4" s="3469"/>
      <c r="AXZ4" s="3469"/>
      <c r="AYA4" s="3469"/>
      <c r="AYB4" s="3469"/>
      <c r="AYC4" s="3469"/>
      <c r="AYD4" s="3469"/>
      <c r="AYE4" s="3469"/>
      <c r="AYF4" s="3469"/>
      <c r="AYG4" s="3469"/>
      <c r="AYH4" s="3469"/>
      <c r="AYI4" s="3469"/>
      <c r="AYJ4" s="3469"/>
      <c r="AYK4" s="3469"/>
      <c r="AYL4" s="3469"/>
      <c r="AYM4" s="3469"/>
      <c r="AYN4" s="3469"/>
      <c r="AYO4" s="3469"/>
      <c r="AYP4" s="3469"/>
      <c r="AYQ4" s="3469"/>
      <c r="AYR4" s="3469"/>
      <c r="AYS4" s="3469"/>
      <c r="AYT4" s="3469"/>
      <c r="AYU4" s="3469"/>
      <c r="AYV4" s="3469"/>
      <c r="AYW4" s="3469"/>
      <c r="AYX4" s="3469"/>
      <c r="AYY4" s="3469"/>
      <c r="AYZ4" s="3469"/>
      <c r="AZA4" s="3469"/>
      <c r="AZB4" s="3469"/>
      <c r="AZC4" s="3469"/>
      <c r="AZD4" s="3469"/>
      <c r="AZE4" s="3469"/>
      <c r="AZF4" s="3469"/>
      <c r="AZG4" s="3469"/>
      <c r="AZH4" s="3469"/>
      <c r="AZI4" s="3469"/>
      <c r="AZJ4" s="3469"/>
      <c r="AZK4" s="3469"/>
      <c r="AZL4" s="3469"/>
      <c r="AZM4" s="3469"/>
      <c r="AZN4" s="3469"/>
      <c r="AZO4" s="3469"/>
      <c r="AZP4" s="3469"/>
      <c r="AZQ4" s="3469"/>
      <c r="AZR4" s="3469"/>
      <c r="AZS4" s="3469"/>
      <c r="AZT4" s="3469"/>
      <c r="AZU4" s="3469"/>
      <c r="AZV4" s="3469"/>
      <c r="AZW4" s="3469"/>
      <c r="AZX4" s="3469"/>
      <c r="AZY4" s="3469"/>
      <c r="AZZ4" s="3469"/>
      <c r="BAA4" s="3469"/>
      <c r="BAB4" s="3469"/>
      <c r="BAC4" s="3469"/>
      <c r="BAD4" s="3469"/>
      <c r="BAE4" s="3469"/>
      <c r="BAF4" s="3469"/>
      <c r="BAG4" s="3469"/>
      <c r="BAH4" s="3469"/>
      <c r="BAI4" s="3469"/>
      <c r="BAJ4" s="3469"/>
      <c r="BAK4" s="3469"/>
      <c r="BAL4" s="3469"/>
      <c r="BAM4" s="3469"/>
      <c r="BAN4" s="3469"/>
      <c r="BAO4" s="3469"/>
      <c r="BAP4" s="3469"/>
      <c r="BAQ4" s="3469"/>
      <c r="BAR4" s="3469"/>
      <c r="BAS4" s="3469"/>
      <c r="BAT4" s="3469"/>
      <c r="BAU4" s="3469"/>
      <c r="BAV4" s="3469"/>
      <c r="BAW4" s="3469"/>
      <c r="BAX4" s="3469"/>
      <c r="BAY4" s="3469"/>
      <c r="BAZ4" s="3469"/>
      <c r="BBA4" s="3469"/>
      <c r="BBB4" s="3469"/>
      <c r="BBC4" s="3469"/>
      <c r="BBD4" s="3469"/>
      <c r="BBE4" s="3469"/>
      <c r="BBF4" s="3469"/>
      <c r="BBG4" s="3469"/>
      <c r="BBH4" s="3469"/>
      <c r="BBI4" s="3469"/>
      <c r="BBJ4" s="3469"/>
      <c r="BBK4" s="3469"/>
      <c r="BBL4" s="3469"/>
      <c r="BBM4" s="3469"/>
      <c r="BBN4" s="3469"/>
      <c r="BBO4" s="3469"/>
      <c r="BBP4" s="3469"/>
      <c r="BBQ4" s="3469"/>
      <c r="BBR4" s="3469"/>
      <c r="BBS4" s="3469"/>
      <c r="BBT4" s="3469"/>
      <c r="BBU4" s="3469"/>
      <c r="BBV4" s="3469"/>
      <c r="BBW4" s="3469"/>
      <c r="BBX4" s="3469"/>
      <c r="BBY4" s="3469"/>
      <c r="BBZ4" s="3469"/>
      <c r="BCA4" s="3469"/>
      <c r="BCB4" s="3469"/>
      <c r="BCC4" s="3469"/>
      <c r="BCD4" s="3469"/>
      <c r="BCE4" s="3469"/>
      <c r="BCF4" s="3469"/>
      <c r="BCG4" s="3469"/>
      <c r="BCH4" s="3469"/>
      <c r="BCI4" s="3469"/>
      <c r="BCJ4" s="3469"/>
      <c r="BCK4" s="3469"/>
      <c r="BCL4" s="3469"/>
      <c r="BCM4" s="3469"/>
      <c r="BCN4" s="3469"/>
      <c r="BCO4" s="3469"/>
      <c r="BCP4" s="3469"/>
      <c r="BCQ4" s="3469"/>
      <c r="BCR4" s="3469"/>
      <c r="BCS4" s="3469"/>
      <c r="BCT4" s="3469"/>
      <c r="BCU4" s="3469"/>
      <c r="BCV4" s="3469"/>
      <c r="BCW4" s="3469"/>
      <c r="BCX4" s="3469"/>
      <c r="BCY4" s="3469"/>
      <c r="BCZ4" s="3469"/>
      <c r="BDA4" s="3469"/>
      <c r="BDB4" s="3469"/>
      <c r="BDC4" s="3469"/>
      <c r="BDD4" s="3469"/>
      <c r="BDE4" s="3469"/>
      <c r="BDF4" s="3469"/>
      <c r="BDG4" s="3469"/>
      <c r="BDH4" s="3469"/>
      <c r="BDI4" s="3469"/>
      <c r="BDJ4" s="3469"/>
      <c r="BDK4" s="3469"/>
      <c r="BDL4" s="3469"/>
      <c r="BDM4" s="3469"/>
      <c r="BDN4" s="3469"/>
      <c r="BDO4" s="3469"/>
      <c r="BDP4" s="3469"/>
      <c r="BDQ4" s="3469"/>
      <c r="BDR4" s="3469"/>
      <c r="BDS4" s="3469"/>
      <c r="BDT4" s="3469"/>
      <c r="BDU4" s="3469"/>
      <c r="BDV4" s="3469"/>
      <c r="BDW4" s="3469"/>
      <c r="BDX4" s="3469"/>
      <c r="BDY4" s="3469"/>
      <c r="BDZ4" s="3469"/>
      <c r="BEA4" s="3469"/>
      <c r="BEB4" s="3469"/>
      <c r="BEC4" s="3469"/>
      <c r="BED4" s="3469"/>
      <c r="BEE4" s="3469"/>
      <c r="BEF4" s="3469"/>
      <c r="BEG4" s="3469"/>
      <c r="BEH4" s="3469"/>
      <c r="BEI4" s="3469"/>
      <c r="BEJ4" s="3469"/>
      <c r="BEK4" s="3469"/>
      <c r="BEL4" s="3469"/>
      <c r="BEM4" s="3469"/>
      <c r="BEN4" s="3469"/>
      <c r="BEO4" s="3469"/>
      <c r="BEP4" s="3469"/>
      <c r="BEQ4" s="3469"/>
      <c r="BER4" s="3469"/>
      <c r="BES4" s="3469"/>
      <c r="BET4" s="3469"/>
      <c r="BEU4" s="3469"/>
      <c r="BEV4" s="3469"/>
      <c r="BEW4" s="3469"/>
      <c r="BEX4" s="3469"/>
      <c r="BEY4" s="3469"/>
      <c r="BEZ4" s="3469"/>
      <c r="BFA4" s="3469"/>
      <c r="BFB4" s="3469"/>
      <c r="BFC4" s="3469"/>
      <c r="BFD4" s="3469"/>
      <c r="BFE4" s="3469"/>
      <c r="BFF4" s="3469"/>
      <c r="BFG4" s="3469"/>
      <c r="BFH4" s="3469"/>
      <c r="BFI4" s="3469"/>
      <c r="BFJ4" s="3469"/>
      <c r="BFK4" s="3469"/>
      <c r="BFL4" s="3469"/>
      <c r="BFM4" s="3469"/>
      <c r="BFN4" s="3469"/>
      <c r="BFO4" s="3469"/>
      <c r="BFP4" s="3469"/>
      <c r="BFQ4" s="3469"/>
      <c r="BFR4" s="3469"/>
      <c r="BFS4" s="3469"/>
      <c r="BFT4" s="3469"/>
      <c r="BFU4" s="3469"/>
      <c r="BFV4" s="3469"/>
      <c r="BFW4" s="3469"/>
      <c r="BFX4" s="3469"/>
      <c r="BFY4" s="3469"/>
      <c r="BFZ4" s="3469"/>
      <c r="BGA4" s="3469"/>
      <c r="BGB4" s="3469"/>
      <c r="BGC4" s="3469"/>
      <c r="BGD4" s="3469"/>
      <c r="BGE4" s="3469"/>
      <c r="BGF4" s="3469"/>
      <c r="BGG4" s="3469"/>
      <c r="BGH4" s="3469"/>
      <c r="BGI4" s="3469"/>
      <c r="BGJ4" s="3469"/>
      <c r="BGK4" s="3469"/>
      <c r="BGL4" s="3469"/>
      <c r="BGM4" s="3469"/>
      <c r="BGN4" s="3469"/>
      <c r="BGO4" s="3469"/>
      <c r="BGP4" s="3469"/>
      <c r="BGQ4" s="3469"/>
      <c r="BGR4" s="3469"/>
      <c r="BGS4" s="3469"/>
      <c r="BGT4" s="3469"/>
      <c r="BGU4" s="3469"/>
      <c r="BGV4" s="3469"/>
      <c r="BGW4" s="3469"/>
      <c r="BGX4" s="3469"/>
      <c r="BGY4" s="3469"/>
      <c r="BGZ4" s="3469"/>
      <c r="BHA4" s="3469"/>
      <c r="BHB4" s="3469"/>
      <c r="BHC4" s="3469"/>
      <c r="BHD4" s="3469"/>
      <c r="BHE4" s="3469"/>
      <c r="BHF4" s="3469"/>
      <c r="BHG4" s="3469"/>
      <c r="BHH4" s="3469"/>
      <c r="BHI4" s="3469"/>
      <c r="BHJ4" s="3469"/>
      <c r="BHK4" s="3469"/>
      <c r="BHL4" s="3469"/>
      <c r="BHM4" s="3469"/>
      <c r="BHN4" s="3469"/>
      <c r="BHO4" s="3469"/>
      <c r="BHP4" s="3469"/>
      <c r="BHQ4" s="3469"/>
      <c r="BHR4" s="3469"/>
      <c r="BHS4" s="3469"/>
      <c r="BHT4" s="3469"/>
      <c r="BHU4" s="3469"/>
      <c r="BHV4" s="3469"/>
      <c r="BHW4" s="3469"/>
      <c r="BHX4" s="3469"/>
      <c r="BHY4" s="3469"/>
      <c r="BHZ4" s="3469"/>
      <c r="BIA4" s="3469"/>
      <c r="BIB4" s="3469"/>
      <c r="BIC4" s="3469"/>
      <c r="BID4" s="3469"/>
      <c r="BIE4" s="3469"/>
      <c r="BIF4" s="3469"/>
      <c r="BIG4" s="3469"/>
      <c r="BIH4" s="3469"/>
      <c r="BII4" s="3469"/>
      <c r="BIJ4" s="3469"/>
      <c r="BIK4" s="3469"/>
      <c r="BIL4" s="3469"/>
      <c r="BIM4" s="3469"/>
      <c r="BIN4" s="3469"/>
      <c r="BIO4" s="3469"/>
      <c r="BIP4" s="3469"/>
      <c r="BIQ4" s="3469"/>
      <c r="BIR4" s="3469"/>
      <c r="BIS4" s="3469"/>
      <c r="BIT4" s="3469"/>
      <c r="BIU4" s="3469"/>
      <c r="BIV4" s="3469"/>
      <c r="BIW4" s="3469"/>
      <c r="BIX4" s="3469"/>
      <c r="BIY4" s="3469"/>
      <c r="BIZ4" s="3469"/>
      <c r="BJA4" s="3469"/>
      <c r="BJB4" s="3469"/>
      <c r="BJC4" s="3469"/>
      <c r="BJD4" s="3469"/>
      <c r="BJE4" s="3469"/>
      <c r="BJF4" s="3469"/>
      <c r="BJG4" s="3469"/>
      <c r="BJH4" s="3469"/>
      <c r="BJI4" s="3469"/>
      <c r="BJJ4" s="3469"/>
      <c r="BJK4" s="3469"/>
      <c r="BJL4" s="3469"/>
      <c r="BJM4" s="3469"/>
      <c r="BJN4" s="3469"/>
      <c r="BJO4" s="3469"/>
      <c r="BJP4" s="3469"/>
      <c r="BJQ4" s="3469"/>
      <c r="BJR4" s="3469"/>
      <c r="BJS4" s="3469"/>
      <c r="BJT4" s="3469"/>
      <c r="BJU4" s="3469"/>
      <c r="BJV4" s="3469"/>
      <c r="BJW4" s="3469"/>
      <c r="BJX4" s="3469"/>
      <c r="BJY4" s="3469"/>
      <c r="BJZ4" s="3469"/>
      <c r="BKA4" s="3469"/>
      <c r="BKB4" s="3469"/>
      <c r="BKC4" s="3469"/>
      <c r="BKD4" s="3469"/>
      <c r="BKE4" s="3469"/>
      <c r="BKF4" s="3469"/>
      <c r="BKG4" s="3469"/>
      <c r="BKH4" s="3469"/>
      <c r="BKI4" s="3469"/>
      <c r="BKJ4" s="3469"/>
      <c r="BKK4" s="3469"/>
      <c r="BKL4" s="3469"/>
      <c r="BKM4" s="3469"/>
      <c r="BKN4" s="3469"/>
      <c r="BKO4" s="3469"/>
      <c r="BKP4" s="3469"/>
      <c r="BKQ4" s="3469"/>
      <c r="BKR4" s="3469"/>
      <c r="BKS4" s="3469"/>
      <c r="BKT4" s="3469"/>
      <c r="BKU4" s="3469"/>
      <c r="BKV4" s="3469"/>
      <c r="BKW4" s="3469"/>
      <c r="BKX4" s="3469"/>
      <c r="BKY4" s="3469"/>
      <c r="BKZ4" s="3469"/>
      <c r="BLA4" s="3469"/>
      <c r="BLB4" s="3469"/>
      <c r="BLC4" s="3469"/>
      <c r="BLD4" s="3469"/>
      <c r="BLE4" s="3469"/>
      <c r="BLF4" s="3469"/>
      <c r="BLG4" s="3469"/>
      <c r="BLH4" s="3469"/>
      <c r="BLI4" s="3469"/>
      <c r="BLJ4" s="3469"/>
      <c r="BLK4" s="3469"/>
      <c r="BLL4" s="3469"/>
      <c r="BLM4" s="3469"/>
      <c r="BLN4" s="3469"/>
      <c r="BLO4" s="3469"/>
      <c r="BLP4" s="3469"/>
      <c r="BLQ4" s="3469"/>
      <c r="BLR4" s="3469"/>
      <c r="BLS4" s="3469"/>
      <c r="BLT4" s="3469"/>
      <c r="BLU4" s="3469"/>
      <c r="BLV4" s="3469"/>
      <c r="BLW4" s="3469"/>
      <c r="BLX4" s="3469"/>
      <c r="BLY4" s="3469"/>
      <c r="BLZ4" s="3469"/>
      <c r="BMA4" s="3469"/>
      <c r="BMB4" s="3469"/>
      <c r="BMC4" s="3469"/>
      <c r="BMD4" s="3469"/>
      <c r="BME4" s="3469"/>
      <c r="BMF4" s="3469"/>
      <c r="BMG4" s="3469"/>
      <c r="BMH4" s="3469"/>
      <c r="BMI4" s="3469"/>
      <c r="BMJ4" s="3469"/>
      <c r="BMK4" s="3469"/>
      <c r="BML4" s="3469"/>
      <c r="BMM4" s="3469"/>
      <c r="BMN4" s="3469"/>
      <c r="BMO4" s="3469"/>
      <c r="BMP4" s="3469"/>
      <c r="BMQ4" s="3469"/>
      <c r="BMR4" s="3469"/>
      <c r="BMS4" s="3469"/>
      <c r="BMT4" s="3469"/>
      <c r="BMU4" s="3469"/>
      <c r="BMV4" s="3469"/>
      <c r="BMW4" s="3469"/>
      <c r="BMX4" s="3469"/>
      <c r="BMY4" s="3469"/>
      <c r="BMZ4" s="3469"/>
      <c r="BNA4" s="3469"/>
      <c r="BNB4" s="3469"/>
      <c r="BNC4" s="3469"/>
      <c r="BND4" s="3469"/>
      <c r="BNE4" s="3469"/>
      <c r="BNF4" s="3469"/>
      <c r="BNG4" s="3469"/>
      <c r="BNH4" s="3469"/>
      <c r="BNI4" s="3469"/>
      <c r="BNJ4" s="3469"/>
      <c r="BNK4" s="3469"/>
      <c r="BNL4" s="3469"/>
      <c r="BNM4" s="3469"/>
      <c r="BNN4" s="3469"/>
      <c r="BNO4" s="3469"/>
      <c r="BNP4" s="3469"/>
      <c r="BNQ4" s="3469"/>
      <c r="BNR4" s="3469"/>
      <c r="BNS4" s="3469"/>
      <c r="BNT4" s="3469"/>
      <c r="BNU4" s="3469"/>
      <c r="BNV4" s="3469"/>
      <c r="BNW4" s="3469"/>
      <c r="BNX4" s="3469"/>
      <c r="BNY4" s="3469"/>
      <c r="BNZ4" s="3469"/>
      <c r="BOA4" s="3469"/>
      <c r="BOB4" s="3469"/>
      <c r="BOC4" s="3469"/>
      <c r="BOD4" s="3469"/>
      <c r="BOE4" s="3469"/>
      <c r="BOF4" s="3469"/>
      <c r="BOG4" s="3469"/>
      <c r="BOH4" s="3469"/>
      <c r="BOI4" s="3469"/>
      <c r="BOJ4" s="3469"/>
      <c r="BOK4" s="3469"/>
      <c r="BOL4" s="3469"/>
      <c r="BOM4" s="3469"/>
      <c r="BON4" s="3469"/>
      <c r="BOO4" s="3469"/>
      <c r="BOP4" s="3469"/>
      <c r="BOQ4" s="3469"/>
      <c r="BOR4" s="3469"/>
      <c r="BOS4" s="3469"/>
      <c r="BOT4" s="3469"/>
      <c r="BOU4" s="3469"/>
      <c r="BOV4" s="3469"/>
      <c r="BOW4" s="3469"/>
      <c r="BOX4" s="3469"/>
      <c r="BOY4" s="3469"/>
      <c r="BOZ4" s="3469"/>
      <c r="BPA4" s="3469"/>
      <c r="BPB4" s="3469"/>
      <c r="BPC4" s="3469"/>
      <c r="BPD4" s="3469"/>
      <c r="BPE4" s="3469"/>
      <c r="BPF4" s="3469"/>
      <c r="BPG4" s="3469"/>
      <c r="BPH4" s="3469"/>
      <c r="BPI4" s="3469"/>
      <c r="BPJ4" s="3469"/>
      <c r="BPK4" s="3469"/>
      <c r="BPL4" s="3469"/>
      <c r="BPM4" s="3469"/>
      <c r="BPN4" s="3469"/>
      <c r="BPO4" s="3469"/>
      <c r="BPP4" s="3469"/>
      <c r="BPQ4" s="3469"/>
      <c r="BPR4" s="3469"/>
      <c r="BPS4" s="3469"/>
      <c r="BPT4" s="3469"/>
      <c r="BPU4" s="3469"/>
      <c r="BPV4" s="3469"/>
      <c r="BPW4" s="3469"/>
      <c r="BPX4" s="3469"/>
      <c r="BPY4" s="3469"/>
      <c r="BPZ4" s="3469"/>
      <c r="BQA4" s="3469"/>
      <c r="BQB4" s="3469"/>
      <c r="BQC4" s="3469"/>
      <c r="BQD4" s="3469"/>
      <c r="BQE4" s="3469"/>
      <c r="BQF4" s="3469"/>
      <c r="BQG4" s="3469"/>
      <c r="BQH4" s="3469"/>
      <c r="BQI4" s="3469"/>
      <c r="BQJ4" s="3469"/>
      <c r="BQK4" s="3469"/>
      <c r="BQL4" s="3469"/>
      <c r="BQM4" s="3469"/>
      <c r="BQN4" s="3469"/>
      <c r="BQO4" s="3469"/>
      <c r="BQP4" s="3469"/>
      <c r="BQQ4" s="3469"/>
      <c r="BQR4" s="3469"/>
      <c r="BQS4" s="3469"/>
      <c r="BQT4" s="3469"/>
      <c r="BQU4" s="3469"/>
      <c r="BQV4" s="3469"/>
      <c r="BQW4" s="3469"/>
      <c r="BQX4" s="3469"/>
      <c r="BQY4" s="3469"/>
      <c r="BQZ4" s="3469"/>
      <c r="BRA4" s="3469"/>
      <c r="BRB4" s="3469"/>
      <c r="BRC4" s="3469"/>
      <c r="BRD4" s="3469"/>
      <c r="BRE4" s="3469"/>
      <c r="BRF4" s="3469"/>
      <c r="BRG4" s="3469"/>
      <c r="BRH4" s="3469"/>
      <c r="BRI4" s="3469"/>
      <c r="BRJ4" s="3469"/>
      <c r="BRK4" s="3469"/>
      <c r="BRL4" s="3469"/>
      <c r="BRM4" s="3469"/>
      <c r="BRN4" s="3469"/>
      <c r="BRO4" s="3469"/>
      <c r="BRP4" s="3469"/>
      <c r="BRQ4" s="3469"/>
      <c r="BRR4" s="3469"/>
      <c r="BRS4" s="3469"/>
      <c r="BRT4" s="3469"/>
      <c r="BRU4" s="3469"/>
      <c r="BRV4" s="3469"/>
      <c r="BRW4" s="3469"/>
      <c r="BRX4" s="3469"/>
      <c r="BRY4" s="3469"/>
      <c r="BRZ4" s="3469"/>
      <c r="BSA4" s="3469"/>
      <c r="BSB4" s="3469"/>
      <c r="BSC4" s="3469"/>
      <c r="BSD4" s="3469"/>
      <c r="BSE4" s="3469"/>
      <c r="BSF4" s="3469"/>
      <c r="BSG4" s="3469"/>
      <c r="BSH4" s="3469"/>
      <c r="BSI4" s="3469"/>
      <c r="BSJ4" s="3469"/>
      <c r="BSK4" s="3469"/>
      <c r="BSL4" s="3469"/>
      <c r="BSM4" s="3469"/>
      <c r="BSN4" s="3469"/>
      <c r="BSO4" s="3469"/>
      <c r="BSP4" s="3469"/>
      <c r="BSQ4" s="3469"/>
      <c r="BSR4" s="3469"/>
      <c r="BSS4" s="3469"/>
      <c r="BST4" s="3469"/>
      <c r="BSU4" s="3469"/>
      <c r="BSV4" s="3469"/>
      <c r="BSW4" s="3469"/>
      <c r="BSX4" s="3469"/>
      <c r="BSY4" s="3469"/>
      <c r="BSZ4" s="3469"/>
      <c r="BTA4" s="3469"/>
      <c r="BTB4" s="3469"/>
      <c r="BTC4" s="3469"/>
      <c r="BTD4" s="3469"/>
      <c r="BTE4" s="3469"/>
      <c r="BTF4" s="3469"/>
      <c r="BTG4" s="3469"/>
      <c r="BTH4" s="3469"/>
      <c r="BTI4" s="3469"/>
      <c r="BTJ4" s="3469"/>
      <c r="BTK4" s="3469"/>
      <c r="BTL4" s="3469"/>
      <c r="BTM4" s="3469"/>
      <c r="BTN4" s="3469"/>
      <c r="BTO4" s="3469"/>
      <c r="BTP4" s="3469"/>
      <c r="BTQ4" s="3469"/>
      <c r="BTR4" s="3469"/>
      <c r="BTS4" s="3469"/>
      <c r="BTT4" s="3469"/>
      <c r="BTU4" s="3469"/>
      <c r="BTV4" s="3469"/>
      <c r="BTW4" s="3469"/>
      <c r="BTX4" s="3469"/>
      <c r="BTY4" s="3469"/>
      <c r="BTZ4" s="3469"/>
      <c r="BUA4" s="3469"/>
      <c r="BUB4" s="3469"/>
      <c r="BUC4" s="3469"/>
      <c r="BUD4" s="3469"/>
      <c r="BUE4" s="3469"/>
      <c r="BUF4" s="3469"/>
      <c r="BUG4" s="3469"/>
      <c r="BUH4" s="3469"/>
      <c r="BUI4" s="3469"/>
      <c r="BUJ4" s="3469"/>
      <c r="BUK4" s="3469"/>
      <c r="BUL4" s="3469"/>
      <c r="BUM4" s="3469"/>
      <c r="BUN4" s="3469"/>
      <c r="BUO4" s="3469"/>
      <c r="BUP4" s="3469"/>
      <c r="BUQ4" s="3469"/>
      <c r="BUR4" s="3469"/>
      <c r="BUS4" s="3469"/>
      <c r="BUT4" s="3469"/>
      <c r="BUU4" s="3469"/>
      <c r="BUV4" s="3469"/>
      <c r="BUW4" s="3469"/>
      <c r="BUX4" s="3469"/>
      <c r="BUY4" s="3469"/>
      <c r="BUZ4" s="3469"/>
      <c r="BVA4" s="3469"/>
      <c r="BVB4" s="3469"/>
      <c r="BVC4" s="3469"/>
      <c r="BVD4" s="3469"/>
      <c r="BVE4" s="3469"/>
      <c r="BVF4" s="3469"/>
      <c r="BVG4" s="3469"/>
      <c r="BVH4" s="3469"/>
      <c r="BVI4" s="3469"/>
      <c r="BVJ4" s="3469"/>
      <c r="BVK4" s="3469"/>
      <c r="BVL4" s="3469"/>
      <c r="BVM4" s="3469"/>
      <c r="BVN4" s="3469"/>
      <c r="BVO4" s="3469"/>
      <c r="BVP4" s="3469"/>
      <c r="BVQ4" s="3469"/>
      <c r="BVR4" s="3469"/>
      <c r="BVS4" s="3469"/>
      <c r="BVT4" s="3469"/>
      <c r="BVU4" s="3469"/>
      <c r="BVV4" s="3469"/>
      <c r="BVW4" s="3469"/>
      <c r="BVX4" s="3469"/>
      <c r="BVY4" s="3469"/>
      <c r="BVZ4" s="3469"/>
      <c r="BWA4" s="3469"/>
      <c r="BWB4" s="3469"/>
      <c r="BWC4" s="3469"/>
      <c r="BWD4" s="3469"/>
      <c r="BWE4" s="3469"/>
      <c r="BWF4" s="3469"/>
      <c r="BWG4" s="3469"/>
      <c r="BWH4" s="3469"/>
      <c r="BWI4" s="3469"/>
      <c r="BWJ4" s="3469"/>
      <c r="BWK4" s="3469"/>
      <c r="BWL4" s="3469"/>
      <c r="BWM4" s="3469"/>
      <c r="BWN4" s="3469"/>
      <c r="BWO4" s="3469"/>
      <c r="BWP4" s="3469"/>
      <c r="BWQ4" s="3469"/>
      <c r="BWR4" s="3469"/>
      <c r="BWS4" s="3469"/>
      <c r="BWT4" s="3469"/>
      <c r="BWU4" s="3469"/>
      <c r="BWV4" s="3469"/>
      <c r="BWW4" s="3469"/>
      <c r="BWX4" s="3469"/>
      <c r="BWY4" s="3469"/>
      <c r="BWZ4" s="3469"/>
      <c r="BXA4" s="3469"/>
      <c r="BXB4" s="3469"/>
      <c r="BXC4" s="3469"/>
      <c r="BXD4" s="3469"/>
      <c r="BXE4" s="3469"/>
      <c r="BXF4" s="3469"/>
      <c r="BXG4" s="3469"/>
      <c r="BXH4" s="3469"/>
      <c r="BXI4" s="3469"/>
      <c r="BXJ4" s="3469"/>
      <c r="BXK4" s="3469"/>
      <c r="BXL4" s="3469"/>
      <c r="BXM4" s="3469"/>
      <c r="BXN4" s="3469"/>
      <c r="BXO4" s="3469"/>
      <c r="BXP4" s="3469"/>
      <c r="BXQ4" s="3469"/>
      <c r="BXR4" s="3469"/>
      <c r="BXS4" s="3469"/>
      <c r="BXT4" s="3469"/>
      <c r="BXU4" s="3469"/>
      <c r="BXV4" s="3469"/>
      <c r="BXW4" s="3469"/>
      <c r="BXX4" s="3469"/>
      <c r="BXY4" s="3469"/>
      <c r="BXZ4" s="3469"/>
      <c r="BYA4" s="3469"/>
      <c r="BYB4" s="3469"/>
      <c r="BYC4" s="3469"/>
      <c r="BYD4" s="3469"/>
      <c r="BYE4" s="3469"/>
      <c r="BYF4" s="3469"/>
      <c r="BYG4" s="3469"/>
      <c r="BYH4" s="3469"/>
      <c r="BYI4" s="3469"/>
      <c r="BYJ4" s="3469"/>
      <c r="BYK4" s="3469"/>
      <c r="BYL4" s="3469"/>
      <c r="BYM4" s="3469"/>
      <c r="BYN4" s="3469"/>
      <c r="BYO4" s="3469"/>
      <c r="BYP4" s="3469"/>
      <c r="BYQ4" s="3469"/>
      <c r="BYR4" s="3469"/>
      <c r="BYS4" s="3469"/>
      <c r="BYT4" s="3469"/>
      <c r="BYU4" s="3469"/>
      <c r="BYV4" s="3469"/>
      <c r="BYW4" s="3469"/>
      <c r="BYX4" s="3469"/>
      <c r="BYY4" s="3469"/>
      <c r="BYZ4" s="3469"/>
      <c r="BZA4" s="3469"/>
      <c r="BZB4" s="3469"/>
      <c r="BZC4" s="3469"/>
      <c r="BZD4" s="3469"/>
      <c r="BZE4" s="3469"/>
      <c r="BZF4" s="3469"/>
      <c r="BZG4" s="3469"/>
      <c r="BZH4" s="3469"/>
      <c r="BZI4" s="3469"/>
      <c r="BZJ4" s="3469"/>
      <c r="BZK4" s="3469"/>
      <c r="BZL4" s="3469"/>
      <c r="BZM4" s="3469"/>
      <c r="BZN4" s="3469"/>
      <c r="BZO4" s="3469"/>
      <c r="BZP4" s="3469"/>
      <c r="BZQ4" s="3469"/>
      <c r="BZR4" s="3469"/>
      <c r="BZS4" s="3469"/>
      <c r="BZT4" s="3469"/>
      <c r="BZU4" s="3469"/>
      <c r="BZV4" s="3469"/>
      <c r="BZW4" s="3469"/>
      <c r="BZX4" s="3469"/>
      <c r="BZY4" s="3469"/>
      <c r="BZZ4" s="3469"/>
      <c r="CAA4" s="3469"/>
      <c r="CAB4" s="3469"/>
      <c r="CAC4" s="3469"/>
      <c r="CAD4" s="3469"/>
      <c r="CAE4" s="3469"/>
      <c r="CAF4" s="3469"/>
      <c r="CAG4" s="3469"/>
      <c r="CAH4" s="3469"/>
      <c r="CAI4" s="3469"/>
      <c r="CAJ4" s="3469"/>
      <c r="CAK4" s="3469"/>
      <c r="CAL4" s="3469"/>
      <c r="CAM4" s="3469"/>
      <c r="CAN4" s="3469"/>
      <c r="CAO4" s="3469"/>
      <c r="CAP4" s="3469"/>
      <c r="CAQ4" s="3469"/>
      <c r="CAR4" s="3469"/>
      <c r="CAS4" s="3469"/>
      <c r="CAT4" s="3469"/>
      <c r="CAU4" s="3469"/>
      <c r="CAV4" s="3469"/>
      <c r="CAW4" s="3469"/>
      <c r="CAX4" s="3469"/>
      <c r="CAY4" s="3469"/>
      <c r="CAZ4" s="3469"/>
      <c r="CBA4" s="3469"/>
      <c r="CBB4" s="3469"/>
      <c r="CBC4" s="3469"/>
      <c r="CBD4" s="3469"/>
      <c r="CBE4" s="3469"/>
      <c r="CBF4" s="3469"/>
      <c r="CBG4" s="3469"/>
      <c r="CBH4" s="3469"/>
      <c r="CBI4" s="3469"/>
      <c r="CBJ4" s="3469"/>
      <c r="CBK4" s="3469"/>
      <c r="CBL4" s="3469"/>
      <c r="CBM4" s="3469"/>
      <c r="CBN4" s="3469"/>
      <c r="CBO4" s="3469"/>
      <c r="CBP4" s="3469"/>
      <c r="CBQ4" s="3469"/>
      <c r="CBR4" s="3469"/>
      <c r="CBS4" s="3469"/>
      <c r="CBT4" s="3469"/>
      <c r="CBU4" s="3469"/>
      <c r="CBV4" s="3469"/>
      <c r="CBW4" s="3469"/>
      <c r="CBX4" s="3469"/>
      <c r="CBY4" s="3469"/>
      <c r="CBZ4" s="3469"/>
      <c r="CCA4" s="3469"/>
      <c r="CCB4" s="3469"/>
      <c r="CCC4" s="3469"/>
      <c r="CCD4" s="3469"/>
      <c r="CCE4" s="3469"/>
      <c r="CCF4" s="3469"/>
      <c r="CCG4" s="3469"/>
      <c r="CCH4" s="3469"/>
      <c r="CCI4" s="3469"/>
      <c r="CCJ4" s="3469"/>
      <c r="CCK4" s="3469"/>
      <c r="CCL4" s="3469"/>
      <c r="CCM4" s="3469"/>
      <c r="CCN4" s="3469"/>
      <c r="CCO4" s="3469"/>
      <c r="CCP4" s="3469"/>
      <c r="CCQ4" s="3469"/>
      <c r="CCR4" s="3469"/>
      <c r="CCS4" s="3469"/>
      <c r="CCT4" s="3469"/>
      <c r="CCU4" s="3469"/>
      <c r="CCV4" s="3469"/>
      <c r="CCW4" s="3469"/>
      <c r="CCX4" s="3469"/>
      <c r="CCY4" s="3469"/>
      <c r="CCZ4" s="3469"/>
      <c r="CDA4" s="3469"/>
      <c r="CDB4" s="3469"/>
      <c r="CDC4" s="3469"/>
      <c r="CDD4" s="3469"/>
      <c r="CDE4" s="3469"/>
      <c r="CDF4" s="3469"/>
      <c r="CDG4" s="3469"/>
      <c r="CDH4" s="3469"/>
      <c r="CDI4" s="3469"/>
      <c r="CDJ4" s="3469"/>
      <c r="CDK4" s="3469"/>
      <c r="CDL4" s="3469"/>
      <c r="CDM4" s="3469"/>
      <c r="CDN4" s="3469"/>
      <c r="CDO4" s="3469"/>
      <c r="CDP4" s="3469"/>
      <c r="CDQ4" s="3469"/>
      <c r="CDR4" s="3469"/>
      <c r="CDS4" s="3469"/>
      <c r="CDT4" s="3469"/>
      <c r="CDU4" s="3469"/>
      <c r="CDV4" s="3469"/>
      <c r="CDW4" s="3469"/>
      <c r="CDX4" s="3469"/>
      <c r="CDY4" s="3469"/>
      <c r="CDZ4" s="3469"/>
      <c r="CEA4" s="3469"/>
      <c r="CEB4" s="3469"/>
      <c r="CEC4" s="3469"/>
      <c r="CED4" s="3469"/>
      <c r="CEE4" s="3469"/>
      <c r="CEF4" s="3469"/>
      <c r="CEG4" s="3469"/>
      <c r="CEH4" s="3469"/>
      <c r="CEI4" s="3469"/>
      <c r="CEJ4" s="3469"/>
      <c r="CEK4" s="3469"/>
      <c r="CEL4" s="3469"/>
      <c r="CEM4" s="3469"/>
      <c r="CEN4" s="3469"/>
      <c r="CEO4" s="3469"/>
      <c r="CEP4" s="3469"/>
      <c r="CEQ4" s="3469"/>
      <c r="CER4" s="3469"/>
      <c r="CES4" s="3469"/>
      <c r="CET4" s="3469"/>
      <c r="CEU4" s="3469"/>
      <c r="CEV4" s="3469"/>
      <c r="CEW4" s="3469"/>
      <c r="CEX4" s="3469"/>
      <c r="CEY4" s="3469"/>
      <c r="CEZ4" s="3469"/>
      <c r="CFA4" s="3469"/>
      <c r="CFB4" s="3469"/>
      <c r="CFC4" s="3469"/>
      <c r="CFD4" s="3469"/>
      <c r="CFE4" s="3469"/>
      <c r="CFF4" s="3469"/>
      <c r="CFG4" s="3469"/>
      <c r="CFH4" s="3469"/>
      <c r="CFI4" s="3469"/>
      <c r="CFJ4" s="3469"/>
      <c r="CFK4" s="3469"/>
      <c r="CFL4" s="3469"/>
      <c r="CFM4" s="3469"/>
      <c r="CFN4" s="3469"/>
      <c r="CFO4" s="3469"/>
      <c r="CFP4" s="3469"/>
      <c r="CFQ4" s="3469"/>
      <c r="CFR4" s="3469"/>
      <c r="CFS4" s="3469"/>
      <c r="CFT4" s="3469"/>
      <c r="CFU4" s="3469"/>
      <c r="CFV4" s="3469"/>
      <c r="CFW4" s="3469"/>
      <c r="CFX4" s="3469"/>
      <c r="CFY4" s="3469"/>
      <c r="CFZ4" s="3469"/>
      <c r="CGA4" s="3469"/>
      <c r="CGB4" s="3469"/>
      <c r="CGC4" s="3469"/>
      <c r="CGD4" s="3469"/>
      <c r="CGE4" s="3469"/>
      <c r="CGF4" s="3469"/>
      <c r="CGG4" s="3469"/>
      <c r="CGH4" s="3469"/>
      <c r="CGI4" s="3469"/>
      <c r="CGJ4" s="3469"/>
      <c r="CGK4" s="3469"/>
      <c r="CGL4" s="3469"/>
      <c r="CGM4" s="3469"/>
      <c r="CGN4" s="3469"/>
      <c r="CGO4" s="3469"/>
      <c r="CGP4" s="3469"/>
      <c r="CGQ4" s="3469"/>
      <c r="CGR4" s="3469"/>
      <c r="CGS4" s="3469"/>
      <c r="CGT4" s="3469"/>
      <c r="CGU4" s="3469"/>
      <c r="CGV4" s="3469"/>
      <c r="CGW4" s="3469"/>
      <c r="CGX4" s="3469"/>
      <c r="CGY4" s="3469"/>
      <c r="CGZ4" s="3469"/>
      <c r="CHA4" s="3469"/>
      <c r="CHB4" s="3469"/>
      <c r="CHC4" s="3469"/>
      <c r="CHD4" s="3469"/>
      <c r="CHE4" s="3469"/>
      <c r="CHF4" s="3469"/>
      <c r="CHG4" s="3469"/>
      <c r="CHH4" s="3469"/>
      <c r="CHI4" s="3469"/>
      <c r="CHJ4" s="3469"/>
      <c r="CHK4" s="3469"/>
      <c r="CHL4" s="3469"/>
      <c r="CHM4" s="3469"/>
      <c r="CHN4" s="3469"/>
      <c r="CHO4" s="3469"/>
      <c r="CHP4" s="3469"/>
      <c r="CHQ4" s="3469"/>
      <c r="CHR4" s="3469"/>
      <c r="CHS4" s="3469"/>
      <c r="CHT4" s="3469"/>
      <c r="CHU4" s="3469"/>
      <c r="CHV4" s="3469"/>
      <c r="CHW4" s="3469"/>
      <c r="CHX4" s="3469"/>
      <c r="CHY4" s="3469"/>
      <c r="CHZ4" s="3469"/>
      <c r="CIA4" s="3469"/>
      <c r="CIB4" s="3469"/>
      <c r="CIC4" s="3469"/>
      <c r="CID4" s="3469"/>
      <c r="CIE4" s="3469"/>
      <c r="CIF4" s="3469"/>
      <c r="CIG4" s="3469"/>
      <c r="CIH4" s="3469"/>
      <c r="CII4" s="3469"/>
      <c r="CIJ4" s="3469"/>
      <c r="CIK4" s="3469"/>
      <c r="CIL4" s="3469"/>
      <c r="CIM4" s="3469"/>
      <c r="CIN4" s="3469"/>
      <c r="CIO4" s="3469"/>
      <c r="CIP4" s="3469"/>
      <c r="CIQ4" s="3469"/>
      <c r="CIR4" s="3469"/>
      <c r="CIS4" s="3469"/>
      <c r="CIT4" s="3469"/>
      <c r="CIU4" s="3469"/>
      <c r="CIV4" s="3469"/>
      <c r="CIW4" s="3469"/>
      <c r="CIX4" s="3469"/>
      <c r="CIY4" s="3469"/>
      <c r="CIZ4" s="3469"/>
      <c r="CJA4" s="3469"/>
      <c r="CJB4" s="3469"/>
      <c r="CJC4" s="3469"/>
      <c r="CJD4" s="3469"/>
      <c r="CJE4" s="3469"/>
      <c r="CJF4" s="3469"/>
      <c r="CJG4" s="3469"/>
      <c r="CJH4" s="3469"/>
      <c r="CJI4" s="3469"/>
      <c r="CJJ4" s="3469"/>
      <c r="CJK4" s="3469"/>
      <c r="CJL4" s="3469"/>
      <c r="CJM4" s="3469"/>
      <c r="CJN4" s="3469"/>
      <c r="CJO4" s="3469"/>
      <c r="CJP4" s="3469"/>
      <c r="CJQ4" s="3469"/>
      <c r="CJR4" s="3469"/>
      <c r="CJS4" s="3469"/>
      <c r="CJT4" s="3469"/>
      <c r="CJU4" s="3469"/>
      <c r="CJV4" s="3469"/>
      <c r="CJW4" s="3469"/>
      <c r="CJX4" s="3469"/>
      <c r="CJY4" s="3469"/>
      <c r="CJZ4" s="3469"/>
      <c r="CKA4" s="3469"/>
      <c r="CKB4" s="3469"/>
      <c r="CKC4" s="3469"/>
      <c r="CKD4" s="3469"/>
      <c r="CKE4" s="3469"/>
      <c r="CKF4" s="3469"/>
      <c r="CKG4" s="3469"/>
      <c r="CKH4" s="3469"/>
      <c r="CKI4" s="3469"/>
      <c r="CKJ4" s="3469"/>
      <c r="CKK4" s="3469"/>
      <c r="CKL4" s="3469"/>
      <c r="CKM4" s="3469"/>
      <c r="CKN4" s="3469"/>
      <c r="CKO4" s="3469"/>
      <c r="CKP4" s="3469"/>
      <c r="CKQ4" s="3469"/>
      <c r="CKR4" s="3469"/>
      <c r="CKS4" s="3469"/>
      <c r="CKT4" s="3469"/>
      <c r="CKU4" s="3469"/>
      <c r="CKV4" s="3469"/>
      <c r="CKW4" s="3469"/>
      <c r="CKX4" s="3469"/>
      <c r="CKY4" s="3469"/>
      <c r="CKZ4" s="3469"/>
      <c r="CLA4" s="3469"/>
      <c r="CLB4" s="3469"/>
      <c r="CLC4" s="3469"/>
      <c r="CLD4" s="3469"/>
      <c r="CLE4" s="3469"/>
      <c r="CLF4" s="3469"/>
      <c r="CLG4" s="3469"/>
      <c r="CLH4" s="3469"/>
      <c r="CLI4" s="3469"/>
      <c r="CLJ4" s="3469"/>
      <c r="CLK4" s="3469"/>
      <c r="CLL4" s="3469"/>
      <c r="CLM4" s="3469"/>
      <c r="CLN4" s="3469"/>
      <c r="CLO4" s="3469"/>
      <c r="CLP4" s="3469"/>
      <c r="CLQ4" s="3469"/>
      <c r="CLR4" s="3469"/>
      <c r="CLS4" s="3469"/>
      <c r="CLT4" s="3469"/>
      <c r="CLU4" s="3469"/>
      <c r="CLV4" s="3469"/>
      <c r="CLW4" s="3469"/>
      <c r="CLX4" s="3469"/>
      <c r="CLY4" s="3469"/>
      <c r="CLZ4" s="3469"/>
      <c r="CMA4" s="3469"/>
      <c r="CMB4" s="3469"/>
      <c r="CMC4" s="3469"/>
      <c r="CMD4" s="3469"/>
      <c r="CME4" s="3469"/>
      <c r="CMF4" s="3469"/>
      <c r="CMG4" s="3469"/>
      <c r="CMH4" s="3469"/>
      <c r="CMI4" s="3469"/>
      <c r="CMJ4" s="3469"/>
      <c r="CMK4" s="3469"/>
      <c r="CML4" s="3469"/>
      <c r="CMM4" s="3469"/>
      <c r="CMN4" s="3469"/>
      <c r="CMO4" s="3469"/>
      <c r="CMP4" s="3469"/>
      <c r="CMQ4" s="3469"/>
      <c r="CMR4" s="3469"/>
      <c r="CMS4" s="3469"/>
      <c r="CMT4" s="3469"/>
      <c r="CMU4" s="3469"/>
      <c r="CMV4" s="3469"/>
      <c r="CMW4" s="3469"/>
      <c r="CMX4" s="3469"/>
      <c r="CMY4" s="3469"/>
      <c r="CMZ4" s="3469"/>
      <c r="CNA4" s="3469"/>
      <c r="CNB4" s="3469"/>
      <c r="CNC4" s="3469"/>
      <c r="CND4" s="3469"/>
      <c r="CNE4" s="3469"/>
      <c r="CNF4" s="3469"/>
      <c r="CNG4" s="3469"/>
      <c r="CNH4" s="3469"/>
      <c r="CNI4" s="3469"/>
      <c r="CNJ4" s="3469"/>
      <c r="CNK4" s="3469"/>
      <c r="CNL4" s="3469"/>
      <c r="CNM4" s="3469"/>
      <c r="CNN4" s="3469"/>
      <c r="CNO4" s="3469"/>
      <c r="CNP4" s="3469"/>
      <c r="CNQ4" s="3469"/>
      <c r="CNR4" s="3469"/>
      <c r="CNS4" s="3469"/>
      <c r="CNT4" s="3469"/>
      <c r="CNU4" s="3469"/>
      <c r="CNV4" s="3469"/>
      <c r="CNW4" s="3469"/>
      <c r="CNX4" s="3469"/>
      <c r="CNY4" s="3469"/>
      <c r="CNZ4" s="3469"/>
      <c r="COA4" s="3469"/>
      <c r="COB4" s="3469"/>
      <c r="COC4" s="3469"/>
      <c r="COD4" s="3469"/>
      <c r="COE4" s="3469"/>
      <c r="COF4" s="3469"/>
      <c r="COG4" s="3469"/>
      <c r="COH4" s="3469"/>
      <c r="COI4" s="3469"/>
      <c r="COJ4" s="3469"/>
      <c r="COK4" s="3469"/>
      <c r="COL4" s="3469"/>
      <c r="COM4" s="3469"/>
      <c r="CON4" s="3469"/>
      <c r="COO4" s="3469"/>
      <c r="COP4" s="3469"/>
      <c r="COQ4" s="3469"/>
      <c r="COR4" s="3469"/>
      <c r="COS4" s="3469"/>
      <c r="COT4" s="3469"/>
      <c r="COU4" s="3469"/>
      <c r="COV4" s="3469"/>
      <c r="COW4" s="3469"/>
      <c r="COX4" s="3469"/>
      <c r="COY4" s="3469"/>
      <c r="COZ4" s="3469"/>
      <c r="CPA4" s="3469"/>
      <c r="CPB4" s="3469"/>
      <c r="CPC4" s="3469"/>
      <c r="CPD4" s="3469"/>
      <c r="CPE4" s="3469"/>
      <c r="CPF4" s="3469"/>
      <c r="CPG4" s="3469"/>
      <c r="CPH4" s="3469"/>
      <c r="CPI4" s="3469"/>
      <c r="CPJ4" s="3469"/>
      <c r="CPK4" s="3469"/>
      <c r="CPL4" s="3469"/>
      <c r="CPM4" s="3469"/>
      <c r="CPN4" s="3469"/>
      <c r="CPO4" s="3469"/>
      <c r="CPP4" s="3469"/>
      <c r="CPQ4" s="3469"/>
      <c r="CPR4" s="3469"/>
      <c r="CPS4" s="3469"/>
      <c r="CPT4" s="3469"/>
      <c r="CPU4" s="3469"/>
      <c r="CPV4" s="3469"/>
      <c r="CPW4" s="3469"/>
      <c r="CPX4" s="3469"/>
      <c r="CPY4" s="3469"/>
      <c r="CPZ4" s="3469"/>
      <c r="CQA4" s="3469"/>
      <c r="CQB4" s="3469"/>
      <c r="CQC4" s="3469"/>
      <c r="CQD4" s="3469"/>
      <c r="CQE4" s="3469"/>
      <c r="CQF4" s="3469"/>
      <c r="CQG4" s="3469"/>
      <c r="CQH4" s="3469"/>
      <c r="CQI4" s="3469"/>
      <c r="CQJ4" s="3469"/>
      <c r="CQK4" s="3469"/>
      <c r="CQL4" s="3469"/>
      <c r="CQM4" s="3469"/>
      <c r="CQN4" s="3469"/>
      <c r="CQO4" s="3469"/>
      <c r="CQP4" s="3469"/>
      <c r="CQQ4" s="3469"/>
      <c r="CQR4" s="3469"/>
      <c r="CQS4" s="3469"/>
      <c r="CQT4" s="3469"/>
      <c r="CQU4" s="3469"/>
      <c r="CQV4" s="3469"/>
      <c r="CQW4" s="3469"/>
      <c r="CQX4" s="3469"/>
      <c r="CQY4" s="3469"/>
      <c r="CQZ4" s="3469"/>
      <c r="CRA4" s="3469"/>
      <c r="CRB4" s="3469"/>
      <c r="CRC4" s="3469"/>
      <c r="CRD4" s="3469"/>
      <c r="CRE4" s="3469"/>
      <c r="CRF4" s="3469"/>
      <c r="CRG4" s="3469"/>
      <c r="CRH4" s="3469"/>
      <c r="CRI4" s="3469"/>
      <c r="CRJ4" s="3469"/>
      <c r="CRK4" s="3469"/>
      <c r="CRL4" s="3469"/>
      <c r="CRM4" s="3469"/>
      <c r="CRN4" s="3469"/>
      <c r="CRO4" s="3469"/>
      <c r="CRP4" s="3469"/>
      <c r="CRQ4" s="3469"/>
      <c r="CRR4" s="3469"/>
      <c r="CRS4" s="3469"/>
      <c r="CRT4" s="3469"/>
      <c r="CRU4" s="3469"/>
      <c r="CRV4" s="3469"/>
      <c r="CRW4" s="3469"/>
      <c r="CRX4" s="3469"/>
      <c r="CRY4" s="3469"/>
      <c r="CRZ4" s="3469"/>
      <c r="CSA4" s="3469"/>
      <c r="CSB4" s="3469"/>
      <c r="CSC4" s="3469"/>
      <c r="CSD4" s="3469"/>
      <c r="CSE4" s="3469"/>
      <c r="CSF4" s="3469"/>
      <c r="CSG4" s="3469"/>
      <c r="CSH4" s="3469"/>
      <c r="CSI4" s="3469"/>
      <c r="CSJ4" s="3469"/>
      <c r="CSK4" s="3469"/>
      <c r="CSL4" s="3469"/>
      <c r="CSM4" s="3469"/>
      <c r="CSN4" s="3469"/>
      <c r="CSO4" s="3469"/>
      <c r="CSP4" s="3469"/>
      <c r="CSQ4" s="3469"/>
      <c r="CSR4" s="3469"/>
      <c r="CSS4" s="3469"/>
      <c r="CST4" s="3469"/>
      <c r="CSU4" s="3469"/>
      <c r="CSV4" s="3469"/>
      <c r="CSW4" s="3469"/>
      <c r="CSX4" s="3469"/>
      <c r="CSY4" s="3469"/>
      <c r="CSZ4" s="3469"/>
      <c r="CTA4" s="3469"/>
      <c r="CTB4" s="3469"/>
      <c r="CTC4" s="3469"/>
      <c r="CTD4" s="3469"/>
      <c r="CTE4" s="3469"/>
      <c r="CTF4" s="3469"/>
      <c r="CTG4" s="3469"/>
      <c r="CTH4" s="3469"/>
      <c r="CTI4" s="3469"/>
      <c r="CTJ4" s="3469"/>
      <c r="CTK4" s="3469"/>
      <c r="CTL4" s="3469"/>
      <c r="CTM4" s="3469"/>
      <c r="CTN4" s="3469"/>
      <c r="CTO4" s="3469"/>
      <c r="CTP4" s="3469"/>
      <c r="CTQ4" s="3469"/>
      <c r="CTR4" s="3469"/>
      <c r="CTS4" s="3469"/>
      <c r="CTT4" s="3469"/>
      <c r="CTU4" s="3469"/>
      <c r="CTV4" s="3469"/>
      <c r="CTW4" s="3469"/>
      <c r="CTX4" s="3469"/>
      <c r="CTY4" s="3469"/>
      <c r="CTZ4" s="3469"/>
      <c r="CUA4" s="3469"/>
      <c r="CUB4" s="3469"/>
      <c r="CUC4" s="3469"/>
      <c r="CUD4" s="3469"/>
      <c r="CUE4" s="3469"/>
      <c r="CUF4" s="3469"/>
      <c r="CUG4" s="3469"/>
      <c r="CUH4" s="3469"/>
      <c r="CUI4" s="3469"/>
      <c r="CUJ4" s="3469"/>
      <c r="CUK4" s="3469"/>
      <c r="CUL4" s="3469"/>
      <c r="CUM4" s="3469"/>
      <c r="CUN4" s="3469"/>
      <c r="CUO4" s="3469"/>
      <c r="CUP4" s="3469"/>
      <c r="CUQ4" s="3469"/>
      <c r="CUR4" s="3469"/>
      <c r="CUS4" s="3469"/>
      <c r="CUT4" s="3469"/>
      <c r="CUU4" s="3469"/>
      <c r="CUV4" s="3469"/>
      <c r="CUW4" s="3469"/>
      <c r="CUX4" s="3469"/>
      <c r="CUY4" s="3469"/>
      <c r="CUZ4" s="3469"/>
      <c r="CVA4" s="3469"/>
      <c r="CVB4" s="3469"/>
      <c r="CVC4" s="3469"/>
      <c r="CVD4" s="3469"/>
      <c r="CVE4" s="3469"/>
      <c r="CVF4" s="3469"/>
      <c r="CVG4" s="3469"/>
      <c r="CVH4" s="3469"/>
      <c r="CVI4" s="3469"/>
      <c r="CVJ4" s="3469"/>
      <c r="CVK4" s="3469"/>
      <c r="CVL4" s="3469"/>
      <c r="CVM4" s="3469"/>
      <c r="CVN4" s="3469"/>
      <c r="CVO4" s="3469"/>
      <c r="CVP4" s="3469"/>
      <c r="CVQ4" s="3469"/>
      <c r="CVR4" s="3469"/>
      <c r="CVS4" s="3469"/>
      <c r="CVT4" s="3469"/>
      <c r="CVU4" s="3469"/>
      <c r="CVV4" s="3469"/>
      <c r="CVW4" s="3469"/>
      <c r="CVX4" s="3469"/>
      <c r="CVY4" s="3469"/>
      <c r="CVZ4" s="3469"/>
      <c r="CWA4" s="3469"/>
      <c r="CWB4" s="3469"/>
      <c r="CWC4" s="3469"/>
      <c r="CWD4" s="3469"/>
      <c r="CWE4" s="3469"/>
      <c r="CWF4" s="3469"/>
      <c r="CWG4" s="3469"/>
      <c r="CWH4" s="3469"/>
      <c r="CWI4" s="3469"/>
      <c r="CWJ4" s="3469"/>
      <c r="CWK4" s="3469"/>
      <c r="CWL4" s="3469"/>
      <c r="CWM4" s="3469"/>
      <c r="CWN4" s="3469"/>
      <c r="CWO4" s="3469"/>
      <c r="CWP4" s="3469"/>
      <c r="CWQ4" s="3469"/>
      <c r="CWR4" s="3469"/>
      <c r="CWS4" s="3469"/>
      <c r="CWT4" s="3469"/>
      <c r="CWU4" s="3469"/>
      <c r="CWV4" s="3469"/>
      <c r="CWW4" s="3469"/>
      <c r="CWX4" s="3469"/>
      <c r="CWY4" s="3469"/>
      <c r="CWZ4" s="3469"/>
      <c r="CXA4" s="3469"/>
      <c r="CXB4" s="3469"/>
      <c r="CXC4" s="3469"/>
      <c r="CXD4" s="3469"/>
      <c r="CXE4" s="3469"/>
      <c r="CXF4" s="3469"/>
      <c r="CXG4" s="3469"/>
      <c r="CXH4" s="3469"/>
      <c r="CXI4" s="3469"/>
      <c r="CXJ4" s="3469"/>
      <c r="CXK4" s="3469"/>
      <c r="CXL4" s="3469"/>
      <c r="CXM4" s="3469"/>
      <c r="CXN4" s="3469"/>
      <c r="CXO4" s="3469"/>
      <c r="CXP4" s="3469"/>
      <c r="CXQ4" s="3469"/>
      <c r="CXR4" s="3469"/>
      <c r="CXS4" s="3469"/>
      <c r="CXT4" s="3469"/>
      <c r="CXU4" s="3469"/>
      <c r="CXV4" s="3469"/>
      <c r="CXW4" s="3469"/>
      <c r="CXX4" s="3469"/>
      <c r="CXY4" s="3469"/>
      <c r="CXZ4" s="3469"/>
      <c r="CYA4" s="3469"/>
      <c r="CYB4" s="3469"/>
      <c r="CYC4" s="3469"/>
      <c r="CYD4" s="3469"/>
      <c r="CYE4" s="3469"/>
      <c r="CYF4" s="3469"/>
      <c r="CYG4" s="3469"/>
      <c r="CYH4" s="3469"/>
      <c r="CYI4" s="3469"/>
      <c r="CYJ4" s="3469"/>
      <c r="CYK4" s="3469"/>
      <c r="CYL4" s="3469"/>
      <c r="CYM4" s="3469"/>
      <c r="CYN4" s="3469"/>
      <c r="CYO4" s="3469"/>
      <c r="CYP4" s="3469"/>
      <c r="CYQ4" s="3469"/>
      <c r="CYR4" s="3469"/>
      <c r="CYS4" s="3469"/>
      <c r="CYT4" s="3469"/>
      <c r="CYU4" s="3469"/>
      <c r="CYV4" s="3469"/>
      <c r="CYW4" s="3469"/>
      <c r="CYX4" s="3469"/>
      <c r="CYY4" s="3469"/>
      <c r="CYZ4" s="3469"/>
      <c r="CZA4" s="3469"/>
      <c r="CZB4" s="3469"/>
      <c r="CZC4" s="3469"/>
      <c r="CZD4" s="3469"/>
      <c r="CZE4" s="3469"/>
      <c r="CZF4" s="3469"/>
      <c r="CZG4" s="3469"/>
      <c r="CZH4" s="3469"/>
      <c r="CZI4" s="3469"/>
      <c r="CZJ4" s="3469"/>
      <c r="CZK4" s="3469"/>
      <c r="CZL4" s="3469"/>
      <c r="CZM4" s="3469"/>
      <c r="CZN4" s="3469"/>
      <c r="CZO4" s="3469"/>
      <c r="CZP4" s="3469"/>
      <c r="CZQ4" s="3469"/>
      <c r="CZR4" s="3469"/>
      <c r="CZS4" s="3469"/>
      <c r="CZT4" s="3469"/>
      <c r="CZU4" s="3469"/>
      <c r="CZV4" s="3469"/>
      <c r="CZW4" s="3469"/>
      <c r="CZX4" s="3469"/>
      <c r="CZY4" s="3469"/>
      <c r="CZZ4" s="3469"/>
      <c r="DAA4" s="3469"/>
      <c r="DAB4" s="3469"/>
      <c r="DAC4" s="3469"/>
      <c r="DAD4" s="3469"/>
      <c r="DAE4" s="3469"/>
      <c r="DAF4" s="3469"/>
      <c r="DAG4" s="3469"/>
      <c r="DAH4" s="3469"/>
      <c r="DAI4" s="3469"/>
      <c r="DAJ4" s="3469"/>
      <c r="DAK4" s="3469"/>
      <c r="DAL4" s="3469"/>
      <c r="DAM4" s="3469"/>
      <c r="DAN4" s="3469"/>
      <c r="DAO4" s="3469"/>
      <c r="DAP4" s="3469"/>
      <c r="DAQ4" s="3469"/>
      <c r="DAR4" s="3469"/>
      <c r="DAS4" s="3469"/>
      <c r="DAT4" s="3469"/>
      <c r="DAU4" s="3469"/>
      <c r="DAV4" s="3469"/>
      <c r="DAW4" s="3469"/>
      <c r="DAX4" s="3469"/>
      <c r="DAY4" s="3469"/>
      <c r="DAZ4" s="3469"/>
      <c r="DBA4" s="3469"/>
      <c r="DBB4" s="3469"/>
      <c r="DBC4" s="3469"/>
      <c r="DBD4" s="3469"/>
      <c r="DBE4" s="3469"/>
      <c r="DBF4" s="3469"/>
      <c r="DBG4" s="3469"/>
      <c r="DBH4" s="3469"/>
      <c r="DBI4" s="3469"/>
      <c r="DBJ4" s="3469"/>
      <c r="DBK4" s="3469"/>
      <c r="DBL4" s="3469"/>
      <c r="DBM4" s="3469"/>
      <c r="DBN4" s="3469"/>
      <c r="DBO4" s="3469"/>
      <c r="DBP4" s="3469"/>
      <c r="DBQ4" s="3469"/>
      <c r="DBR4" s="3469"/>
      <c r="DBS4" s="3469"/>
      <c r="DBT4" s="3469"/>
      <c r="DBU4" s="3469"/>
      <c r="DBV4" s="3469"/>
      <c r="DBW4" s="3469"/>
      <c r="DBX4" s="3469"/>
      <c r="DBY4" s="3469"/>
      <c r="DBZ4" s="3469"/>
      <c r="DCA4" s="3469"/>
      <c r="DCB4" s="3469"/>
      <c r="DCC4" s="3469"/>
      <c r="DCD4" s="3469"/>
      <c r="DCE4" s="3469"/>
      <c r="DCF4" s="3469"/>
      <c r="DCG4" s="3469"/>
      <c r="DCH4" s="3469"/>
      <c r="DCI4" s="3469"/>
      <c r="DCJ4" s="3469"/>
      <c r="DCK4" s="3469"/>
      <c r="DCL4" s="3469"/>
      <c r="DCM4" s="3469"/>
      <c r="DCN4" s="3469"/>
      <c r="DCO4" s="3469"/>
      <c r="DCP4" s="3469"/>
      <c r="DCQ4" s="3469"/>
      <c r="DCR4" s="3469"/>
      <c r="DCS4" s="3469"/>
      <c r="DCT4" s="3469"/>
      <c r="DCU4" s="3469"/>
      <c r="DCV4" s="3469"/>
      <c r="DCW4" s="3469"/>
      <c r="DCX4" s="3469"/>
      <c r="DCY4" s="3469"/>
      <c r="DCZ4" s="3469"/>
      <c r="DDA4" s="3469"/>
      <c r="DDB4" s="3469"/>
      <c r="DDC4" s="3469"/>
      <c r="DDD4" s="3469"/>
      <c r="DDE4" s="3469"/>
      <c r="DDF4" s="3469"/>
      <c r="DDG4" s="3469"/>
      <c r="DDH4" s="3469"/>
      <c r="DDI4" s="3469"/>
      <c r="DDJ4" s="3469"/>
      <c r="DDK4" s="3469"/>
      <c r="DDL4" s="3469"/>
      <c r="DDM4" s="3469"/>
      <c r="DDN4" s="3469"/>
      <c r="DDO4" s="3469"/>
      <c r="DDP4" s="3469"/>
      <c r="DDQ4" s="3469"/>
      <c r="DDR4" s="3469"/>
      <c r="DDS4" s="3469"/>
      <c r="DDT4" s="3469"/>
      <c r="DDU4" s="3469"/>
      <c r="DDV4" s="3469"/>
      <c r="DDW4" s="3469"/>
      <c r="DDX4" s="3469"/>
      <c r="DDY4" s="3469"/>
      <c r="DDZ4" s="3469"/>
      <c r="DEA4" s="3469"/>
      <c r="DEB4" s="3469"/>
      <c r="DEC4" s="3469"/>
      <c r="DED4" s="3469"/>
      <c r="DEE4" s="3469"/>
      <c r="DEF4" s="3469"/>
      <c r="DEG4" s="3469"/>
      <c r="DEH4" s="3469"/>
      <c r="DEI4" s="3469"/>
      <c r="DEJ4" s="3469"/>
      <c r="DEK4" s="3469"/>
      <c r="DEL4" s="3469"/>
      <c r="DEM4" s="3469"/>
      <c r="DEN4" s="3469"/>
      <c r="DEO4" s="3469"/>
      <c r="DEP4" s="3469"/>
      <c r="DEQ4" s="3469"/>
      <c r="DER4" s="3469"/>
      <c r="DES4" s="3469"/>
      <c r="DET4" s="3469"/>
      <c r="DEU4" s="3469"/>
      <c r="DEV4" s="3469"/>
      <c r="DEW4" s="3469"/>
      <c r="DEX4" s="3469"/>
      <c r="DEY4" s="3469"/>
      <c r="DEZ4" s="3469"/>
      <c r="DFA4" s="3469"/>
      <c r="DFB4" s="3469"/>
      <c r="DFC4" s="3469"/>
      <c r="DFD4" s="3469"/>
      <c r="DFE4" s="3469"/>
      <c r="DFF4" s="3469"/>
      <c r="DFG4" s="3469"/>
      <c r="DFH4" s="3469"/>
      <c r="DFI4" s="3469"/>
      <c r="DFJ4" s="3469"/>
      <c r="DFK4" s="3469"/>
      <c r="DFL4" s="3469"/>
      <c r="DFM4" s="3469"/>
      <c r="DFN4" s="3469"/>
      <c r="DFO4" s="3469"/>
      <c r="DFP4" s="3469"/>
      <c r="DFQ4" s="3469"/>
      <c r="DFR4" s="3469"/>
      <c r="DFS4" s="3469"/>
      <c r="DFT4" s="3469"/>
      <c r="DFU4" s="3469"/>
      <c r="DFV4" s="3469"/>
      <c r="DFW4" s="3469"/>
      <c r="DFX4" s="3469"/>
      <c r="DFY4" s="3469"/>
      <c r="DFZ4" s="3469"/>
      <c r="DGA4" s="3469"/>
      <c r="DGB4" s="3469"/>
      <c r="DGC4" s="3469"/>
      <c r="DGD4" s="3469"/>
      <c r="DGE4" s="3469"/>
      <c r="DGF4" s="3469"/>
      <c r="DGG4" s="3469"/>
      <c r="DGH4" s="3469"/>
      <c r="DGI4" s="3469"/>
      <c r="DGJ4" s="3469"/>
      <c r="DGK4" s="3469"/>
      <c r="DGL4" s="3469"/>
      <c r="DGM4" s="3469"/>
      <c r="DGN4" s="3469"/>
      <c r="DGO4" s="3469"/>
      <c r="DGP4" s="3469"/>
      <c r="DGQ4" s="3469"/>
      <c r="DGR4" s="3469"/>
      <c r="DGS4" s="3469"/>
      <c r="DGT4" s="3469"/>
      <c r="DGU4" s="3469"/>
      <c r="DGV4" s="3469"/>
      <c r="DGW4" s="3469"/>
      <c r="DGX4" s="3469"/>
      <c r="DGY4" s="3469"/>
      <c r="DGZ4" s="3469"/>
      <c r="DHA4" s="3469"/>
      <c r="DHB4" s="3469"/>
      <c r="DHC4" s="3469"/>
      <c r="DHD4" s="3469"/>
      <c r="DHE4" s="3469"/>
      <c r="DHF4" s="3469"/>
      <c r="DHG4" s="3469"/>
      <c r="DHH4" s="3469"/>
      <c r="DHI4" s="3469"/>
      <c r="DHJ4" s="3469"/>
      <c r="DHK4" s="3469"/>
      <c r="DHL4" s="3469"/>
      <c r="DHM4" s="3469"/>
      <c r="DHN4" s="3469"/>
      <c r="DHO4" s="3469"/>
      <c r="DHP4" s="3469"/>
      <c r="DHQ4" s="3469"/>
      <c r="DHR4" s="3469"/>
      <c r="DHS4" s="3469"/>
      <c r="DHT4" s="3469"/>
      <c r="DHU4" s="3469"/>
      <c r="DHV4" s="3469"/>
      <c r="DHW4" s="3469"/>
      <c r="DHX4" s="3469"/>
      <c r="DHY4" s="3469"/>
      <c r="DHZ4" s="3469"/>
      <c r="DIA4" s="3469"/>
      <c r="DIB4" s="3469"/>
      <c r="DIC4" s="3469"/>
      <c r="DID4" s="3469"/>
      <c r="DIE4" s="3469"/>
      <c r="DIF4" s="3469"/>
      <c r="DIG4" s="3469"/>
      <c r="DIH4" s="3469"/>
      <c r="DII4" s="3469"/>
      <c r="DIJ4" s="3469"/>
      <c r="DIK4" s="3469"/>
      <c r="DIL4" s="3469"/>
      <c r="DIM4" s="3469"/>
      <c r="DIN4" s="3469"/>
      <c r="DIO4" s="3469"/>
      <c r="DIP4" s="3469"/>
      <c r="DIQ4" s="3469"/>
      <c r="DIR4" s="3469"/>
      <c r="DIS4" s="3469"/>
      <c r="DIT4" s="3469"/>
      <c r="DIU4" s="3469"/>
      <c r="DIV4" s="3469"/>
      <c r="DIW4" s="3469"/>
      <c r="DIX4" s="3469"/>
      <c r="DIY4" s="3469"/>
      <c r="DIZ4" s="3469"/>
      <c r="DJA4" s="3469"/>
      <c r="DJB4" s="3469"/>
      <c r="DJC4" s="3469"/>
      <c r="DJD4" s="3469"/>
      <c r="DJE4" s="3469"/>
      <c r="DJF4" s="3469"/>
      <c r="DJG4" s="3469"/>
      <c r="DJH4" s="3469"/>
      <c r="DJI4" s="3469"/>
      <c r="DJJ4" s="3469"/>
      <c r="DJK4" s="3469"/>
      <c r="DJL4" s="3469"/>
      <c r="DJM4" s="3469"/>
      <c r="DJN4" s="3469"/>
      <c r="DJO4" s="3469"/>
      <c r="DJP4" s="3469"/>
      <c r="DJQ4" s="3469"/>
      <c r="DJR4" s="3469"/>
      <c r="DJS4" s="3469"/>
      <c r="DJT4" s="3469"/>
      <c r="DJU4" s="3469"/>
      <c r="DJV4" s="3469"/>
      <c r="DJW4" s="3469"/>
      <c r="DJX4" s="3469"/>
      <c r="DJY4" s="3469"/>
      <c r="DJZ4" s="3469"/>
      <c r="DKA4" s="3469"/>
      <c r="DKB4" s="3469"/>
      <c r="DKC4" s="3469"/>
      <c r="DKD4" s="3469"/>
      <c r="DKE4" s="3469"/>
      <c r="DKF4" s="3469"/>
      <c r="DKG4" s="3469"/>
      <c r="DKH4" s="3469"/>
      <c r="DKI4" s="3469"/>
      <c r="DKJ4" s="3469"/>
      <c r="DKK4" s="3469"/>
      <c r="DKL4" s="3469"/>
      <c r="DKM4" s="3469"/>
      <c r="DKN4" s="3469"/>
      <c r="DKO4" s="3469"/>
      <c r="DKP4" s="3469"/>
      <c r="DKQ4" s="3469"/>
      <c r="DKR4" s="3469"/>
      <c r="DKS4" s="3469"/>
      <c r="DKT4" s="3469"/>
      <c r="DKU4" s="3469"/>
      <c r="DKV4" s="3469"/>
      <c r="DKW4" s="3469"/>
      <c r="DKX4" s="3469"/>
      <c r="DKY4" s="3469"/>
      <c r="DKZ4" s="3469"/>
      <c r="DLA4" s="3469"/>
      <c r="DLB4" s="3469"/>
      <c r="DLC4" s="3469"/>
      <c r="DLD4" s="3469"/>
      <c r="DLE4" s="3469"/>
      <c r="DLF4" s="3469"/>
      <c r="DLG4" s="3469"/>
      <c r="DLH4" s="3469"/>
      <c r="DLI4" s="3469"/>
      <c r="DLJ4" s="3469"/>
      <c r="DLK4" s="3469"/>
      <c r="DLL4" s="3469"/>
      <c r="DLM4" s="3469"/>
      <c r="DLN4" s="3469"/>
      <c r="DLO4" s="3469"/>
      <c r="DLP4" s="3469"/>
      <c r="DLQ4" s="3469"/>
      <c r="DLR4" s="3469"/>
      <c r="DLS4" s="3469"/>
      <c r="DLT4" s="3469"/>
      <c r="DLU4" s="3469"/>
      <c r="DLV4" s="3469"/>
      <c r="DLW4" s="3469"/>
      <c r="DLX4" s="3469"/>
      <c r="DLY4" s="3469"/>
      <c r="DLZ4" s="3469"/>
      <c r="DMA4" s="3469"/>
      <c r="DMB4" s="3469"/>
      <c r="DMC4" s="3469"/>
      <c r="DMD4" s="3469"/>
      <c r="DME4" s="3469"/>
      <c r="DMF4" s="3469"/>
      <c r="DMG4" s="3469"/>
      <c r="DMH4" s="3469"/>
      <c r="DMI4" s="3469"/>
      <c r="DMJ4" s="3469"/>
      <c r="DMK4" s="3469"/>
      <c r="DML4" s="3469"/>
      <c r="DMM4" s="3469"/>
      <c r="DMN4" s="3469"/>
      <c r="DMO4" s="3469"/>
      <c r="DMP4" s="3469"/>
      <c r="DMQ4" s="3469"/>
      <c r="DMR4" s="3469"/>
      <c r="DMS4" s="3469"/>
      <c r="DMT4" s="3469"/>
      <c r="DMU4" s="3469"/>
      <c r="DMV4" s="3469"/>
      <c r="DMW4" s="3469"/>
      <c r="DMX4" s="3469"/>
      <c r="DMY4" s="3469"/>
      <c r="DMZ4" s="3469"/>
      <c r="DNA4" s="3469"/>
      <c r="DNB4" s="3469"/>
      <c r="DNC4" s="3469"/>
      <c r="DND4" s="3469"/>
      <c r="DNE4" s="3469"/>
      <c r="DNF4" s="3469"/>
      <c r="DNG4" s="3469"/>
      <c r="DNH4" s="3469"/>
      <c r="DNI4" s="3469"/>
      <c r="DNJ4" s="3469"/>
      <c r="DNK4" s="3469"/>
      <c r="DNL4" s="3469"/>
      <c r="DNM4" s="3469"/>
      <c r="DNN4" s="3469"/>
      <c r="DNO4" s="3469"/>
      <c r="DNP4" s="3469"/>
      <c r="DNQ4" s="3469"/>
      <c r="DNR4" s="3469"/>
      <c r="DNS4" s="3469"/>
      <c r="DNT4" s="3469"/>
      <c r="DNU4" s="3469"/>
      <c r="DNV4" s="3469"/>
      <c r="DNW4" s="3469"/>
      <c r="DNX4" s="3469"/>
      <c r="DNY4" s="3469"/>
      <c r="DNZ4" s="3469"/>
      <c r="DOA4" s="3469"/>
      <c r="DOB4" s="3469"/>
      <c r="DOC4" s="3469"/>
      <c r="DOD4" s="3469"/>
      <c r="DOE4" s="3469"/>
      <c r="DOF4" s="3469"/>
      <c r="DOG4" s="3469"/>
      <c r="DOH4" s="3469"/>
      <c r="DOI4" s="3469"/>
      <c r="DOJ4" s="3469"/>
      <c r="DOK4" s="3469"/>
      <c r="DOL4" s="3469"/>
      <c r="DOM4" s="3469"/>
      <c r="DON4" s="3469"/>
      <c r="DOO4" s="3469"/>
      <c r="DOP4" s="3469"/>
      <c r="DOQ4" s="3469"/>
      <c r="DOR4" s="3469"/>
      <c r="DOS4" s="3469"/>
      <c r="DOT4" s="3469"/>
      <c r="DOU4" s="3469"/>
      <c r="DOV4" s="3469"/>
      <c r="DOW4" s="3469"/>
      <c r="DOX4" s="3469"/>
      <c r="DOY4" s="3469"/>
      <c r="DOZ4" s="3469"/>
      <c r="DPA4" s="3469"/>
      <c r="DPB4" s="3469"/>
      <c r="DPC4" s="3469"/>
      <c r="DPD4" s="3469"/>
      <c r="DPE4" s="3469"/>
      <c r="DPF4" s="3469"/>
      <c r="DPG4" s="3469"/>
      <c r="DPH4" s="3469"/>
      <c r="DPI4" s="3469"/>
      <c r="DPJ4" s="3469"/>
      <c r="DPK4" s="3469"/>
      <c r="DPL4" s="3469"/>
      <c r="DPM4" s="3469"/>
      <c r="DPN4" s="3469"/>
      <c r="DPO4" s="3469"/>
      <c r="DPP4" s="3469"/>
      <c r="DPQ4" s="3469"/>
      <c r="DPR4" s="3469"/>
      <c r="DPS4" s="3469"/>
      <c r="DPT4" s="3469"/>
      <c r="DPU4" s="3469"/>
      <c r="DPV4" s="3469"/>
      <c r="DPW4" s="3469"/>
      <c r="DPX4" s="3469"/>
      <c r="DPY4" s="3469"/>
      <c r="DPZ4" s="3469"/>
      <c r="DQA4" s="3469"/>
      <c r="DQB4" s="3469"/>
      <c r="DQC4" s="3469"/>
      <c r="DQD4" s="3469"/>
      <c r="DQE4" s="3469"/>
      <c r="DQF4" s="3469"/>
      <c r="DQG4" s="3469"/>
      <c r="DQH4" s="3469"/>
      <c r="DQI4" s="3469"/>
      <c r="DQJ4" s="3469"/>
      <c r="DQK4" s="3469"/>
      <c r="DQL4" s="3469"/>
      <c r="DQM4" s="3469"/>
      <c r="DQN4" s="3469"/>
      <c r="DQO4" s="3469"/>
      <c r="DQP4" s="3469"/>
      <c r="DQQ4" s="3469"/>
      <c r="DQR4" s="3469"/>
      <c r="DQS4" s="3469"/>
      <c r="DQT4" s="3469"/>
      <c r="DQU4" s="3469"/>
      <c r="DQV4" s="3469"/>
      <c r="DQW4" s="3469"/>
      <c r="DQX4" s="3469"/>
      <c r="DQY4" s="3469"/>
      <c r="DQZ4" s="3469"/>
      <c r="DRA4" s="3469"/>
      <c r="DRB4" s="3469"/>
      <c r="DRC4" s="3469"/>
      <c r="DRD4" s="3469"/>
      <c r="DRE4" s="3469"/>
      <c r="DRF4" s="3469"/>
      <c r="DRG4" s="3469"/>
      <c r="DRH4" s="3469"/>
      <c r="DRI4" s="3469"/>
      <c r="DRJ4" s="3469"/>
      <c r="DRK4" s="3469"/>
      <c r="DRL4" s="3469"/>
      <c r="DRM4" s="3469"/>
      <c r="DRN4" s="3469"/>
      <c r="DRO4" s="3469"/>
      <c r="DRP4" s="3469"/>
      <c r="DRQ4" s="3469"/>
      <c r="DRR4" s="3469"/>
      <c r="DRS4" s="3469"/>
      <c r="DRT4" s="3469"/>
      <c r="DRU4" s="3469"/>
      <c r="DRV4" s="3469"/>
      <c r="DRW4" s="3469"/>
      <c r="DRX4" s="3469"/>
      <c r="DRY4" s="3469"/>
      <c r="DRZ4" s="3469"/>
      <c r="DSA4" s="3469"/>
      <c r="DSB4" s="3469"/>
      <c r="DSC4" s="3469"/>
      <c r="DSD4" s="3469"/>
      <c r="DSE4" s="3469"/>
      <c r="DSF4" s="3469"/>
      <c r="DSG4" s="3469"/>
      <c r="DSH4" s="3469"/>
      <c r="DSI4" s="3469"/>
      <c r="DSJ4" s="3469"/>
      <c r="DSK4" s="3469"/>
      <c r="DSL4" s="3469"/>
      <c r="DSM4" s="3469"/>
      <c r="DSN4" s="3469"/>
      <c r="DSO4" s="3469"/>
      <c r="DSP4" s="3469"/>
      <c r="DSQ4" s="3469"/>
      <c r="DSR4" s="3469"/>
      <c r="DSS4" s="3469"/>
      <c r="DST4" s="3469"/>
      <c r="DSU4" s="3469"/>
      <c r="DSV4" s="3469"/>
      <c r="DSW4" s="3469"/>
      <c r="DSX4" s="3469"/>
      <c r="DSY4" s="3469"/>
      <c r="DSZ4" s="3469"/>
      <c r="DTA4" s="3469"/>
      <c r="DTB4" s="3469"/>
      <c r="DTC4" s="3469"/>
      <c r="DTD4" s="3469"/>
      <c r="DTE4" s="3469"/>
      <c r="DTF4" s="3469"/>
      <c r="DTG4" s="3469"/>
      <c r="DTH4" s="3469"/>
      <c r="DTI4" s="3469"/>
      <c r="DTJ4" s="3469"/>
      <c r="DTK4" s="3469"/>
      <c r="DTL4" s="3469"/>
      <c r="DTM4" s="3469"/>
      <c r="DTN4" s="3469"/>
      <c r="DTO4" s="3469"/>
      <c r="DTP4" s="3469"/>
      <c r="DTQ4" s="3469"/>
      <c r="DTR4" s="3469"/>
      <c r="DTS4" s="3469"/>
      <c r="DTT4" s="3469"/>
      <c r="DTU4" s="3469"/>
      <c r="DTV4" s="3469"/>
      <c r="DTW4" s="3469"/>
      <c r="DTX4" s="3469"/>
      <c r="DTY4" s="3469"/>
      <c r="DTZ4" s="3469"/>
      <c r="DUA4" s="3469"/>
      <c r="DUB4" s="3469"/>
      <c r="DUC4" s="3469"/>
      <c r="DUD4" s="3469"/>
      <c r="DUE4" s="3469"/>
      <c r="DUF4" s="3469"/>
      <c r="DUG4" s="3469"/>
      <c r="DUH4" s="3469"/>
      <c r="DUI4" s="3469"/>
      <c r="DUJ4" s="3469"/>
      <c r="DUK4" s="3469"/>
      <c r="DUL4" s="3469"/>
      <c r="DUM4" s="3469"/>
      <c r="DUN4" s="3469"/>
      <c r="DUO4" s="3469"/>
      <c r="DUP4" s="3469"/>
      <c r="DUQ4" s="3469"/>
      <c r="DUR4" s="3469"/>
      <c r="DUS4" s="3469"/>
      <c r="DUT4" s="3469"/>
      <c r="DUU4" s="3469"/>
      <c r="DUV4" s="3469"/>
      <c r="DUW4" s="3469"/>
      <c r="DUX4" s="3469"/>
      <c r="DUY4" s="3469"/>
      <c r="DUZ4" s="3469"/>
      <c r="DVA4" s="3469"/>
      <c r="DVB4" s="3469"/>
      <c r="DVC4" s="3469"/>
      <c r="DVD4" s="3469"/>
      <c r="DVE4" s="3469"/>
      <c r="DVF4" s="3469"/>
      <c r="DVG4" s="3469"/>
      <c r="DVH4" s="3469"/>
      <c r="DVI4" s="3469"/>
      <c r="DVJ4" s="3469"/>
      <c r="DVK4" s="3469"/>
      <c r="DVL4" s="3469"/>
      <c r="DVM4" s="3469"/>
      <c r="DVN4" s="3469"/>
      <c r="DVO4" s="3469"/>
      <c r="DVP4" s="3469"/>
      <c r="DVQ4" s="3469"/>
      <c r="DVR4" s="3469"/>
      <c r="DVS4" s="3469"/>
      <c r="DVT4" s="3469"/>
      <c r="DVU4" s="3469"/>
      <c r="DVV4" s="3469"/>
      <c r="DVW4" s="3469"/>
      <c r="DVX4" s="3469"/>
      <c r="DVY4" s="3469"/>
      <c r="DVZ4" s="3469"/>
      <c r="DWA4" s="3469"/>
      <c r="DWB4" s="3469"/>
      <c r="DWC4" s="3469"/>
      <c r="DWD4" s="3469"/>
      <c r="DWE4" s="3469"/>
      <c r="DWF4" s="3469"/>
      <c r="DWG4" s="3469"/>
      <c r="DWH4" s="3469"/>
      <c r="DWI4" s="3469"/>
      <c r="DWJ4" s="3469"/>
      <c r="DWK4" s="3469"/>
      <c r="DWL4" s="3469"/>
      <c r="DWM4" s="3469"/>
      <c r="DWN4" s="3469"/>
      <c r="DWO4" s="3469"/>
      <c r="DWP4" s="3469"/>
      <c r="DWQ4" s="3469"/>
      <c r="DWR4" s="3469"/>
      <c r="DWS4" s="3469"/>
      <c r="DWT4" s="3469"/>
      <c r="DWU4" s="3469"/>
      <c r="DWV4" s="3469"/>
      <c r="DWW4" s="3469"/>
      <c r="DWX4" s="3469"/>
      <c r="DWY4" s="3469"/>
      <c r="DWZ4" s="3469"/>
      <c r="DXA4" s="3469"/>
      <c r="DXB4" s="3469"/>
      <c r="DXC4" s="3469"/>
      <c r="DXD4" s="3469"/>
      <c r="DXE4" s="3469"/>
      <c r="DXF4" s="3469"/>
      <c r="DXG4" s="3469"/>
      <c r="DXH4" s="3469"/>
      <c r="DXI4" s="3469"/>
      <c r="DXJ4" s="3469"/>
      <c r="DXK4" s="3469"/>
      <c r="DXL4" s="3469"/>
      <c r="DXM4" s="3469"/>
      <c r="DXN4" s="3469"/>
      <c r="DXO4" s="3469"/>
      <c r="DXP4" s="3469"/>
      <c r="DXQ4" s="3469"/>
      <c r="DXR4" s="3469"/>
      <c r="DXS4" s="3469"/>
      <c r="DXT4" s="3469"/>
      <c r="DXU4" s="3469"/>
      <c r="DXV4" s="3469"/>
      <c r="DXW4" s="3469"/>
      <c r="DXX4" s="3469"/>
      <c r="DXY4" s="3469"/>
      <c r="DXZ4" s="3469"/>
      <c r="DYA4" s="3469"/>
      <c r="DYB4" s="3469"/>
      <c r="DYC4" s="3469"/>
      <c r="DYD4" s="3469"/>
      <c r="DYE4" s="3469"/>
      <c r="DYF4" s="3469"/>
      <c r="DYG4" s="3469"/>
      <c r="DYH4" s="3469"/>
      <c r="DYI4" s="3469"/>
      <c r="DYJ4" s="3469"/>
      <c r="DYK4" s="3469"/>
      <c r="DYL4" s="3469"/>
      <c r="DYM4" s="3469"/>
      <c r="DYN4" s="3469"/>
      <c r="DYO4" s="3469"/>
      <c r="DYP4" s="3469"/>
      <c r="DYQ4" s="3469"/>
      <c r="DYR4" s="3469"/>
      <c r="DYS4" s="3469"/>
      <c r="DYT4" s="3469"/>
      <c r="DYU4" s="3469"/>
      <c r="DYV4" s="3469"/>
      <c r="DYW4" s="3469"/>
      <c r="DYX4" s="3469"/>
      <c r="DYY4" s="3469"/>
      <c r="DYZ4" s="3469"/>
      <c r="DZA4" s="3469"/>
      <c r="DZB4" s="3469"/>
      <c r="DZC4" s="3469"/>
      <c r="DZD4" s="3469"/>
      <c r="DZE4" s="3469"/>
      <c r="DZF4" s="3469"/>
      <c r="DZG4" s="3469"/>
      <c r="DZH4" s="3469"/>
      <c r="DZI4" s="3469"/>
      <c r="DZJ4" s="3469"/>
      <c r="DZK4" s="3469"/>
      <c r="DZL4" s="3469"/>
      <c r="DZM4" s="3469"/>
      <c r="DZN4" s="3469"/>
      <c r="DZO4" s="3469"/>
      <c r="DZP4" s="3469"/>
      <c r="DZQ4" s="3469"/>
      <c r="DZR4" s="3469"/>
      <c r="DZS4" s="3469"/>
      <c r="DZT4" s="3469"/>
      <c r="DZU4" s="3469"/>
      <c r="DZV4" s="3469"/>
      <c r="DZW4" s="3469"/>
      <c r="DZX4" s="3469"/>
      <c r="DZY4" s="3469"/>
      <c r="DZZ4" s="3469"/>
      <c r="EAA4" s="3469"/>
      <c r="EAB4" s="3469"/>
      <c r="EAC4" s="3469"/>
      <c r="EAD4" s="3469"/>
      <c r="EAE4" s="3469"/>
      <c r="EAF4" s="3469"/>
      <c r="EAG4" s="3469"/>
      <c r="EAH4" s="3469"/>
      <c r="EAI4" s="3469"/>
      <c r="EAJ4" s="3469"/>
      <c r="EAK4" s="3469"/>
      <c r="EAL4" s="3469"/>
      <c r="EAM4" s="3469"/>
      <c r="EAN4" s="3469"/>
      <c r="EAO4" s="3469"/>
      <c r="EAP4" s="3469"/>
      <c r="EAQ4" s="3469"/>
      <c r="EAR4" s="3469"/>
      <c r="EAS4" s="3469"/>
      <c r="EAT4" s="3469"/>
      <c r="EAU4" s="3469"/>
      <c r="EAV4" s="3469"/>
      <c r="EAW4" s="3469"/>
      <c r="EAX4" s="3469"/>
      <c r="EAY4" s="3469"/>
      <c r="EAZ4" s="3469"/>
      <c r="EBA4" s="3469"/>
      <c r="EBB4" s="3469"/>
      <c r="EBC4" s="3469"/>
      <c r="EBD4" s="3469"/>
      <c r="EBE4" s="3469"/>
      <c r="EBF4" s="3469"/>
      <c r="EBG4" s="3469"/>
      <c r="EBH4" s="3469"/>
      <c r="EBI4" s="3469"/>
      <c r="EBJ4" s="3469"/>
      <c r="EBK4" s="3469"/>
      <c r="EBL4" s="3469"/>
      <c r="EBM4" s="3469"/>
      <c r="EBN4" s="3469"/>
      <c r="EBO4" s="3469"/>
      <c r="EBP4" s="3469"/>
      <c r="EBQ4" s="3469"/>
      <c r="EBR4" s="3469"/>
      <c r="EBS4" s="3469"/>
      <c r="EBT4" s="3469"/>
      <c r="EBU4" s="3469"/>
      <c r="EBV4" s="3469"/>
      <c r="EBW4" s="3469"/>
      <c r="EBX4" s="3469"/>
      <c r="EBY4" s="3469"/>
      <c r="EBZ4" s="3469"/>
      <c r="ECA4" s="3469"/>
      <c r="ECB4" s="3469"/>
      <c r="ECC4" s="3469"/>
      <c r="ECD4" s="3469"/>
      <c r="ECE4" s="3469"/>
      <c r="ECF4" s="3469"/>
      <c r="ECG4" s="3469"/>
      <c r="ECH4" s="3469"/>
      <c r="ECI4" s="3469"/>
      <c r="ECJ4" s="3469"/>
      <c r="ECK4" s="3469"/>
      <c r="ECL4" s="3469"/>
      <c r="ECM4" s="3469"/>
      <c r="ECN4" s="3469"/>
      <c r="ECO4" s="3469"/>
      <c r="ECP4" s="3469"/>
      <c r="ECQ4" s="3469"/>
      <c r="ECR4" s="3469"/>
      <c r="ECS4" s="3469"/>
      <c r="ECT4" s="3469"/>
      <c r="ECU4" s="3469"/>
      <c r="ECV4" s="3469"/>
      <c r="ECW4" s="3469"/>
      <c r="ECX4" s="3469"/>
      <c r="ECY4" s="3469"/>
      <c r="ECZ4" s="3469"/>
      <c r="EDA4" s="3469"/>
      <c r="EDB4" s="3469"/>
      <c r="EDC4" s="3469"/>
      <c r="EDD4" s="3469"/>
      <c r="EDE4" s="3469"/>
      <c r="EDF4" s="3469"/>
      <c r="EDG4" s="3469"/>
      <c r="EDH4" s="3469"/>
      <c r="EDI4" s="3469"/>
      <c r="EDJ4" s="3469"/>
      <c r="EDK4" s="3469"/>
      <c r="EDL4" s="3469"/>
      <c r="EDM4" s="3469"/>
      <c r="EDN4" s="3469"/>
      <c r="EDO4" s="3469"/>
      <c r="EDP4" s="3469"/>
      <c r="EDQ4" s="3469"/>
      <c r="EDR4" s="3469"/>
      <c r="EDS4" s="3469"/>
      <c r="EDT4" s="3469"/>
      <c r="EDU4" s="3469"/>
      <c r="EDV4" s="3469"/>
      <c r="EDW4" s="3469"/>
      <c r="EDX4" s="3469"/>
      <c r="EDY4" s="3469"/>
      <c r="EDZ4" s="3469"/>
      <c r="EEA4" s="3469"/>
      <c r="EEB4" s="3469"/>
      <c r="EEC4" s="3469"/>
      <c r="EED4" s="3469"/>
      <c r="EEE4" s="3469"/>
      <c r="EEF4" s="3469"/>
      <c r="EEG4" s="3469"/>
      <c r="EEH4" s="3469"/>
      <c r="EEI4" s="3469"/>
      <c r="EEJ4" s="3469"/>
      <c r="EEK4" s="3469"/>
      <c r="EEL4" s="3469"/>
      <c r="EEM4" s="3469"/>
      <c r="EEN4" s="3469"/>
      <c r="EEO4" s="3469"/>
      <c r="EEP4" s="3469"/>
      <c r="EEQ4" s="3469"/>
      <c r="EER4" s="3469"/>
      <c r="EES4" s="3469"/>
      <c r="EET4" s="3469"/>
      <c r="EEU4" s="3469"/>
      <c r="EEV4" s="3469"/>
      <c r="EEW4" s="3469"/>
      <c r="EEX4" s="3469"/>
      <c r="EEY4" s="3469"/>
      <c r="EEZ4" s="3469"/>
      <c r="EFA4" s="3469"/>
      <c r="EFB4" s="3469"/>
      <c r="EFC4" s="3469"/>
      <c r="EFD4" s="3469"/>
      <c r="EFE4" s="3469"/>
      <c r="EFF4" s="3469"/>
      <c r="EFG4" s="3469"/>
      <c r="EFH4" s="3469"/>
      <c r="EFI4" s="3469"/>
      <c r="EFJ4" s="3469"/>
      <c r="EFK4" s="3469"/>
      <c r="EFL4" s="3469"/>
      <c r="EFM4" s="3469"/>
      <c r="EFN4" s="3469"/>
      <c r="EFO4" s="3469"/>
      <c r="EFP4" s="3469"/>
      <c r="EFQ4" s="3469"/>
      <c r="EFR4" s="3469"/>
      <c r="EFS4" s="3469"/>
      <c r="EFT4" s="3469"/>
      <c r="EFU4" s="3469"/>
      <c r="EFV4" s="3469"/>
      <c r="EFW4" s="3469"/>
      <c r="EFX4" s="3469"/>
      <c r="EFY4" s="3469"/>
      <c r="EFZ4" s="3469"/>
      <c r="EGA4" s="3469"/>
      <c r="EGB4" s="3469"/>
      <c r="EGC4" s="3469"/>
      <c r="EGD4" s="3469"/>
      <c r="EGE4" s="3469"/>
      <c r="EGF4" s="3469"/>
      <c r="EGG4" s="3469"/>
      <c r="EGH4" s="3469"/>
      <c r="EGI4" s="3469"/>
      <c r="EGJ4" s="3469"/>
      <c r="EGK4" s="3469"/>
      <c r="EGL4" s="3469"/>
      <c r="EGM4" s="3469"/>
      <c r="EGN4" s="3469"/>
      <c r="EGO4" s="3469"/>
      <c r="EGP4" s="3469"/>
      <c r="EGQ4" s="3469"/>
      <c r="EGR4" s="3469"/>
      <c r="EGS4" s="3469"/>
      <c r="EGT4" s="3469"/>
      <c r="EGU4" s="3469"/>
      <c r="EGV4" s="3469"/>
      <c r="EGW4" s="3469"/>
      <c r="EGX4" s="3469"/>
      <c r="EGY4" s="3469"/>
      <c r="EGZ4" s="3469"/>
      <c r="EHA4" s="3469"/>
      <c r="EHB4" s="3469"/>
      <c r="EHC4" s="3469"/>
      <c r="EHD4" s="3469"/>
      <c r="EHE4" s="3469"/>
      <c r="EHF4" s="3469"/>
      <c r="EHG4" s="3469"/>
      <c r="EHH4" s="3469"/>
      <c r="EHI4" s="3469"/>
      <c r="EHJ4" s="3469"/>
      <c r="EHK4" s="3469"/>
      <c r="EHL4" s="3469"/>
      <c r="EHM4" s="3469"/>
      <c r="EHN4" s="3469"/>
      <c r="EHO4" s="3469"/>
      <c r="EHP4" s="3469"/>
      <c r="EHQ4" s="3469"/>
      <c r="EHR4" s="3469"/>
      <c r="EHS4" s="3469"/>
      <c r="EHT4" s="3469"/>
      <c r="EHU4" s="3469"/>
      <c r="EHV4" s="3469"/>
      <c r="EHW4" s="3469"/>
      <c r="EHX4" s="3469"/>
      <c r="EHY4" s="3469"/>
      <c r="EHZ4" s="3469"/>
      <c r="EIA4" s="3469"/>
      <c r="EIB4" s="3469"/>
      <c r="EIC4" s="3469"/>
      <c r="EID4" s="3469"/>
      <c r="EIE4" s="3469"/>
      <c r="EIF4" s="3469"/>
      <c r="EIG4" s="3469"/>
      <c r="EIH4" s="3469"/>
      <c r="EII4" s="3469"/>
      <c r="EIJ4" s="3469"/>
      <c r="EIK4" s="3469"/>
      <c r="EIL4" s="3469"/>
      <c r="EIM4" s="3469"/>
      <c r="EIN4" s="3469"/>
      <c r="EIO4" s="3469"/>
      <c r="EIP4" s="3469"/>
      <c r="EIQ4" s="3469"/>
      <c r="EIR4" s="3469"/>
      <c r="EIS4" s="3469"/>
      <c r="EIT4" s="3469"/>
      <c r="EIU4" s="3469"/>
      <c r="EIV4" s="3469"/>
      <c r="EIW4" s="3469"/>
      <c r="EIX4" s="3469"/>
      <c r="EIY4" s="3469"/>
      <c r="EIZ4" s="3469"/>
      <c r="EJA4" s="3469"/>
      <c r="EJB4" s="3469"/>
      <c r="EJC4" s="3469"/>
      <c r="EJD4" s="3469"/>
      <c r="EJE4" s="3469"/>
      <c r="EJF4" s="3469"/>
      <c r="EJG4" s="3469"/>
      <c r="EJH4" s="3469"/>
      <c r="EJI4" s="3469"/>
      <c r="EJJ4" s="3469"/>
      <c r="EJK4" s="3469"/>
      <c r="EJL4" s="3469"/>
      <c r="EJM4" s="3469"/>
      <c r="EJN4" s="3469"/>
      <c r="EJO4" s="3469"/>
      <c r="EJP4" s="3469"/>
      <c r="EJQ4" s="3469"/>
      <c r="EJR4" s="3469"/>
      <c r="EJS4" s="3469"/>
      <c r="EJT4" s="3469"/>
      <c r="EJU4" s="3469"/>
      <c r="EJV4" s="3469"/>
      <c r="EJW4" s="3469"/>
      <c r="EJX4" s="3469"/>
      <c r="EJY4" s="3469"/>
      <c r="EJZ4" s="3469"/>
      <c r="EKA4" s="3469"/>
      <c r="EKB4" s="3469"/>
      <c r="EKC4" s="3469"/>
      <c r="EKD4" s="3469"/>
      <c r="EKE4" s="3469"/>
      <c r="EKF4" s="3469"/>
      <c r="EKG4" s="3469"/>
      <c r="EKH4" s="3469"/>
      <c r="EKI4" s="3469"/>
      <c r="EKJ4" s="3469"/>
      <c r="EKK4" s="3469"/>
      <c r="EKL4" s="3469"/>
      <c r="EKM4" s="3469"/>
      <c r="EKN4" s="3469"/>
      <c r="EKO4" s="3469"/>
      <c r="EKP4" s="3469"/>
      <c r="EKQ4" s="3469"/>
      <c r="EKR4" s="3469"/>
      <c r="EKS4" s="3469"/>
      <c r="EKT4" s="3469"/>
      <c r="EKU4" s="3469"/>
      <c r="EKV4" s="3469"/>
      <c r="EKW4" s="3469"/>
      <c r="EKX4" s="3469"/>
      <c r="EKY4" s="3469"/>
      <c r="EKZ4" s="3469"/>
      <c r="ELA4" s="3469"/>
      <c r="ELB4" s="3469"/>
      <c r="ELC4" s="3469"/>
      <c r="ELD4" s="3469"/>
      <c r="ELE4" s="3469"/>
      <c r="ELF4" s="3469"/>
      <c r="ELG4" s="3469"/>
      <c r="ELH4" s="3469"/>
      <c r="ELI4" s="3469"/>
      <c r="ELJ4" s="3469"/>
      <c r="ELK4" s="3469"/>
      <c r="ELL4" s="3469"/>
      <c r="ELM4" s="3469"/>
      <c r="ELN4" s="3469"/>
      <c r="ELO4" s="3469"/>
      <c r="ELP4" s="3469"/>
      <c r="ELQ4" s="3469"/>
      <c r="ELR4" s="3469"/>
      <c r="ELS4" s="3469"/>
      <c r="ELT4" s="3469"/>
      <c r="ELU4" s="3469"/>
      <c r="ELV4" s="3469"/>
      <c r="ELW4" s="3469"/>
      <c r="ELX4" s="3469"/>
      <c r="ELY4" s="3469"/>
      <c r="ELZ4" s="3469"/>
      <c r="EMA4" s="3469"/>
      <c r="EMB4" s="3469"/>
      <c r="EMC4" s="3469"/>
      <c r="EMD4" s="3469"/>
      <c r="EME4" s="3469"/>
      <c r="EMF4" s="3469"/>
      <c r="EMG4" s="3469"/>
      <c r="EMH4" s="3469"/>
      <c r="EMI4" s="3469"/>
      <c r="EMJ4" s="3469"/>
      <c r="EMK4" s="3469"/>
      <c r="EML4" s="3469"/>
      <c r="EMM4" s="3469"/>
      <c r="EMN4" s="3469"/>
      <c r="EMO4" s="3469"/>
      <c r="EMP4" s="3469"/>
      <c r="EMQ4" s="3469"/>
      <c r="EMR4" s="3469"/>
      <c r="EMS4" s="3469"/>
      <c r="EMT4" s="3469"/>
      <c r="EMU4" s="3469"/>
      <c r="EMV4" s="3469"/>
      <c r="EMW4" s="3469"/>
      <c r="EMX4" s="3469"/>
      <c r="EMY4" s="3469"/>
      <c r="EMZ4" s="3469"/>
      <c r="ENA4" s="3469"/>
      <c r="ENB4" s="3469"/>
      <c r="ENC4" s="3469"/>
      <c r="END4" s="3469"/>
      <c r="ENE4" s="3469"/>
      <c r="ENF4" s="3469"/>
      <c r="ENG4" s="3469"/>
      <c r="ENH4" s="3469"/>
      <c r="ENI4" s="3469"/>
      <c r="ENJ4" s="3469"/>
      <c r="ENK4" s="3469"/>
      <c r="ENL4" s="3469"/>
      <c r="ENM4" s="3469"/>
      <c r="ENN4" s="3469"/>
      <c r="ENO4" s="3469"/>
      <c r="ENP4" s="3469"/>
      <c r="ENQ4" s="3469"/>
      <c r="ENR4" s="3469"/>
      <c r="ENS4" s="3469"/>
      <c r="ENT4" s="3469"/>
      <c r="ENU4" s="3469"/>
      <c r="ENV4" s="3469"/>
      <c r="ENW4" s="3469"/>
      <c r="ENX4" s="3469"/>
      <c r="ENY4" s="3469"/>
      <c r="ENZ4" s="3469"/>
      <c r="EOA4" s="3469"/>
      <c r="EOB4" s="3469"/>
      <c r="EOC4" s="3469"/>
      <c r="EOD4" s="3469"/>
      <c r="EOE4" s="3469"/>
      <c r="EOF4" s="3469"/>
      <c r="EOG4" s="3469"/>
      <c r="EOH4" s="3469"/>
      <c r="EOI4" s="3469"/>
      <c r="EOJ4" s="3469"/>
      <c r="EOK4" s="3469"/>
      <c r="EOL4" s="3469"/>
      <c r="EOM4" s="3469"/>
      <c r="EON4" s="3469"/>
      <c r="EOO4" s="3469"/>
      <c r="EOP4" s="3469"/>
      <c r="EOQ4" s="3469"/>
      <c r="EOR4" s="3469"/>
      <c r="EOS4" s="3469"/>
      <c r="EOT4" s="3469"/>
      <c r="EOU4" s="3469"/>
      <c r="EOV4" s="3469"/>
      <c r="EOW4" s="3469"/>
      <c r="EOX4" s="3469"/>
      <c r="EOY4" s="3469"/>
      <c r="EOZ4" s="3469"/>
      <c r="EPA4" s="3469"/>
      <c r="EPB4" s="3469"/>
      <c r="EPC4" s="3469"/>
      <c r="EPD4" s="3469"/>
      <c r="EPE4" s="3469"/>
      <c r="EPF4" s="3469"/>
      <c r="EPG4" s="3469"/>
      <c r="EPH4" s="3469"/>
      <c r="EPI4" s="3469"/>
      <c r="EPJ4" s="3469"/>
      <c r="EPK4" s="3469"/>
      <c r="EPL4" s="3469"/>
      <c r="EPM4" s="3469"/>
      <c r="EPN4" s="3469"/>
      <c r="EPO4" s="3469"/>
      <c r="EPP4" s="3469"/>
      <c r="EPQ4" s="3469"/>
      <c r="EPR4" s="3469"/>
      <c r="EPS4" s="3469"/>
      <c r="EPT4" s="3469"/>
      <c r="EPU4" s="3469"/>
      <c r="EPV4" s="3469"/>
      <c r="EPW4" s="3469"/>
      <c r="EPX4" s="3469"/>
      <c r="EPY4" s="3469"/>
      <c r="EPZ4" s="3469"/>
      <c r="EQA4" s="3469"/>
      <c r="EQB4" s="3469"/>
      <c r="EQC4" s="3469"/>
      <c r="EQD4" s="3469"/>
      <c r="EQE4" s="3469"/>
      <c r="EQF4" s="3469"/>
      <c r="EQG4" s="3469"/>
      <c r="EQH4" s="3469"/>
      <c r="EQI4" s="3469"/>
      <c r="EQJ4" s="3469"/>
      <c r="EQK4" s="3469"/>
      <c r="EQL4" s="3469"/>
      <c r="EQM4" s="3469"/>
      <c r="EQN4" s="3469"/>
      <c r="EQO4" s="3469"/>
      <c r="EQP4" s="3469"/>
      <c r="EQQ4" s="3469"/>
      <c r="EQR4" s="3469"/>
      <c r="EQS4" s="3469"/>
      <c r="EQT4" s="3469"/>
      <c r="EQU4" s="3469"/>
      <c r="EQV4" s="3469"/>
      <c r="EQW4" s="3469"/>
      <c r="EQX4" s="3469"/>
      <c r="EQY4" s="3469"/>
      <c r="EQZ4" s="3469"/>
      <c r="ERA4" s="3469"/>
      <c r="ERB4" s="3469"/>
      <c r="ERC4" s="3469"/>
      <c r="ERD4" s="3469"/>
      <c r="ERE4" s="3469"/>
      <c r="ERF4" s="3469"/>
      <c r="ERG4" s="3469"/>
      <c r="ERH4" s="3469"/>
      <c r="ERI4" s="3469"/>
      <c r="ERJ4" s="3469"/>
      <c r="ERK4" s="3469"/>
      <c r="ERL4" s="3469"/>
      <c r="ERM4" s="3469"/>
      <c r="ERN4" s="3469"/>
      <c r="ERO4" s="3469"/>
      <c r="ERP4" s="3469"/>
      <c r="ERQ4" s="3469"/>
      <c r="ERR4" s="3469"/>
      <c r="ERS4" s="3469"/>
      <c r="ERT4" s="3469"/>
      <c r="ERU4" s="3469"/>
      <c r="ERV4" s="3469"/>
      <c r="ERW4" s="3469"/>
      <c r="ERX4" s="3469"/>
      <c r="ERY4" s="3469"/>
      <c r="ERZ4" s="3469"/>
      <c r="ESA4" s="3469"/>
      <c r="ESB4" s="3469"/>
      <c r="ESC4" s="3469"/>
      <c r="ESD4" s="3469"/>
      <c r="ESE4" s="3469"/>
      <c r="ESF4" s="3469"/>
      <c r="ESG4" s="3469"/>
      <c r="ESH4" s="3469"/>
      <c r="ESI4" s="3469"/>
      <c r="ESJ4" s="3469"/>
      <c r="ESK4" s="3469"/>
      <c r="ESL4" s="3469"/>
      <c r="ESM4" s="3469"/>
      <c r="ESN4" s="3469"/>
      <c r="ESO4" s="3469"/>
      <c r="ESP4" s="3469"/>
      <c r="ESQ4" s="3469"/>
      <c r="ESR4" s="3469"/>
      <c r="ESS4" s="3469"/>
      <c r="EST4" s="3469"/>
      <c r="ESU4" s="3469"/>
      <c r="ESV4" s="3469"/>
      <c r="ESW4" s="3469"/>
      <c r="ESX4" s="3469"/>
      <c r="ESY4" s="3469"/>
      <c r="ESZ4" s="3469"/>
      <c r="ETA4" s="3469"/>
      <c r="ETB4" s="3469"/>
      <c r="ETC4" s="3469"/>
      <c r="ETD4" s="3469"/>
      <c r="ETE4" s="3469"/>
      <c r="ETF4" s="3469"/>
      <c r="ETG4" s="3469"/>
      <c r="ETH4" s="3469"/>
      <c r="ETI4" s="3469"/>
      <c r="ETJ4" s="3469"/>
      <c r="ETK4" s="3469"/>
      <c r="ETL4" s="3469"/>
      <c r="ETM4" s="3469"/>
      <c r="ETN4" s="3469"/>
      <c r="ETO4" s="3469"/>
      <c r="ETP4" s="3469"/>
      <c r="ETQ4" s="3469"/>
      <c r="ETR4" s="3469"/>
      <c r="ETS4" s="3469"/>
      <c r="ETT4" s="3469"/>
      <c r="ETU4" s="3469"/>
      <c r="ETV4" s="3469"/>
      <c r="ETW4" s="3469"/>
      <c r="ETX4" s="3469"/>
      <c r="ETY4" s="3469"/>
      <c r="ETZ4" s="3469"/>
      <c r="EUA4" s="3469"/>
      <c r="EUB4" s="3469"/>
      <c r="EUC4" s="3469"/>
      <c r="EUD4" s="3469"/>
      <c r="EUE4" s="3469"/>
      <c r="EUF4" s="3469"/>
      <c r="EUG4" s="3469"/>
      <c r="EUH4" s="3469"/>
      <c r="EUI4" s="3469"/>
      <c r="EUJ4" s="3469"/>
      <c r="EUK4" s="3469"/>
      <c r="EUL4" s="3469"/>
      <c r="EUM4" s="3469"/>
      <c r="EUN4" s="3469"/>
      <c r="EUO4" s="3469"/>
      <c r="EUP4" s="3469"/>
      <c r="EUQ4" s="3469"/>
      <c r="EUR4" s="3469"/>
      <c r="EUS4" s="3469"/>
      <c r="EUT4" s="3469"/>
      <c r="EUU4" s="3469"/>
      <c r="EUV4" s="3469"/>
      <c r="EUW4" s="3469"/>
      <c r="EUX4" s="3469"/>
      <c r="EUY4" s="3469"/>
      <c r="EUZ4" s="3469"/>
      <c r="EVA4" s="3469"/>
      <c r="EVB4" s="3469"/>
      <c r="EVC4" s="3469"/>
      <c r="EVD4" s="3469"/>
      <c r="EVE4" s="3469"/>
      <c r="EVF4" s="3469"/>
      <c r="EVG4" s="3469"/>
      <c r="EVH4" s="3469"/>
      <c r="EVI4" s="3469"/>
      <c r="EVJ4" s="3469"/>
      <c r="EVK4" s="3469"/>
      <c r="EVL4" s="3469"/>
      <c r="EVM4" s="3469"/>
      <c r="EVN4" s="3469"/>
      <c r="EVO4" s="3469"/>
      <c r="EVP4" s="3469"/>
      <c r="EVQ4" s="3469"/>
      <c r="EVR4" s="3469"/>
      <c r="EVS4" s="3469"/>
      <c r="EVT4" s="3469"/>
      <c r="EVU4" s="3469"/>
      <c r="EVV4" s="3469"/>
      <c r="EVW4" s="3469"/>
      <c r="EVX4" s="3469"/>
      <c r="EVY4" s="3469"/>
      <c r="EVZ4" s="3469"/>
      <c r="EWA4" s="3469"/>
      <c r="EWB4" s="3469"/>
      <c r="EWC4" s="3469"/>
      <c r="EWD4" s="3469"/>
      <c r="EWE4" s="3469"/>
      <c r="EWF4" s="3469"/>
      <c r="EWG4" s="3469"/>
      <c r="EWH4" s="3469"/>
      <c r="EWI4" s="3469"/>
      <c r="EWJ4" s="3469"/>
      <c r="EWK4" s="3469"/>
      <c r="EWL4" s="3469"/>
      <c r="EWM4" s="3469"/>
      <c r="EWN4" s="3469"/>
      <c r="EWO4" s="3469"/>
      <c r="EWP4" s="3469"/>
      <c r="EWQ4" s="3469"/>
      <c r="EWR4" s="3469"/>
      <c r="EWS4" s="3469"/>
      <c r="EWT4" s="3469"/>
      <c r="EWU4" s="3469"/>
      <c r="EWV4" s="3469"/>
      <c r="EWW4" s="3469"/>
      <c r="EWX4" s="3469"/>
      <c r="EWY4" s="3469"/>
      <c r="EWZ4" s="3469"/>
      <c r="EXA4" s="3469"/>
      <c r="EXB4" s="3469"/>
      <c r="EXC4" s="3469"/>
      <c r="EXD4" s="3469"/>
      <c r="EXE4" s="3469"/>
      <c r="EXF4" s="3469"/>
      <c r="EXG4" s="3469"/>
      <c r="EXH4" s="3469"/>
      <c r="EXI4" s="3469"/>
      <c r="EXJ4" s="3469"/>
      <c r="EXK4" s="3469"/>
      <c r="EXL4" s="3469"/>
      <c r="EXM4" s="3469"/>
      <c r="EXN4" s="3469"/>
      <c r="EXO4" s="3469"/>
      <c r="EXP4" s="3469"/>
      <c r="EXQ4" s="3469"/>
      <c r="EXR4" s="3469"/>
      <c r="EXS4" s="3469"/>
      <c r="EXT4" s="3469"/>
      <c r="EXU4" s="3469"/>
      <c r="EXV4" s="3469"/>
      <c r="EXW4" s="3469"/>
      <c r="EXX4" s="3469"/>
      <c r="EXY4" s="3469"/>
      <c r="EXZ4" s="3469"/>
      <c r="EYA4" s="3469"/>
      <c r="EYB4" s="3469"/>
      <c r="EYC4" s="3469"/>
      <c r="EYD4" s="3469"/>
      <c r="EYE4" s="3469"/>
      <c r="EYF4" s="3469"/>
      <c r="EYG4" s="3469"/>
      <c r="EYH4" s="3469"/>
      <c r="EYI4" s="3469"/>
      <c r="EYJ4" s="3469"/>
      <c r="EYK4" s="3469"/>
      <c r="EYL4" s="3469"/>
      <c r="EYM4" s="3469"/>
      <c r="EYN4" s="3469"/>
      <c r="EYO4" s="3469"/>
      <c r="EYP4" s="3469"/>
      <c r="EYQ4" s="3469"/>
      <c r="EYR4" s="3469"/>
      <c r="EYS4" s="3469"/>
      <c r="EYT4" s="3469"/>
      <c r="EYU4" s="3469"/>
      <c r="EYV4" s="3469"/>
      <c r="EYW4" s="3469"/>
      <c r="EYX4" s="3469"/>
      <c r="EYY4" s="3469"/>
      <c r="EYZ4" s="3469"/>
      <c r="EZA4" s="3469"/>
      <c r="EZB4" s="3469"/>
      <c r="EZC4" s="3469"/>
      <c r="EZD4" s="3469"/>
      <c r="EZE4" s="3469"/>
      <c r="EZF4" s="3469"/>
      <c r="EZG4" s="3469"/>
      <c r="EZH4" s="3469"/>
      <c r="EZI4" s="3469"/>
      <c r="EZJ4" s="3469"/>
      <c r="EZK4" s="3469"/>
      <c r="EZL4" s="3469"/>
      <c r="EZM4" s="3469"/>
      <c r="EZN4" s="3469"/>
      <c r="EZO4" s="3469"/>
      <c r="EZP4" s="3469"/>
      <c r="EZQ4" s="3469"/>
      <c r="EZR4" s="3469"/>
      <c r="EZS4" s="3469"/>
      <c r="EZT4" s="3469"/>
      <c r="EZU4" s="3469"/>
      <c r="EZV4" s="3469"/>
      <c r="EZW4" s="3469"/>
      <c r="EZX4" s="3469"/>
      <c r="EZY4" s="3469"/>
      <c r="EZZ4" s="3469"/>
      <c r="FAA4" s="3469"/>
      <c r="FAB4" s="3469"/>
      <c r="FAC4" s="3469"/>
      <c r="FAD4" s="3469"/>
      <c r="FAE4" s="3469"/>
      <c r="FAF4" s="3469"/>
      <c r="FAG4" s="3469"/>
      <c r="FAH4" s="3469"/>
      <c r="FAI4" s="3469"/>
      <c r="FAJ4" s="3469"/>
      <c r="FAK4" s="3469"/>
      <c r="FAL4" s="3469"/>
      <c r="FAM4" s="3469"/>
      <c r="FAN4" s="3469"/>
      <c r="FAO4" s="3469"/>
      <c r="FAP4" s="3469"/>
      <c r="FAQ4" s="3469"/>
      <c r="FAR4" s="3469"/>
      <c r="FAS4" s="3469"/>
      <c r="FAT4" s="3469"/>
      <c r="FAU4" s="3469"/>
      <c r="FAV4" s="3469"/>
      <c r="FAW4" s="3469"/>
      <c r="FAX4" s="3469"/>
      <c r="FAY4" s="3469"/>
      <c r="FAZ4" s="3469"/>
      <c r="FBA4" s="3469"/>
      <c r="FBB4" s="3469"/>
      <c r="FBC4" s="3469"/>
      <c r="FBD4" s="3469"/>
      <c r="FBE4" s="3469"/>
      <c r="FBF4" s="3469"/>
      <c r="FBG4" s="3469"/>
      <c r="FBH4" s="3469"/>
      <c r="FBI4" s="3469"/>
      <c r="FBJ4" s="3469"/>
      <c r="FBK4" s="3469"/>
      <c r="FBL4" s="3469"/>
      <c r="FBM4" s="3469"/>
      <c r="FBN4" s="3469"/>
      <c r="FBO4" s="3469"/>
      <c r="FBP4" s="3469"/>
      <c r="FBQ4" s="3469"/>
      <c r="FBR4" s="3469"/>
      <c r="FBS4" s="3469"/>
      <c r="FBT4" s="3469"/>
      <c r="FBU4" s="3469"/>
      <c r="FBV4" s="3469"/>
      <c r="FBW4" s="3469"/>
      <c r="FBX4" s="3469"/>
      <c r="FBY4" s="3469"/>
      <c r="FBZ4" s="3469"/>
      <c r="FCA4" s="3469"/>
      <c r="FCB4" s="3469"/>
      <c r="FCC4" s="3469"/>
      <c r="FCD4" s="3469"/>
      <c r="FCE4" s="3469"/>
      <c r="FCF4" s="3469"/>
      <c r="FCG4" s="3469"/>
      <c r="FCH4" s="3469"/>
      <c r="FCI4" s="3469"/>
      <c r="FCJ4" s="3469"/>
      <c r="FCK4" s="3469"/>
      <c r="FCL4" s="3469"/>
      <c r="FCM4" s="3469"/>
      <c r="FCN4" s="3469"/>
      <c r="FCO4" s="3469"/>
      <c r="FCP4" s="3469"/>
      <c r="FCQ4" s="3469"/>
      <c r="FCR4" s="3469"/>
      <c r="FCS4" s="3469"/>
      <c r="FCT4" s="3469"/>
      <c r="FCU4" s="3469"/>
      <c r="FCV4" s="3469"/>
      <c r="FCW4" s="3469"/>
      <c r="FCX4" s="3469"/>
      <c r="FCY4" s="3469"/>
      <c r="FCZ4" s="3469"/>
      <c r="FDA4" s="3469"/>
      <c r="FDB4" s="3469"/>
      <c r="FDC4" s="3469"/>
      <c r="FDD4" s="3469"/>
      <c r="FDE4" s="3469"/>
      <c r="FDF4" s="3469"/>
      <c r="FDG4" s="3469"/>
      <c r="FDH4" s="3469"/>
      <c r="FDI4" s="3469"/>
      <c r="FDJ4" s="3469"/>
      <c r="FDK4" s="3469"/>
      <c r="FDL4" s="3469"/>
      <c r="FDM4" s="3469"/>
      <c r="FDN4" s="3469"/>
      <c r="FDO4" s="3469"/>
      <c r="FDP4" s="3469"/>
      <c r="FDQ4" s="3469"/>
      <c r="FDR4" s="3469"/>
      <c r="FDS4" s="3469"/>
      <c r="FDT4" s="3469"/>
      <c r="FDU4" s="3469"/>
      <c r="FDV4" s="3469"/>
      <c r="FDW4" s="3469"/>
      <c r="FDX4" s="3469"/>
      <c r="FDY4" s="3469"/>
      <c r="FDZ4" s="3469"/>
      <c r="FEA4" s="3469"/>
      <c r="FEB4" s="3469"/>
      <c r="FEC4" s="3469"/>
      <c r="FED4" s="3469"/>
      <c r="FEE4" s="3469"/>
      <c r="FEF4" s="3469"/>
      <c r="FEG4" s="3469"/>
      <c r="FEH4" s="3469"/>
      <c r="FEI4" s="3469"/>
      <c r="FEJ4" s="3469"/>
      <c r="FEK4" s="3469"/>
      <c r="FEL4" s="3469"/>
      <c r="FEM4" s="3469"/>
      <c r="FEN4" s="3469"/>
      <c r="FEO4" s="3469"/>
      <c r="FEP4" s="3469"/>
      <c r="FEQ4" s="3469"/>
      <c r="FER4" s="3469"/>
      <c r="FES4" s="3469"/>
      <c r="FET4" s="3469"/>
      <c r="FEU4" s="3469"/>
      <c r="FEV4" s="3469"/>
      <c r="FEW4" s="3469"/>
      <c r="FEX4" s="3469"/>
      <c r="FEY4" s="3469"/>
      <c r="FEZ4" s="3469"/>
      <c r="FFA4" s="3469"/>
      <c r="FFB4" s="3469"/>
      <c r="FFC4" s="3469"/>
      <c r="FFD4" s="3469"/>
      <c r="FFE4" s="3469"/>
      <c r="FFF4" s="3469"/>
      <c r="FFG4" s="3469"/>
      <c r="FFH4" s="3469"/>
      <c r="FFI4" s="3469"/>
      <c r="FFJ4" s="3469"/>
      <c r="FFK4" s="3469"/>
      <c r="FFL4" s="3469"/>
      <c r="FFM4" s="3469"/>
      <c r="FFN4" s="3469"/>
      <c r="FFO4" s="3469"/>
      <c r="FFP4" s="3469"/>
      <c r="FFQ4" s="3469"/>
      <c r="FFR4" s="3469"/>
      <c r="FFS4" s="3469"/>
      <c r="FFT4" s="3469"/>
      <c r="FFU4" s="3469"/>
      <c r="FFV4" s="3469"/>
      <c r="FFW4" s="3469"/>
      <c r="FFX4" s="3469"/>
      <c r="FFY4" s="3469"/>
      <c r="FFZ4" s="3469"/>
      <c r="FGA4" s="3469"/>
      <c r="FGB4" s="3469"/>
      <c r="FGC4" s="3469"/>
      <c r="FGD4" s="3469"/>
      <c r="FGE4" s="3469"/>
      <c r="FGF4" s="3469"/>
      <c r="FGG4" s="3469"/>
      <c r="FGH4" s="3469"/>
      <c r="FGI4" s="3469"/>
      <c r="FGJ4" s="3469"/>
      <c r="FGK4" s="3469"/>
      <c r="FGL4" s="3469"/>
      <c r="FGM4" s="3469"/>
      <c r="FGN4" s="3469"/>
      <c r="FGO4" s="3469"/>
      <c r="FGP4" s="3469"/>
      <c r="FGQ4" s="3469"/>
      <c r="FGR4" s="3469"/>
      <c r="FGS4" s="3469"/>
      <c r="FGT4" s="3469"/>
      <c r="FGU4" s="3469"/>
      <c r="FGV4" s="3469"/>
      <c r="FGW4" s="3469"/>
      <c r="FGX4" s="3469"/>
      <c r="FGY4" s="3469"/>
      <c r="FGZ4" s="3469"/>
      <c r="FHA4" s="3469"/>
      <c r="FHB4" s="3469"/>
      <c r="FHC4" s="3469"/>
      <c r="FHD4" s="3469"/>
      <c r="FHE4" s="3469"/>
      <c r="FHF4" s="3469"/>
      <c r="FHG4" s="3469"/>
      <c r="FHH4" s="3469"/>
      <c r="FHI4" s="3469"/>
      <c r="FHJ4" s="3469"/>
      <c r="FHK4" s="3469"/>
      <c r="FHL4" s="3469"/>
      <c r="FHM4" s="3469"/>
      <c r="FHN4" s="3469"/>
      <c r="FHO4" s="3469"/>
      <c r="FHP4" s="3469"/>
      <c r="FHQ4" s="3469"/>
      <c r="FHR4" s="3469"/>
      <c r="FHS4" s="3469"/>
      <c r="FHT4" s="3469"/>
      <c r="FHU4" s="3469"/>
      <c r="FHV4" s="3469"/>
      <c r="FHW4" s="3469"/>
      <c r="FHX4" s="3469"/>
      <c r="FHY4" s="3469"/>
      <c r="FHZ4" s="3469"/>
      <c r="FIA4" s="3469"/>
      <c r="FIB4" s="3469"/>
      <c r="FIC4" s="3469"/>
      <c r="FID4" s="3469"/>
      <c r="FIE4" s="3469"/>
      <c r="FIF4" s="3469"/>
      <c r="FIG4" s="3469"/>
      <c r="FIH4" s="3469"/>
      <c r="FII4" s="3469"/>
      <c r="FIJ4" s="3469"/>
      <c r="FIK4" s="3469"/>
      <c r="FIL4" s="3469"/>
      <c r="FIM4" s="3469"/>
      <c r="FIN4" s="3469"/>
      <c r="FIO4" s="3469"/>
      <c r="FIP4" s="3469"/>
      <c r="FIQ4" s="3469"/>
      <c r="FIR4" s="3469"/>
      <c r="FIS4" s="3469"/>
      <c r="FIT4" s="3469"/>
      <c r="FIU4" s="3469"/>
      <c r="FIV4" s="3469"/>
      <c r="FIW4" s="3469"/>
      <c r="FIX4" s="3469"/>
      <c r="FIY4" s="3469"/>
      <c r="FIZ4" s="3469"/>
      <c r="FJA4" s="3469"/>
      <c r="FJB4" s="3469"/>
      <c r="FJC4" s="3469"/>
      <c r="FJD4" s="3469"/>
      <c r="FJE4" s="3469"/>
      <c r="FJF4" s="3469"/>
      <c r="FJG4" s="3469"/>
      <c r="FJH4" s="3469"/>
      <c r="FJI4" s="3469"/>
      <c r="FJJ4" s="3469"/>
      <c r="FJK4" s="3469"/>
      <c r="FJL4" s="3469"/>
      <c r="FJM4" s="3469"/>
      <c r="FJN4" s="3469"/>
      <c r="FJO4" s="3469"/>
      <c r="FJP4" s="3469"/>
      <c r="FJQ4" s="3469"/>
      <c r="FJR4" s="3469"/>
      <c r="FJS4" s="3469"/>
      <c r="FJT4" s="3469"/>
      <c r="FJU4" s="3469"/>
      <c r="FJV4" s="3469"/>
      <c r="FJW4" s="3469"/>
      <c r="FJX4" s="3469"/>
      <c r="FJY4" s="3469"/>
      <c r="FJZ4" s="3469"/>
      <c r="FKA4" s="3469"/>
      <c r="FKB4" s="3469"/>
      <c r="FKC4" s="3469"/>
      <c r="FKD4" s="3469"/>
      <c r="FKE4" s="3469"/>
      <c r="FKF4" s="3469"/>
      <c r="FKG4" s="3469"/>
      <c r="FKH4" s="3469"/>
      <c r="FKI4" s="3469"/>
      <c r="FKJ4" s="3469"/>
      <c r="FKK4" s="3469"/>
      <c r="FKL4" s="3469"/>
      <c r="FKM4" s="3469"/>
      <c r="FKN4" s="3469"/>
      <c r="FKO4" s="3469"/>
      <c r="FKP4" s="3469"/>
      <c r="FKQ4" s="3469"/>
      <c r="FKR4" s="3469"/>
      <c r="FKS4" s="3469"/>
      <c r="FKT4" s="3469"/>
      <c r="FKU4" s="3469"/>
      <c r="FKV4" s="3469"/>
      <c r="FKW4" s="3469"/>
      <c r="FKX4" s="3469"/>
      <c r="FKY4" s="3469"/>
      <c r="FKZ4" s="3469"/>
      <c r="FLA4" s="3469"/>
      <c r="FLB4" s="3469"/>
      <c r="FLC4" s="3469"/>
      <c r="FLD4" s="3469"/>
      <c r="FLE4" s="3469"/>
      <c r="FLF4" s="3469"/>
      <c r="FLG4" s="3469"/>
      <c r="FLH4" s="3469"/>
      <c r="FLI4" s="3469"/>
      <c r="FLJ4" s="3469"/>
      <c r="FLK4" s="3469"/>
      <c r="FLL4" s="3469"/>
      <c r="FLM4" s="3469"/>
      <c r="FLN4" s="3469"/>
      <c r="FLO4" s="3469"/>
      <c r="FLP4" s="3469"/>
      <c r="FLQ4" s="3469"/>
      <c r="FLR4" s="3469"/>
      <c r="FLS4" s="3469"/>
      <c r="FLT4" s="3469"/>
      <c r="FLU4" s="3469"/>
      <c r="FLV4" s="3469"/>
      <c r="FLW4" s="3469"/>
      <c r="FLX4" s="3469"/>
      <c r="FLY4" s="3469"/>
      <c r="FLZ4" s="3469"/>
      <c r="FMA4" s="3469"/>
      <c r="FMB4" s="3469"/>
      <c r="FMC4" s="3469"/>
      <c r="FMD4" s="3469"/>
      <c r="FME4" s="3469"/>
      <c r="FMF4" s="3469"/>
      <c r="FMG4" s="3469"/>
      <c r="FMH4" s="3469"/>
      <c r="FMI4" s="3469"/>
      <c r="FMJ4" s="3469"/>
      <c r="FMK4" s="3469"/>
      <c r="FML4" s="3469"/>
      <c r="FMM4" s="3469"/>
      <c r="FMN4" s="3469"/>
      <c r="FMO4" s="3469"/>
      <c r="FMP4" s="3469"/>
      <c r="FMQ4" s="3469"/>
      <c r="FMR4" s="3469"/>
      <c r="FMS4" s="3469"/>
      <c r="FMT4" s="3469"/>
      <c r="FMU4" s="3469"/>
      <c r="FMV4" s="3469"/>
      <c r="FMW4" s="3469"/>
      <c r="FMX4" s="3469"/>
      <c r="FMY4" s="3469"/>
      <c r="FMZ4" s="3469"/>
      <c r="FNA4" s="3469"/>
      <c r="FNB4" s="3469"/>
      <c r="FNC4" s="3469"/>
      <c r="FND4" s="3469"/>
      <c r="FNE4" s="3469"/>
      <c r="FNF4" s="3469"/>
      <c r="FNG4" s="3469"/>
      <c r="FNH4" s="3469"/>
      <c r="FNI4" s="3469"/>
      <c r="FNJ4" s="3469"/>
      <c r="FNK4" s="3469"/>
      <c r="FNL4" s="3469"/>
      <c r="FNM4" s="3469"/>
      <c r="FNN4" s="3469"/>
      <c r="FNO4" s="3469"/>
      <c r="FNP4" s="3469"/>
      <c r="FNQ4" s="3469"/>
      <c r="FNR4" s="3469"/>
      <c r="FNS4" s="3469"/>
      <c r="FNT4" s="3469"/>
      <c r="FNU4" s="3469"/>
      <c r="FNV4" s="3469"/>
      <c r="FNW4" s="3469"/>
      <c r="FNX4" s="3469"/>
      <c r="FNY4" s="3469"/>
      <c r="FNZ4" s="3469"/>
      <c r="FOA4" s="3469"/>
      <c r="FOB4" s="3469"/>
      <c r="FOC4" s="3469"/>
      <c r="FOD4" s="3469"/>
      <c r="FOE4" s="3469"/>
      <c r="FOF4" s="3469"/>
      <c r="FOG4" s="3469"/>
      <c r="FOH4" s="3469"/>
      <c r="FOI4" s="3469"/>
      <c r="FOJ4" s="3469"/>
      <c r="FOK4" s="3469"/>
      <c r="FOL4" s="3469"/>
      <c r="FOM4" s="3469"/>
      <c r="FON4" s="3469"/>
      <c r="FOO4" s="3469"/>
      <c r="FOP4" s="3469"/>
      <c r="FOQ4" s="3469"/>
      <c r="FOR4" s="3469"/>
      <c r="FOS4" s="3469"/>
      <c r="FOT4" s="3469"/>
      <c r="FOU4" s="3469"/>
      <c r="FOV4" s="3469"/>
      <c r="FOW4" s="3469"/>
      <c r="FOX4" s="3469"/>
      <c r="FOY4" s="3469"/>
      <c r="FOZ4" s="3469"/>
      <c r="FPA4" s="3469"/>
      <c r="FPB4" s="3469"/>
      <c r="FPC4" s="3469"/>
      <c r="FPD4" s="3469"/>
      <c r="FPE4" s="3469"/>
      <c r="FPF4" s="3469"/>
      <c r="FPG4" s="3469"/>
      <c r="FPH4" s="3469"/>
      <c r="FPI4" s="3469"/>
      <c r="FPJ4" s="3469"/>
      <c r="FPK4" s="3469"/>
      <c r="FPL4" s="3469"/>
      <c r="FPM4" s="3469"/>
      <c r="FPN4" s="3469"/>
      <c r="FPO4" s="3469"/>
      <c r="FPP4" s="3469"/>
      <c r="FPQ4" s="3469"/>
      <c r="FPR4" s="3469"/>
      <c r="FPS4" s="3469"/>
      <c r="FPT4" s="3469"/>
      <c r="FPU4" s="3469"/>
      <c r="FPV4" s="3469"/>
      <c r="FPW4" s="3469"/>
      <c r="FPX4" s="3469"/>
      <c r="FPY4" s="3469"/>
      <c r="FPZ4" s="3469"/>
      <c r="FQA4" s="3469"/>
      <c r="FQB4" s="3469"/>
      <c r="FQC4" s="3469"/>
      <c r="FQD4" s="3469"/>
      <c r="FQE4" s="3469"/>
      <c r="FQF4" s="3469"/>
      <c r="FQG4" s="3469"/>
      <c r="FQH4" s="3469"/>
      <c r="FQI4" s="3469"/>
      <c r="FQJ4" s="3469"/>
      <c r="FQK4" s="3469"/>
      <c r="FQL4" s="3469"/>
      <c r="FQM4" s="3469"/>
      <c r="FQN4" s="3469"/>
      <c r="FQO4" s="3469"/>
      <c r="FQP4" s="3469"/>
      <c r="FQQ4" s="3469"/>
      <c r="FQR4" s="3469"/>
      <c r="FQS4" s="3469"/>
      <c r="FQT4" s="3469"/>
      <c r="FQU4" s="3469"/>
      <c r="FQV4" s="3469"/>
      <c r="FQW4" s="3469"/>
      <c r="FQX4" s="3469"/>
      <c r="FQY4" s="3469"/>
      <c r="FQZ4" s="3469"/>
      <c r="FRA4" s="3469"/>
      <c r="FRB4" s="3469"/>
      <c r="FRC4" s="3469"/>
      <c r="FRD4" s="3469"/>
      <c r="FRE4" s="3469"/>
      <c r="FRF4" s="3469"/>
      <c r="FRG4" s="3469"/>
      <c r="FRH4" s="3469"/>
      <c r="FRI4" s="3469"/>
      <c r="FRJ4" s="3469"/>
      <c r="FRK4" s="3469"/>
      <c r="FRL4" s="3469"/>
      <c r="FRM4" s="3469"/>
      <c r="FRN4" s="3469"/>
      <c r="FRO4" s="3469"/>
      <c r="FRP4" s="3469"/>
      <c r="FRQ4" s="3469"/>
      <c r="FRR4" s="3469"/>
      <c r="FRS4" s="3469"/>
      <c r="FRT4" s="3469"/>
      <c r="FRU4" s="3469"/>
      <c r="FRV4" s="3469"/>
      <c r="FRW4" s="3469"/>
      <c r="FRX4" s="3469"/>
      <c r="FRY4" s="3469"/>
      <c r="FRZ4" s="3469"/>
      <c r="FSA4" s="3469"/>
      <c r="FSB4" s="3469"/>
      <c r="FSC4" s="3469"/>
      <c r="FSD4" s="3469"/>
      <c r="FSE4" s="3469"/>
      <c r="FSF4" s="3469"/>
      <c r="FSG4" s="3469"/>
      <c r="FSH4" s="3469"/>
      <c r="FSI4" s="3469"/>
      <c r="FSJ4" s="3469"/>
      <c r="FSK4" s="3469"/>
      <c r="FSL4" s="3469"/>
      <c r="FSM4" s="3469"/>
      <c r="FSN4" s="3469"/>
      <c r="FSO4" s="3469"/>
      <c r="FSP4" s="3469"/>
      <c r="FSQ4" s="3469"/>
      <c r="FSR4" s="3469"/>
      <c r="FSS4" s="3469"/>
      <c r="FST4" s="3469"/>
      <c r="FSU4" s="3469"/>
      <c r="FSV4" s="3469"/>
      <c r="FSW4" s="3469"/>
      <c r="FSX4" s="3469"/>
      <c r="FSY4" s="3469"/>
      <c r="FSZ4" s="3469"/>
      <c r="FTA4" s="3469"/>
      <c r="FTB4" s="3469"/>
      <c r="FTC4" s="3469"/>
      <c r="FTD4" s="3469"/>
      <c r="FTE4" s="3469"/>
      <c r="FTF4" s="3469"/>
      <c r="FTG4" s="3469"/>
      <c r="FTH4" s="3469"/>
      <c r="FTI4" s="3469"/>
      <c r="FTJ4" s="3469"/>
      <c r="FTK4" s="3469"/>
      <c r="FTL4" s="3469"/>
      <c r="FTM4" s="3469"/>
      <c r="FTN4" s="3469"/>
      <c r="FTO4" s="3469"/>
      <c r="FTP4" s="3469"/>
      <c r="FTQ4" s="3469"/>
      <c r="FTR4" s="3469"/>
      <c r="FTS4" s="3469"/>
      <c r="FTT4" s="3469"/>
      <c r="FTU4" s="3469"/>
      <c r="FTV4" s="3469"/>
      <c r="FTW4" s="3469"/>
      <c r="FTX4" s="3469"/>
      <c r="FTY4" s="3469"/>
      <c r="FTZ4" s="3469"/>
      <c r="FUA4" s="3469"/>
      <c r="FUB4" s="3469"/>
      <c r="FUC4" s="3469"/>
      <c r="FUD4" s="3469"/>
      <c r="FUE4" s="3469"/>
      <c r="FUF4" s="3469"/>
      <c r="FUG4" s="3469"/>
      <c r="FUH4" s="3469"/>
      <c r="FUI4" s="3469"/>
      <c r="FUJ4" s="3469"/>
      <c r="FUK4" s="3469"/>
      <c r="FUL4" s="3469"/>
      <c r="FUM4" s="3469"/>
      <c r="FUN4" s="3469"/>
      <c r="FUO4" s="3469"/>
      <c r="FUP4" s="3469"/>
      <c r="FUQ4" s="3469"/>
      <c r="FUR4" s="3469"/>
      <c r="FUS4" s="3469"/>
      <c r="FUT4" s="3469"/>
      <c r="FUU4" s="3469"/>
      <c r="FUV4" s="3469"/>
      <c r="FUW4" s="3469"/>
      <c r="FUX4" s="3469"/>
      <c r="FUY4" s="3469"/>
      <c r="FUZ4" s="3469"/>
      <c r="FVA4" s="3469"/>
      <c r="FVB4" s="3469"/>
      <c r="FVC4" s="3469"/>
      <c r="FVD4" s="3469"/>
      <c r="FVE4" s="3469"/>
      <c r="FVF4" s="3469"/>
      <c r="FVG4" s="3469"/>
      <c r="FVH4" s="3469"/>
      <c r="FVI4" s="3469"/>
      <c r="FVJ4" s="3469"/>
      <c r="FVK4" s="3469"/>
      <c r="FVL4" s="3469"/>
      <c r="FVM4" s="3469"/>
      <c r="FVN4" s="3469"/>
      <c r="FVO4" s="3469"/>
      <c r="FVP4" s="3469"/>
      <c r="FVQ4" s="3469"/>
      <c r="FVR4" s="3469"/>
      <c r="FVS4" s="3469"/>
      <c r="FVT4" s="3469"/>
      <c r="FVU4" s="3469"/>
      <c r="FVV4" s="3469"/>
      <c r="FVW4" s="3469"/>
      <c r="FVX4" s="3469"/>
      <c r="FVY4" s="3469"/>
      <c r="FVZ4" s="3469"/>
      <c r="FWA4" s="3469"/>
      <c r="FWB4" s="3469"/>
      <c r="FWC4" s="3469"/>
      <c r="FWD4" s="3469"/>
      <c r="FWE4" s="3469"/>
      <c r="FWF4" s="3469"/>
      <c r="FWG4" s="3469"/>
      <c r="FWH4" s="3469"/>
      <c r="FWI4" s="3469"/>
      <c r="FWJ4" s="3469"/>
      <c r="FWK4" s="3469"/>
      <c r="FWL4" s="3469"/>
      <c r="FWM4" s="3469"/>
      <c r="FWN4" s="3469"/>
      <c r="FWO4" s="3469"/>
      <c r="FWP4" s="3469"/>
      <c r="FWQ4" s="3469"/>
      <c r="FWR4" s="3469"/>
      <c r="FWS4" s="3469"/>
      <c r="FWT4" s="3469"/>
      <c r="FWU4" s="3469"/>
      <c r="FWV4" s="3469"/>
      <c r="FWW4" s="3469"/>
      <c r="FWX4" s="3469"/>
      <c r="FWY4" s="3469"/>
      <c r="FWZ4" s="3469"/>
      <c r="FXA4" s="3469"/>
      <c r="FXB4" s="3469"/>
      <c r="FXC4" s="3469"/>
      <c r="FXD4" s="3469"/>
      <c r="FXE4" s="3469"/>
      <c r="FXF4" s="3469"/>
      <c r="FXG4" s="3469"/>
      <c r="FXH4" s="3469"/>
      <c r="FXI4" s="3469"/>
      <c r="FXJ4" s="3469"/>
      <c r="FXK4" s="3469"/>
      <c r="FXL4" s="3469"/>
      <c r="FXM4" s="3469"/>
      <c r="FXN4" s="3469"/>
      <c r="FXO4" s="3469"/>
      <c r="FXP4" s="3469"/>
      <c r="FXQ4" s="3469"/>
      <c r="FXR4" s="3469"/>
      <c r="FXS4" s="3469"/>
      <c r="FXT4" s="3469"/>
      <c r="FXU4" s="3469"/>
      <c r="FXV4" s="3469"/>
      <c r="FXW4" s="3469"/>
      <c r="FXX4" s="3469"/>
      <c r="FXY4" s="3469"/>
      <c r="FXZ4" s="3469"/>
      <c r="FYA4" s="3469"/>
      <c r="FYB4" s="3469"/>
      <c r="FYC4" s="3469"/>
      <c r="FYD4" s="3469"/>
      <c r="FYE4" s="3469"/>
      <c r="FYF4" s="3469"/>
      <c r="FYG4" s="3469"/>
      <c r="FYH4" s="3469"/>
      <c r="FYI4" s="3469"/>
      <c r="FYJ4" s="3469"/>
      <c r="FYK4" s="3469"/>
      <c r="FYL4" s="3469"/>
      <c r="FYM4" s="3469"/>
      <c r="FYN4" s="3469"/>
      <c r="FYO4" s="3469"/>
      <c r="FYP4" s="3469"/>
      <c r="FYQ4" s="3469"/>
      <c r="FYR4" s="3469"/>
      <c r="FYS4" s="3469"/>
      <c r="FYT4" s="3469"/>
      <c r="FYU4" s="3469"/>
      <c r="FYV4" s="3469"/>
      <c r="FYW4" s="3469"/>
      <c r="FYX4" s="3469"/>
      <c r="FYY4" s="3469"/>
      <c r="FYZ4" s="3469"/>
      <c r="FZA4" s="3469"/>
      <c r="FZB4" s="3469"/>
      <c r="FZC4" s="3469"/>
      <c r="FZD4" s="3469"/>
      <c r="FZE4" s="3469"/>
      <c r="FZF4" s="3469"/>
      <c r="FZG4" s="3469"/>
      <c r="FZH4" s="3469"/>
      <c r="FZI4" s="3469"/>
      <c r="FZJ4" s="3469"/>
      <c r="FZK4" s="3469"/>
      <c r="FZL4" s="3469"/>
      <c r="FZM4" s="3469"/>
      <c r="FZN4" s="3469"/>
      <c r="FZO4" s="3469"/>
      <c r="FZP4" s="3469"/>
      <c r="FZQ4" s="3469"/>
      <c r="FZR4" s="3469"/>
      <c r="FZS4" s="3469"/>
      <c r="FZT4" s="3469"/>
      <c r="FZU4" s="3469"/>
      <c r="FZV4" s="3469"/>
      <c r="FZW4" s="3469"/>
      <c r="FZX4" s="3469"/>
      <c r="FZY4" s="3469"/>
      <c r="FZZ4" s="3469"/>
      <c r="GAA4" s="3469"/>
      <c r="GAB4" s="3469"/>
      <c r="GAC4" s="3469"/>
      <c r="GAD4" s="3469"/>
      <c r="GAE4" s="3469"/>
      <c r="GAF4" s="3469"/>
      <c r="GAG4" s="3469"/>
      <c r="GAH4" s="3469"/>
      <c r="GAI4" s="3469"/>
      <c r="GAJ4" s="3469"/>
      <c r="GAK4" s="3469"/>
      <c r="GAL4" s="3469"/>
      <c r="GAM4" s="3469"/>
      <c r="GAN4" s="3469"/>
      <c r="GAO4" s="3469"/>
      <c r="GAP4" s="3469"/>
      <c r="GAQ4" s="3469"/>
      <c r="GAR4" s="3469"/>
      <c r="GAS4" s="3469"/>
      <c r="GAT4" s="3469"/>
      <c r="GAU4" s="3469"/>
      <c r="GAV4" s="3469"/>
      <c r="GAW4" s="3469"/>
      <c r="GAX4" s="3469"/>
      <c r="GAY4" s="3469"/>
      <c r="GAZ4" s="3469"/>
      <c r="GBA4" s="3469"/>
      <c r="GBB4" s="3469"/>
      <c r="GBC4" s="3469"/>
      <c r="GBD4" s="3469"/>
      <c r="GBE4" s="3469"/>
      <c r="GBF4" s="3469"/>
      <c r="GBG4" s="3469"/>
      <c r="GBH4" s="3469"/>
      <c r="GBI4" s="3469"/>
      <c r="GBJ4" s="3469"/>
      <c r="GBK4" s="3469"/>
      <c r="GBL4" s="3469"/>
      <c r="GBM4" s="3469"/>
      <c r="GBN4" s="3469"/>
      <c r="GBO4" s="3469"/>
      <c r="GBP4" s="3469"/>
      <c r="GBQ4" s="3469"/>
      <c r="GBR4" s="3469"/>
      <c r="GBS4" s="3469"/>
      <c r="GBT4" s="3469"/>
      <c r="GBU4" s="3469"/>
      <c r="GBV4" s="3469"/>
      <c r="GBW4" s="3469"/>
      <c r="GBX4" s="3469"/>
      <c r="GBY4" s="3469"/>
      <c r="GBZ4" s="3469"/>
      <c r="GCA4" s="3469"/>
      <c r="GCB4" s="3469"/>
      <c r="GCC4" s="3469"/>
      <c r="GCD4" s="3469"/>
      <c r="GCE4" s="3469"/>
      <c r="GCF4" s="3469"/>
      <c r="GCG4" s="3469"/>
      <c r="GCH4" s="3469"/>
      <c r="GCI4" s="3469"/>
      <c r="GCJ4" s="3469"/>
      <c r="GCK4" s="3469"/>
      <c r="GCL4" s="3469"/>
      <c r="GCM4" s="3469"/>
      <c r="GCN4" s="3469"/>
      <c r="GCO4" s="3469"/>
      <c r="GCP4" s="3469"/>
      <c r="GCQ4" s="3469"/>
      <c r="GCR4" s="3469"/>
      <c r="GCS4" s="3469"/>
      <c r="GCT4" s="3469"/>
      <c r="GCU4" s="3469"/>
      <c r="GCV4" s="3469"/>
      <c r="GCW4" s="3469"/>
      <c r="GCX4" s="3469"/>
      <c r="GCY4" s="3469"/>
      <c r="GCZ4" s="3469"/>
      <c r="GDA4" s="3469"/>
      <c r="GDB4" s="3469"/>
      <c r="GDC4" s="3469"/>
      <c r="GDD4" s="3469"/>
      <c r="GDE4" s="3469"/>
      <c r="GDF4" s="3469"/>
      <c r="GDG4" s="3469"/>
      <c r="GDH4" s="3469"/>
      <c r="GDI4" s="3469"/>
      <c r="GDJ4" s="3469"/>
      <c r="GDK4" s="3469"/>
      <c r="GDL4" s="3469"/>
      <c r="GDM4" s="3469"/>
      <c r="GDN4" s="3469"/>
      <c r="GDO4" s="3469"/>
      <c r="GDP4" s="3469"/>
      <c r="GDQ4" s="3469"/>
      <c r="GDR4" s="3469"/>
      <c r="GDS4" s="3469"/>
      <c r="GDT4" s="3469"/>
      <c r="GDU4" s="3469"/>
      <c r="GDV4" s="3469"/>
      <c r="GDW4" s="3469"/>
      <c r="GDX4" s="3469"/>
      <c r="GDY4" s="3469"/>
      <c r="GDZ4" s="3469"/>
      <c r="GEA4" s="3469"/>
      <c r="GEB4" s="3469"/>
      <c r="GEC4" s="3469"/>
      <c r="GED4" s="3469"/>
      <c r="GEE4" s="3469"/>
      <c r="GEF4" s="3469"/>
      <c r="GEG4" s="3469"/>
      <c r="GEH4" s="3469"/>
      <c r="GEI4" s="3469"/>
      <c r="GEJ4" s="3469"/>
      <c r="GEK4" s="3469"/>
      <c r="GEL4" s="3469"/>
      <c r="GEM4" s="3469"/>
      <c r="GEN4" s="3469"/>
      <c r="GEO4" s="3469"/>
      <c r="GEP4" s="3469"/>
      <c r="GEQ4" s="3469"/>
      <c r="GER4" s="3469"/>
      <c r="GES4" s="3469"/>
      <c r="GET4" s="3469"/>
      <c r="GEU4" s="3469"/>
      <c r="GEV4" s="3469"/>
      <c r="GEW4" s="3469"/>
      <c r="GEX4" s="3469"/>
      <c r="GEY4" s="3469"/>
      <c r="GEZ4" s="3469"/>
      <c r="GFA4" s="3469"/>
      <c r="GFB4" s="3469"/>
      <c r="GFC4" s="3469"/>
      <c r="GFD4" s="3469"/>
      <c r="GFE4" s="3469"/>
      <c r="GFF4" s="3469"/>
      <c r="GFG4" s="3469"/>
      <c r="GFH4" s="3469"/>
      <c r="GFI4" s="3469"/>
      <c r="GFJ4" s="3469"/>
      <c r="GFK4" s="3469"/>
      <c r="GFL4" s="3469"/>
      <c r="GFM4" s="3469"/>
      <c r="GFN4" s="3469"/>
      <c r="GFO4" s="3469"/>
      <c r="GFP4" s="3469"/>
      <c r="GFQ4" s="3469"/>
      <c r="GFR4" s="3469"/>
      <c r="GFS4" s="3469"/>
      <c r="GFT4" s="3469"/>
      <c r="GFU4" s="3469"/>
      <c r="GFV4" s="3469"/>
      <c r="GFW4" s="3469"/>
      <c r="GFX4" s="3469"/>
      <c r="GFY4" s="3469"/>
      <c r="GFZ4" s="3469"/>
      <c r="GGA4" s="3469"/>
      <c r="GGB4" s="3469"/>
      <c r="GGC4" s="3469"/>
      <c r="GGD4" s="3469"/>
      <c r="GGE4" s="3469"/>
      <c r="GGF4" s="3469"/>
      <c r="GGG4" s="3469"/>
      <c r="GGH4" s="3469"/>
      <c r="GGI4" s="3469"/>
      <c r="GGJ4" s="3469"/>
      <c r="GGK4" s="3469"/>
      <c r="GGL4" s="3469"/>
      <c r="GGM4" s="3469"/>
      <c r="GGN4" s="3469"/>
      <c r="GGO4" s="3469"/>
      <c r="GGP4" s="3469"/>
      <c r="GGQ4" s="3469"/>
      <c r="GGR4" s="3469"/>
      <c r="GGS4" s="3469"/>
      <c r="GGT4" s="3469"/>
      <c r="GGU4" s="3469"/>
      <c r="GGV4" s="3469"/>
      <c r="GGW4" s="3469"/>
      <c r="GGX4" s="3469"/>
      <c r="GGY4" s="3469"/>
      <c r="GGZ4" s="3469"/>
      <c r="GHA4" s="3469"/>
      <c r="GHB4" s="3469"/>
      <c r="GHC4" s="3469"/>
      <c r="GHD4" s="3469"/>
      <c r="GHE4" s="3469"/>
      <c r="GHF4" s="3469"/>
      <c r="GHG4" s="3469"/>
      <c r="GHH4" s="3469"/>
      <c r="GHI4" s="3469"/>
      <c r="GHJ4" s="3469"/>
      <c r="GHK4" s="3469"/>
      <c r="GHL4" s="3469"/>
      <c r="GHM4" s="3469"/>
      <c r="GHN4" s="3469"/>
      <c r="GHO4" s="3469"/>
      <c r="GHP4" s="3469"/>
      <c r="GHQ4" s="3469"/>
      <c r="GHR4" s="3469"/>
      <c r="GHS4" s="3469"/>
      <c r="GHT4" s="3469"/>
      <c r="GHU4" s="3469"/>
      <c r="GHV4" s="3469"/>
      <c r="GHW4" s="3469"/>
      <c r="GHX4" s="3469"/>
      <c r="GHY4" s="3469"/>
      <c r="GHZ4" s="3469"/>
      <c r="GIA4" s="3469"/>
      <c r="GIB4" s="3469"/>
      <c r="GIC4" s="3469"/>
      <c r="GID4" s="3469"/>
      <c r="GIE4" s="3469"/>
      <c r="GIF4" s="3469"/>
      <c r="GIG4" s="3469"/>
      <c r="GIH4" s="3469"/>
      <c r="GII4" s="3469"/>
      <c r="GIJ4" s="3469"/>
      <c r="GIK4" s="3469"/>
      <c r="GIL4" s="3469"/>
      <c r="GIM4" s="3469"/>
      <c r="GIN4" s="3469"/>
      <c r="GIO4" s="3469"/>
      <c r="GIP4" s="3469"/>
      <c r="GIQ4" s="3469"/>
      <c r="GIR4" s="3469"/>
      <c r="GIS4" s="3469"/>
      <c r="GIT4" s="3469"/>
      <c r="GIU4" s="3469"/>
      <c r="GIV4" s="3469"/>
      <c r="GIW4" s="3469"/>
      <c r="GIX4" s="3469"/>
      <c r="GIY4" s="3469"/>
      <c r="GIZ4" s="3469"/>
      <c r="GJA4" s="3469"/>
      <c r="GJB4" s="3469"/>
      <c r="GJC4" s="3469"/>
      <c r="GJD4" s="3469"/>
      <c r="GJE4" s="3469"/>
      <c r="GJF4" s="3469"/>
      <c r="GJG4" s="3469"/>
      <c r="GJH4" s="3469"/>
      <c r="GJI4" s="3469"/>
      <c r="GJJ4" s="3469"/>
      <c r="GJK4" s="3469"/>
      <c r="GJL4" s="3469"/>
      <c r="GJM4" s="3469"/>
      <c r="GJN4" s="3469"/>
      <c r="GJO4" s="3469"/>
      <c r="GJP4" s="3469"/>
      <c r="GJQ4" s="3469"/>
      <c r="GJR4" s="3469"/>
      <c r="GJS4" s="3469"/>
      <c r="GJT4" s="3469"/>
      <c r="GJU4" s="3469"/>
      <c r="GJV4" s="3469"/>
      <c r="GJW4" s="3469"/>
      <c r="GJX4" s="3469"/>
      <c r="GJY4" s="3469"/>
      <c r="GJZ4" s="3469"/>
      <c r="GKA4" s="3469"/>
      <c r="GKB4" s="3469"/>
      <c r="GKC4" s="3469"/>
      <c r="GKD4" s="3469"/>
      <c r="GKE4" s="3469"/>
      <c r="GKF4" s="3469"/>
      <c r="GKG4" s="3469"/>
      <c r="GKH4" s="3469"/>
      <c r="GKI4" s="3469"/>
      <c r="GKJ4" s="3469"/>
      <c r="GKK4" s="3469"/>
      <c r="GKL4" s="3469"/>
      <c r="GKM4" s="3469"/>
      <c r="GKN4" s="3469"/>
      <c r="GKO4" s="3469"/>
      <c r="GKP4" s="3469"/>
      <c r="GKQ4" s="3469"/>
      <c r="GKR4" s="3469"/>
      <c r="GKS4" s="3469"/>
      <c r="GKT4" s="3469"/>
      <c r="GKU4" s="3469"/>
      <c r="GKV4" s="3469"/>
      <c r="GKW4" s="3469"/>
      <c r="GKX4" s="3469"/>
      <c r="GKY4" s="3469"/>
      <c r="GKZ4" s="3469"/>
      <c r="GLA4" s="3469"/>
      <c r="GLB4" s="3469"/>
      <c r="GLC4" s="3469"/>
      <c r="GLD4" s="3469"/>
      <c r="GLE4" s="3469"/>
      <c r="GLF4" s="3469"/>
      <c r="GLG4" s="3469"/>
      <c r="GLH4" s="3469"/>
      <c r="GLI4" s="3469"/>
      <c r="GLJ4" s="3469"/>
      <c r="GLK4" s="3469"/>
      <c r="GLL4" s="3469"/>
      <c r="GLM4" s="3469"/>
      <c r="GLN4" s="3469"/>
      <c r="GLO4" s="3469"/>
      <c r="GLP4" s="3469"/>
      <c r="GLQ4" s="3469"/>
      <c r="GLR4" s="3469"/>
      <c r="GLS4" s="3469"/>
      <c r="GLT4" s="3469"/>
      <c r="GLU4" s="3469"/>
      <c r="GLV4" s="3469"/>
      <c r="GLW4" s="3469"/>
      <c r="GLX4" s="3469"/>
      <c r="GLY4" s="3469"/>
      <c r="GLZ4" s="3469"/>
      <c r="GMA4" s="3469"/>
      <c r="GMB4" s="3469"/>
      <c r="GMC4" s="3469"/>
      <c r="GMD4" s="3469"/>
      <c r="GME4" s="3469"/>
      <c r="GMF4" s="3469"/>
      <c r="GMG4" s="3469"/>
      <c r="GMH4" s="3469"/>
      <c r="GMI4" s="3469"/>
      <c r="GMJ4" s="3469"/>
      <c r="GMK4" s="3469"/>
      <c r="GML4" s="3469"/>
      <c r="GMM4" s="3469"/>
      <c r="GMN4" s="3469"/>
      <c r="GMO4" s="3469"/>
      <c r="GMP4" s="3469"/>
      <c r="GMQ4" s="3469"/>
      <c r="GMR4" s="3469"/>
      <c r="GMS4" s="3469"/>
      <c r="GMT4" s="3469"/>
      <c r="GMU4" s="3469"/>
      <c r="GMV4" s="3469"/>
      <c r="GMW4" s="3469"/>
      <c r="GMX4" s="3469"/>
      <c r="GMY4" s="3469"/>
      <c r="GMZ4" s="3469"/>
      <c r="GNA4" s="3469"/>
      <c r="GNB4" s="3469"/>
      <c r="GNC4" s="3469"/>
      <c r="GND4" s="3469"/>
      <c r="GNE4" s="3469"/>
      <c r="GNF4" s="3469"/>
      <c r="GNG4" s="3469"/>
      <c r="GNH4" s="3469"/>
      <c r="GNI4" s="3469"/>
      <c r="GNJ4" s="3469"/>
      <c r="GNK4" s="3469"/>
      <c r="GNL4" s="3469"/>
      <c r="GNM4" s="3469"/>
      <c r="GNN4" s="3469"/>
      <c r="GNO4" s="3469"/>
      <c r="GNP4" s="3469"/>
      <c r="GNQ4" s="3469"/>
      <c r="GNR4" s="3469"/>
      <c r="GNS4" s="3469"/>
      <c r="GNT4" s="3469"/>
      <c r="GNU4" s="3469"/>
      <c r="GNV4" s="3469"/>
      <c r="GNW4" s="3469"/>
      <c r="GNX4" s="3469"/>
      <c r="GNY4" s="3469"/>
      <c r="GNZ4" s="3469"/>
      <c r="GOA4" s="3469"/>
      <c r="GOB4" s="3469"/>
      <c r="GOC4" s="3469"/>
      <c r="GOD4" s="3469"/>
      <c r="GOE4" s="3469"/>
      <c r="GOF4" s="3469"/>
      <c r="GOG4" s="3469"/>
      <c r="GOH4" s="3469"/>
      <c r="GOI4" s="3469"/>
      <c r="GOJ4" s="3469"/>
      <c r="GOK4" s="3469"/>
      <c r="GOL4" s="3469"/>
      <c r="GOM4" s="3469"/>
      <c r="GON4" s="3469"/>
      <c r="GOO4" s="3469"/>
      <c r="GOP4" s="3469"/>
      <c r="GOQ4" s="3469"/>
      <c r="GOR4" s="3469"/>
      <c r="GOS4" s="3469"/>
      <c r="GOT4" s="3469"/>
      <c r="GOU4" s="3469"/>
      <c r="GOV4" s="3469"/>
      <c r="GOW4" s="3469"/>
      <c r="GOX4" s="3469"/>
      <c r="GOY4" s="3469"/>
      <c r="GOZ4" s="3469"/>
      <c r="GPA4" s="3469"/>
      <c r="GPB4" s="3469"/>
      <c r="GPC4" s="3469"/>
      <c r="GPD4" s="3469"/>
      <c r="GPE4" s="3469"/>
      <c r="GPF4" s="3469"/>
      <c r="GPG4" s="3469"/>
      <c r="GPH4" s="3469"/>
      <c r="GPI4" s="3469"/>
      <c r="GPJ4" s="3469"/>
      <c r="GPK4" s="3469"/>
      <c r="GPL4" s="3469"/>
      <c r="GPM4" s="3469"/>
      <c r="GPN4" s="3469"/>
      <c r="GPO4" s="3469"/>
      <c r="GPP4" s="3469"/>
      <c r="GPQ4" s="3469"/>
      <c r="GPR4" s="3469"/>
      <c r="GPS4" s="3469"/>
      <c r="GPT4" s="3469"/>
      <c r="GPU4" s="3469"/>
      <c r="GPV4" s="3469"/>
      <c r="GPW4" s="3469"/>
      <c r="GPX4" s="3469"/>
      <c r="GPY4" s="3469"/>
      <c r="GPZ4" s="3469"/>
      <c r="GQA4" s="3469"/>
      <c r="GQB4" s="3469"/>
      <c r="GQC4" s="3469"/>
      <c r="GQD4" s="3469"/>
      <c r="GQE4" s="3469"/>
      <c r="GQF4" s="3469"/>
      <c r="GQG4" s="3469"/>
      <c r="GQH4" s="3469"/>
      <c r="GQI4" s="3469"/>
      <c r="GQJ4" s="3469"/>
      <c r="GQK4" s="3469"/>
      <c r="GQL4" s="3469"/>
      <c r="GQM4" s="3469"/>
      <c r="GQN4" s="3469"/>
      <c r="GQO4" s="3469"/>
      <c r="GQP4" s="3469"/>
      <c r="GQQ4" s="3469"/>
      <c r="GQR4" s="3469"/>
      <c r="GQS4" s="3469"/>
      <c r="GQT4" s="3469"/>
      <c r="GQU4" s="3469"/>
      <c r="GQV4" s="3469"/>
      <c r="GQW4" s="3469"/>
      <c r="GQX4" s="3469"/>
      <c r="GQY4" s="3469"/>
      <c r="GQZ4" s="3469"/>
      <c r="GRA4" s="3469"/>
      <c r="GRB4" s="3469"/>
      <c r="GRC4" s="3469"/>
      <c r="GRD4" s="3469"/>
      <c r="GRE4" s="3469"/>
      <c r="GRF4" s="3469"/>
      <c r="GRG4" s="3469"/>
      <c r="GRH4" s="3469"/>
      <c r="GRI4" s="3469"/>
      <c r="GRJ4" s="3469"/>
      <c r="GRK4" s="3469"/>
      <c r="GRL4" s="3469"/>
      <c r="GRM4" s="3469"/>
      <c r="GRN4" s="3469"/>
      <c r="GRO4" s="3469"/>
      <c r="GRP4" s="3469"/>
      <c r="GRQ4" s="3469"/>
      <c r="GRR4" s="3469"/>
      <c r="GRS4" s="3469"/>
      <c r="GRT4" s="3469"/>
      <c r="GRU4" s="3469"/>
      <c r="GRV4" s="3469"/>
      <c r="GRW4" s="3469"/>
      <c r="GRX4" s="3469"/>
      <c r="GRY4" s="3469"/>
      <c r="GRZ4" s="3469"/>
      <c r="GSA4" s="3469"/>
      <c r="GSB4" s="3469"/>
      <c r="GSC4" s="3469"/>
      <c r="GSD4" s="3469"/>
      <c r="GSE4" s="3469"/>
      <c r="GSF4" s="3469"/>
      <c r="GSG4" s="3469"/>
      <c r="GSH4" s="3469"/>
      <c r="GSI4" s="3469"/>
      <c r="GSJ4" s="3469"/>
      <c r="GSK4" s="3469"/>
      <c r="GSL4" s="3469"/>
      <c r="GSM4" s="3469"/>
      <c r="GSN4" s="3469"/>
      <c r="GSO4" s="3469"/>
      <c r="GSP4" s="3469"/>
      <c r="GSQ4" s="3469"/>
      <c r="GSR4" s="3469"/>
      <c r="GSS4" s="3469"/>
      <c r="GST4" s="3469"/>
      <c r="GSU4" s="3469"/>
      <c r="GSV4" s="3469"/>
      <c r="GSW4" s="3469"/>
      <c r="GSX4" s="3469"/>
      <c r="GSY4" s="3469"/>
      <c r="GSZ4" s="3469"/>
      <c r="GTA4" s="3469"/>
      <c r="GTB4" s="3469"/>
      <c r="GTC4" s="3469"/>
      <c r="GTD4" s="3469"/>
      <c r="GTE4" s="3469"/>
      <c r="GTF4" s="3469"/>
      <c r="GTG4" s="3469"/>
      <c r="GTH4" s="3469"/>
      <c r="GTI4" s="3469"/>
      <c r="GTJ4" s="3469"/>
      <c r="GTK4" s="3469"/>
      <c r="GTL4" s="3469"/>
      <c r="GTM4" s="3469"/>
      <c r="GTN4" s="3469"/>
      <c r="GTO4" s="3469"/>
      <c r="GTP4" s="3469"/>
      <c r="GTQ4" s="3469"/>
      <c r="GTR4" s="3469"/>
      <c r="GTS4" s="3469"/>
      <c r="GTT4" s="3469"/>
      <c r="GTU4" s="3469"/>
      <c r="GTV4" s="3469"/>
      <c r="GTW4" s="3469"/>
      <c r="GTX4" s="3469"/>
      <c r="GTY4" s="3469"/>
      <c r="GTZ4" s="3469"/>
      <c r="GUA4" s="3469"/>
      <c r="GUB4" s="3469"/>
      <c r="GUC4" s="3469"/>
      <c r="GUD4" s="3469"/>
      <c r="GUE4" s="3469"/>
      <c r="GUF4" s="3469"/>
      <c r="GUG4" s="3469"/>
      <c r="GUH4" s="3469"/>
      <c r="GUI4" s="3469"/>
      <c r="GUJ4" s="3469"/>
      <c r="GUK4" s="3469"/>
      <c r="GUL4" s="3469"/>
      <c r="GUM4" s="3469"/>
      <c r="GUN4" s="3469"/>
      <c r="GUO4" s="3469"/>
      <c r="GUP4" s="3469"/>
      <c r="GUQ4" s="3469"/>
      <c r="GUR4" s="3469"/>
      <c r="GUS4" s="3469"/>
      <c r="GUT4" s="3469"/>
      <c r="GUU4" s="3469"/>
      <c r="GUV4" s="3469"/>
      <c r="GUW4" s="3469"/>
      <c r="GUX4" s="3469"/>
      <c r="GUY4" s="3469"/>
      <c r="GUZ4" s="3469"/>
      <c r="GVA4" s="3469"/>
      <c r="GVB4" s="3469"/>
      <c r="GVC4" s="3469"/>
      <c r="GVD4" s="3469"/>
      <c r="GVE4" s="3469"/>
      <c r="GVF4" s="3469"/>
      <c r="GVG4" s="3469"/>
      <c r="GVH4" s="3469"/>
      <c r="GVI4" s="3469"/>
      <c r="GVJ4" s="3469"/>
      <c r="GVK4" s="3469"/>
      <c r="GVL4" s="3469"/>
      <c r="GVM4" s="3469"/>
      <c r="GVN4" s="3469"/>
      <c r="GVO4" s="3469"/>
      <c r="GVP4" s="3469"/>
      <c r="GVQ4" s="3469"/>
      <c r="GVR4" s="3469"/>
      <c r="GVS4" s="3469"/>
      <c r="GVT4" s="3469"/>
      <c r="GVU4" s="3469"/>
      <c r="GVV4" s="3469"/>
      <c r="GVW4" s="3469"/>
      <c r="GVX4" s="3469"/>
      <c r="GVY4" s="3469"/>
      <c r="GVZ4" s="3469"/>
      <c r="GWA4" s="3469"/>
      <c r="GWB4" s="3469"/>
      <c r="GWC4" s="3469"/>
      <c r="GWD4" s="3469"/>
      <c r="GWE4" s="3469"/>
      <c r="GWF4" s="3469"/>
      <c r="GWG4" s="3469"/>
      <c r="GWH4" s="3469"/>
      <c r="GWI4" s="3469"/>
      <c r="GWJ4" s="3469"/>
      <c r="GWK4" s="3469"/>
      <c r="GWL4" s="3469"/>
      <c r="GWM4" s="3469"/>
      <c r="GWN4" s="3469"/>
      <c r="GWO4" s="3469"/>
      <c r="GWP4" s="3469"/>
      <c r="GWQ4" s="3469"/>
      <c r="GWR4" s="3469"/>
      <c r="GWS4" s="3469"/>
      <c r="GWT4" s="3469"/>
      <c r="GWU4" s="3469"/>
      <c r="GWV4" s="3469"/>
      <c r="GWW4" s="3469"/>
      <c r="GWX4" s="3469"/>
      <c r="GWY4" s="3469"/>
      <c r="GWZ4" s="3469"/>
      <c r="GXA4" s="3469"/>
      <c r="GXB4" s="3469"/>
      <c r="GXC4" s="3469"/>
      <c r="GXD4" s="3469"/>
      <c r="GXE4" s="3469"/>
      <c r="GXF4" s="3469"/>
      <c r="GXG4" s="3469"/>
      <c r="GXH4" s="3469"/>
      <c r="GXI4" s="3469"/>
      <c r="GXJ4" s="3469"/>
      <c r="GXK4" s="3469"/>
      <c r="GXL4" s="3469"/>
      <c r="GXM4" s="3469"/>
      <c r="GXN4" s="3469"/>
      <c r="GXO4" s="3469"/>
      <c r="GXP4" s="3469"/>
      <c r="GXQ4" s="3469"/>
      <c r="GXR4" s="3469"/>
      <c r="GXS4" s="3469"/>
      <c r="GXT4" s="3469"/>
      <c r="GXU4" s="3469"/>
      <c r="GXV4" s="3469"/>
      <c r="GXW4" s="3469"/>
      <c r="GXX4" s="3469"/>
      <c r="GXY4" s="3469"/>
      <c r="GXZ4" s="3469"/>
      <c r="GYA4" s="3469"/>
      <c r="GYB4" s="3469"/>
      <c r="GYC4" s="3469"/>
      <c r="GYD4" s="3469"/>
      <c r="GYE4" s="3469"/>
      <c r="GYF4" s="3469"/>
      <c r="GYG4" s="3469"/>
      <c r="GYH4" s="3469"/>
      <c r="GYI4" s="3469"/>
      <c r="GYJ4" s="3469"/>
      <c r="GYK4" s="3469"/>
      <c r="GYL4" s="3469"/>
      <c r="GYM4" s="3469"/>
      <c r="GYN4" s="3469"/>
      <c r="GYO4" s="3469"/>
      <c r="GYP4" s="3469"/>
      <c r="GYQ4" s="3469"/>
      <c r="GYR4" s="3469"/>
      <c r="GYS4" s="3469"/>
      <c r="GYT4" s="3469"/>
      <c r="GYU4" s="3469"/>
      <c r="GYV4" s="3469"/>
      <c r="GYW4" s="3469"/>
      <c r="GYX4" s="3469"/>
      <c r="GYY4" s="3469"/>
      <c r="GYZ4" s="3469"/>
      <c r="GZA4" s="3469"/>
      <c r="GZB4" s="3469"/>
      <c r="GZC4" s="3469"/>
      <c r="GZD4" s="3469"/>
      <c r="GZE4" s="3469"/>
      <c r="GZF4" s="3469"/>
      <c r="GZG4" s="3469"/>
      <c r="GZH4" s="3469"/>
      <c r="GZI4" s="3469"/>
      <c r="GZJ4" s="3469"/>
      <c r="GZK4" s="3469"/>
      <c r="GZL4" s="3469"/>
      <c r="GZM4" s="3469"/>
      <c r="GZN4" s="3469"/>
      <c r="GZO4" s="3469"/>
      <c r="GZP4" s="3469"/>
      <c r="GZQ4" s="3469"/>
      <c r="GZR4" s="3469"/>
      <c r="GZS4" s="3469"/>
      <c r="GZT4" s="3469"/>
      <c r="GZU4" s="3469"/>
      <c r="GZV4" s="3469"/>
      <c r="GZW4" s="3469"/>
      <c r="GZX4" s="3469"/>
      <c r="GZY4" s="3469"/>
      <c r="GZZ4" s="3469"/>
      <c r="HAA4" s="3469"/>
      <c r="HAB4" s="3469"/>
      <c r="HAC4" s="3469"/>
      <c r="HAD4" s="3469"/>
      <c r="HAE4" s="3469"/>
      <c r="HAF4" s="3469"/>
      <c r="HAG4" s="3469"/>
      <c r="HAH4" s="3469"/>
      <c r="HAI4" s="3469"/>
      <c r="HAJ4" s="3469"/>
      <c r="HAK4" s="3469"/>
      <c r="HAL4" s="3469"/>
      <c r="HAM4" s="3469"/>
      <c r="HAN4" s="3469"/>
      <c r="HAO4" s="3469"/>
      <c r="HAP4" s="3469"/>
      <c r="HAQ4" s="3469"/>
      <c r="HAR4" s="3469"/>
      <c r="HAS4" s="3469"/>
      <c r="HAT4" s="3469"/>
      <c r="HAU4" s="3469"/>
      <c r="HAV4" s="3469"/>
      <c r="HAW4" s="3469"/>
      <c r="HAX4" s="3469"/>
      <c r="HAY4" s="3469"/>
      <c r="HAZ4" s="3469"/>
      <c r="HBA4" s="3469"/>
      <c r="HBB4" s="3469"/>
      <c r="HBC4" s="3469"/>
      <c r="HBD4" s="3469"/>
      <c r="HBE4" s="3469"/>
      <c r="HBF4" s="3469"/>
      <c r="HBG4" s="3469"/>
      <c r="HBH4" s="3469"/>
      <c r="HBI4" s="3469"/>
      <c r="HBJ4" s="3469"/>
      <c r="HBK4" s="3469"/>
      <c r="HBL4" s="3469"/>
      <c r="HBM4" s="3469"/>
      <c r="HBN4" s="3469"/>
      <c r="HBO4" s="3469"/>
      <c r="HBP4" s="3469"/>
      <c r="HBQ4" s="3469"/>
      <c r="HBR4" s="3469"/>
      <c r="HBS4" s="3469"/>
      <c r="HBT4" s="3469"/>
      <c r="HBU4" s="3469"/>
      <c r="HBV4" s="3469"/>
      <c r="HBW4" s="3469"/>
      <c r="HBX4" s="3469"/>
      <c r="HBY4" s="3469"/>
      <c r="HBZ4" s="3469"/>
      <c r="HCA4" s="3469"/>
      <c r="HCB4" s="3469"/>
      <c r="HCC4" s="3469"/>
      <c r="HCD4" s="3469"/>
      <c r="HCE4" s="3469"/>
      <c r="HCF4" s="3469"/>
      <c r="HCG4" s="3469"/>
      <c r="HCH4" s="3469"/>
      <c r="HCI4" s="3469"/>
      <c r="HCJ4" s="3469"/>
      <c r="HCK4" s="3469"/>
      <c r="HCL4" s="3469"/>
      <c r="HCM4" s="3469"/>
      <c r="HCN4" s="3469"/>
      <c r="HCO4" s="3469"/>
      <c r="HCP4" s="3469"/>
      <c r="HCQ4" s="3469"/>
      <c r="HCR4" s="3469"/>
      <c r="HCS4" s="3469"/>
      <c r="HCT4" s="3469"/>
      <c r="HCU4" s="3469"/>
      <c r="HCV4" s="3469"/>
      <c r="HCW4" s="3469"/>
      <c r="HCX4" s="3469"/>
      <c r="HCY4" s="3469"/>
      <c r="HCZ4" s="3469"/>
      <c r="HDA4" s="3469"/>
      <c r="HDB4" s="3469"/>
      <c r="HDC4" s="3469"/>
      <c r="HDD4" s="3469"/>
      <c r="HDE4" s="3469"/>
      <c r="HDF4" s="3469"/>
      <c r="HDG4" s="3469"/>
      <c r="HDH4" s="3469"/>
      <c r="HDI4" s="3469"/>
      <c r="HDJ4" s="3469"/>
      <c r="HDK4" s="3469"/>
      <c r="HDL4" s="3469"/>
      <c r="HDM4" s="3469"/>
      <c r="HDN4" s="3469"/>
      <c r="HDO4" s="3469"/>
      <c r="HDP4" s="3469"/>
      <c r="HDQ4" s="3469"/>
      <c r="HDR4" s="3469"/>
      <c r="HDS4" s="3469"/>
      <c r="HDT4" s="3469"/>
      <c r="HDU4" s="3469"/>
      <c r="HDV4" s="3469"/>
      <c r="HDW4" s="3469"/>
      <c r="HDX4" s="3469"/>
      <c r="HDY4" s="3469"/>
      <c r="HDZ4" s="3469"/>
      <c r="HEA4" s="3469"/>
      <c r="HEB4" s="3469"/>
      <c r="HEC4" s="3469"/>
      <c r="HED4" s="3469"/>
      <c r="HEE4" s="3469"/>
      <c r="HEF4" s="3469"/>
      <c r="HEG4" s="3469"/>
      <c r="HEH4" s="3469"/>
      <c r="HEI4" s="3469"/>
      <c r="HEJ4" s="3469"/>
      <c r="HEK4" s="3469"/>
      <c r="HEL4" s="3469"/>
      <c r="HEM4" s="3469"/>
      <c r="HEN4" s="3469"/>
      <c r="HEO4" s="3469"/>
      <c r="HEP4" s="3469"/>
      <c r="HEQ4" s="3469"/>
      <c r="HER4" s="3469"/>
      <c r="HES4" s="3469"/>
      <c r="HET4" s="3469"/>
      <c r="HEU4" s="3469"/>
      <c r="HEV4" s="3469"/>
      <c r="HEW4" s="3469"/>
      <c r="HEX4" s="3469"/>
      <c r="HEY4" s="3469"/>
      <c r="HEZ4" s="3469"/>
      <c r="HFA4" s="3469"/>
      <c r="HFB4" s="3469"/>
      <c r="HFC4" s="3469"/>
      <c r="HFD4" s="3469"/>
      <c r="HFE4" s="3469"/>
      <c r="HFF4" s="3469"/>
      <c r="HFG4" s="3469"/>
      <c r="HFH4" s="3469"/>
      <c r="HFI4" s="3469"/>
      <c r="HFJ4" s="3469"/>
      <c r="HFK4" s="3469"/>
      <c r="HFL4" s="3469"/>
      <c r="HFM4" s="3469"/>
      <c r="HFN4" s="3469"/>
      <c r="HFO4" s="3469"/>
      <c r="HFP4" s="3469"/>
      <c r="HFQ4" s="3469"/>
      <c r="HFR4" s="3469"/>
      <c r="HFS4" s="3469"/>
      <c r="HFT4" s="3469"/>
      <c r="HFU4" s="3469"/>
      <c r="HFV4" s="3469"/>
      <c r="HFW4" s="3469"/>
      <c r="HFX4" s="3469"/>
      <c r="HFY4" s="3469"/>
      <c r="HFZ4" s="3469"/>
      <c r="HGA4" s="3469"/>
      <c r="HGB4" s="3469"/>
      <c r="HGC4" s="3469"/>
      <c r="HGD4" s="3469"/>
      <c r="HGE4" s="3469"/>
      <c r="HGF4" s="3469"/>
      <c r="HGG4" s="3469"/>
      <c r="HGH4" s="3469"/>
      <c r="HGI4" s="3469"/>
      <c r="HGJ4" s="3469"/>
      <c r="HGK4" s="3469"/>
      <c r="HGL4" s="3469"/>
      <c r="HGM4" s="3469"/>
      <c r="HGN4" s="3469"/>
      <c r="HGO4" s="3469"/>
      <c r="HGP4" s="3469"/>
      <c r="HGQ4" s="3469"/>
      <c r="HGR4" s="3469"/>
      <c r="HGS4" s="3469"/>
      <c r="HGT4" s="3469"/>
      <c r="HGU4" s="3469"/>
      <c r="HGV4" s="3469"/>
      <c r="HGW4" s="3469"/>
      <c r="HGX4" s="3469"/>
      <c r="HGY4" s="3469"/>
      <c r="HGZ4" s="3469"/>
      <c r="HHA4" s="3469"/>
      <c r="HHB4" s="3469"/>
      <c r="HHC4" s="3469"/>
      <c r="HHD4" s="3469"/>
      <c r="HHE4" s="3469"/>
      <c r="HHF4" s="3469"/>
      <c r="HHG4" s="3469"/>
      <c r="HHH4" s="3469"/>
      <c r="HHI4" s="3469"/>
      <c r="HHJ4" s="3469"/>
      <c r="HHK4" s="3469"/>
      <c r="HHL4" s="3469"/>
      <c r="HHM4" s="3469"/>
      <c r="HHN4" s="3469"/>
      <c r="HHO4" s="3469"/>
      <c r="HHP4" s="3469"/>
      <c r="HHQ4" s="3469"/>
      <c r="HHR4" s="3469"/>
      <c r="HHS4" s="3469"/>
      <c r="HHT4" s="3469"/>
      <c r="HHU4" s="3469"/>
      <c r="HHV4" s="3469"/>
      <c r="HHW4" s="3469"/>
      <c r="HHX4" s="3469"/>
      <c r="HHY4" s="3469"/>
      <c r="HHZ4" s="3469"/>
      <c r="HIA4" s="3469"/>
      <c r="HIB4" s="3469"/>
      <c r="HIC4" s="3469"/>
      <c r="HID4" s="3469"/>
      <c r="HIE4" s="3469"/>
      <c r="HIF4" s="3469"/>
      <c r="HIG4" s="3469"/>
      <c r="HIH4" s="3469"/>
      <c r="HII4" s="3469"/>
      <c r="HIJ4" s="3469"/>
      <c r="HIK4" s="3469"/>
      <c r="HIL4" s="3469"/>
      <c r="HIM4" s="3469"/>
      <c r="HIN4" s="3469"/>
      <c r="HIO4" s="3469"/>
      <c r="HIP4" s="3469"/>
      <c r="HIQ4" s="3469"/>
      <c r="HIR4" s="3469"/>
      <c r="HIS4" s="3469"/>
      <c r="HIT4" s="3469"/>
      <c r="HIU4" s="3469"/>
      <c r="HIV4" s="3469"/>
      <c r="HIW4" s="3469"/>
      <c r="HIX4" s="3469"/>
      <c r="HIY4" s="3469"/>
      <c r="HIZ4" s="3469"/>
      <c r="HJA4" s="3469"/>
      <c r="HJB4" s="3469"/>
      <c r="HJC4" s="3469"/>
      <c r="HJD4" s="3469"/>
      <c r="HJE4" s="3469"/>
      <c r="HJF4" s="3469"/>
      <c r="HJG4" s="3469"/>
      <c r="HJH4" s="3469"/>
      <c r="HJI4" s="3469"/>
      <c r="HJJ4" s="3469"/>
      <c r="HJK4" s="3469"/>
      <c r="HJL4" s="3469"/>
      <c r="HJM4" s="3469"/>
      <c r="HJN4" s="3469"/>
      <c r="HJO4" s="3469"/>
      <c r="HJP4" s="3469"/>
      <c r="HJQ4" s="3469"/>
      <c r="HJR4" s="3469"/>
      <c r="HJS4" s="3469"/>
      <c r="HJT4" s="3469"/>
      <c r="HJU4" s="3469"/>
      <c r="HJV4" s="3469"/>
      <c r="HJW4" s="3469"/>
      <c r="HJX4" s="3469"/>
      <c r="HJY4" s="3469"/>
      <c r="HJZ4" s="3469"/>
      <c r="HKA4" s="3469"/>
      <c r="HKB4" s="3469"/>
      <c r="HKC4" s="3469"/>
      <c r="HKD4" s="3469"/>
      <c r="HKE4" s="3469"/>
      <c r="HKF4" s="3469"/>
      <c r="HKG4" s="3469"/>
      <c r="HKH4" s="3469"/>
      <c r="HKI4" s="3469"/>
      <c r="HKJ4" s="3469"/>
      <c r="HKK4" s="3469"/>
      <c r="HKL4" s="3469"/>
      <c r="HKM4" s="3469"/>
      <c r="HKN4" s="3469"/>
      <c r="HKO4" s="3469"/>
      <c r="HKP4" s="3469"/>
      <c r="HKQ4" s="3469"/>
      <c r="HKR4" s="3469"/>
      <c r="HKS4" s="3469"/>
      <c r="HKT4" s="3469"/>
      <c r="HKU4" s="3469"/>
      <c r="HKV4" s="3469"/>
      <c r="HKW4" s="3469"/>
      <c r="HKX4" s="3469"/>
      <c r="HKY4" s="3469"/>
      <c r="HKZ4" s="3469"/>
      <c r="HLA4" s="3469"/>
      <c r="HLB4" s="3469"/>
      <c r="HLC4" s="3469"/>
      <c r="HLD4" s="3469"/>
      <c r="HLE4" s="3469"/>
      <c r="HLF4" s="3469"/>
      <c r="HLG4" s="3469"/>
      <c r="HLH4" s="3469"/>
      <c r="HLI4" s="3469"/>
      <c r="HLJ4" s="3469"/>
      <c r="HLK4" s="3469"/>
      <c r="HLL4" s="3469"/>
      <c r="HLM4" s="3469"/>
      <c r="HLN4" s="3469"/>
      <c r="HLO4" s="3469"/>
      <c r="HLP4" s="3469"/>
      <c r="HLQ4" s="3469"/>
      <c r="HLR4" s="3469"/>
      <c r="HLS4" s="3469"/>
      <c r="HLT4" s="3469"/>
      <c r="HLU4" s="3469"/>
      <c r="HLV4" s="3469"/>
      <c r="HLW4" s="3469"/>
      <c r="HLX4" s="3469"/>
      <c r="HLY4" s="3469"/>
      <c r="HLZ4" s="3469"/>
      <c r="HMA4" s="3469"/>
      <c r="HMB4" s="3469"/>
      <c r="HMC4" s="3469"/>
      <c r="HMD4" s="3469"/>
      <c r="HME4" s="3469"/>
      <c r="HMF4" s="3469"/>
      <c r="HMG4" s="3469"/>
      <c r="HMH4" s="3469"/>
      <c r="HMI4" s="3469"/>
      <c r="HMJ4" s="3469"/>
      <c r="HMK4" s="3469"/>
      <c r="HML4" s="3469"/>
      <c r="HMM4" s="3469"/>
      <c r="HMN4" s="3469"/>
      <c r="HMO4" s="3469"/>
      <c r="HMP4" s="3469"/>
      <c r="HMQ4" s="3469"/>
      <c r="HMR4" s="3469"/>
      <c r="HMS4" s="3469"/>
      <c r="HMT4" s="3469"/>
      <c r="HMU4" s="3469"/>
      <c r="HMV4" s="3469"/>
      <c r="HMW4" s="3469"/>
      <c r="HMX4" s="3469"/>
      <c r="HMY4" s="3469"/>
      <c r="HMZ4" s="3469"/>
      <c r="HNA4" s="3469"/>
      <c r="HNB4" s="3469"/>
      <c r="HNC4" s="3469"/>
      <c r="HND4" s="3469"/>
      <c r="HNE4" s="3469"/>
      <c r="HNF4" s="3469"/>
      <c r="HNG4" s="3469"/>
      <c r="HNH4" s="3469"/>
      <c r="HNI4" s="3469"/>
      <c r="HNJ4" s="3469"/>
      <c r="HNK4" s="3469"/>
      <c r="HNL4" s="3469"/>
      <c r="HNM4" s="3469"/>
      <c r="HNN4" s="3469"/>
      <c r="HNO4" s="3469"/>
      <c r="HNP4" s="3469"/>
      <c r="HNQ4" s="3469"/>
      <c r="HNR4" s="3469"/>
      <c r="HNS4" s="3469"/>
      <c r="HNT4" s="3469"/>
      <c r="HNU4" s="3469"/>
      <c r="HNV4" s="3469"/>
      <c r="HNW4" s="3469"/>
      <c r="HNX4" s="3469"/>
      <c r="HNY4" s="3469"/>
      <c r="HNZ4" s="3469"/>
      <c r="HOA4" s="3469"/>
      <c r="HOB4" s="3469"/>
      <c r="HOC4" s="3469"/>
      <c r="HOD4" s="3469"/>
      <c r="HOE4" s="3469"/>
      <c r="HOF4" s="3469"/>
      <c r="HOG4" s="3469"/>
      <c r="HOH4" s="3469"/>
      <c r="HOI4" s="3469"/>
      <c r="HOJ4" s="3469"/>
      <c r="HOK4" s="3469"/>
      <c r="HOL4" s="3469"/>
      <c r="HOM4" s="3469"/>
      <c r="HON4" s="3469"/>
      <c r="HOO4" s="3469"/>
      <c r="HOP4" s="3469"/>
      <c r="HOQ4" s="3469"/>
      <c r="HOR4" s="3469"/>
      <c r="HOS4" s="3469"/>
      <c r="HOT4" s="3469"/>
      <c r="HOU4" s="3469"/>
      <c r="HOV4" s="3469"/>
      <c r="HOW4" s="3469"/>
      <c r="HOX4" s="3469"/>
      <c r="HOY4" s="3469"/>
      <c r="HOZ4" s="3469"/>
      <c r="HPA4" s="3469"/>
      <c r="HPB4" s="3469"/>
      <c r="HPC4" s="3469"/>
      <c r="HPD4" s="3469"/>
      <c r="HPE4" s="3469"/>
      <c r="HPF4" s="3469"/>
      <c r="HPG4" s="3469"/>
      <c r="HPH4" s="3469"/>
      <c r="HPI4" s="3469"/>
      <c r="HPJ4" s="3469"/>
      <c r="HPK4" s="3469"/>
      <c r="HPL4" s="3469"/>
      <c r="HPM4" s="3469"/>
      <c r="HPN4" s="3469"/>
      <c r="HPO4" s="3469"/>
      <c r="HPP4" s="3469"/>
      <c r="HPQ4" s="3469"/>
      <c r="HPR4" s="3469"/>
      <c r="HPS4" s="3469"/>
      <c r="HPT4" s="3469"/>
      <c r="HPU4" s="3469"/>
      <c r="HPV4" s="3469"/>
      <c r="HPW4" s="3469"/>
      <c r="HPX4" s="3469"/>
      <c r="HPY4" s="3469"/>
      <c r="HPZ4" s="3469"/>
      <c r="HQA4" s="3469"/>
      <c r="HQB4" s="3469"/>
      <c r="HQC4" s="3469"/>
      <c r="HQD4" s="3469"/>
      <c r="HQE4" s="3469"/>
      <c r="HQF4" s="3469"/>
      <c r="HQG4" s="3469"/>
      <c r="HQH4" s="3469"/>
      <c r="HQI4" s="3469"/>
      <c r="HQJ4" s="3469"/>
      <c r="HQK4" s="3469"/>
      <c r="HQL4" s="3469"/>
      <c r="HQM4" s="3469"/>
      <c r="HQN4" s="3469"/>
      <c r="HQO4" s="3469"/>
      <c r="HQP4" s="3469"/>
      <c r="HQQ4" s="3469"/>
      <c r="HQR4" s="3469"/>
      <c r="HQS4" s="3469"/>
      <c r="HQT4" s="3469"/>
      <c r="HQU4" s="3469"/>
      <c r="HQV4" s="3469"/>
      <c r="HQW4" s="3469"/>
      <c r="HQX4" s="3469"/>
      <c r="HQY4" s="3469"/>
      <c r="HQZ4" s="3469"/>
      <c r="HRA4" s="3469"/>
      <c r="HRB4" s="3469"/>
      <c r="HRC4" s="3469"/>
      <c r="HRD4" s="3469"/>
      <c r="HRE4" s="3469"/>
      <c r="HRF4" s="3469"/>
      <c r="HRG4" s="3469"/>
      <c r="HRH4" s="3469"/>
      <c r="HRI4" s="3469"/>
      <c r="HRJ4" s="3469"/>
      <c r="HRK4" s="3469"/>
      <c r="HRL4" s="3469"/>
      <c r="HRM4" s="3469"/>
      <c r="HRN4" s="3469"/>
      <c r="HRO4" s="3469"/>
      <c r="HRP4" s="3469"/>
      <c r="HRQ4" s="3469"/>
      <c r="HRR4" s="3469"/>
      <c r="HRS4" s="3469"/>
      <c r="HRT4" s="3469"/>
      <c r="HRU4" s="3469"/>
      <c r="HRV4" s="3469"/>
      <c r="HRW4" s="3469"/>
      <c r="HRX4" s="3469"/>
      <c r="HRY4" s="3469"/>
      <c r="HRZ4" s="3469"/>
      <c r="HSA4" s="3469"/>
      <c r="HSB4" s="3469"/>
      <c r="HSC4" s="3469"/>
      <c r="HSD4" s="3469"/>
      <c r="HSE4" s="3469"/>
      <c r="HSF4" s="3469"/>
      <c r="HSG4" s="3469"/>
      <c r="HSH4" s="3469"/>
      <c r="HSI4" s="3469"/>
      <c r="HSJ4" s="3469"/>
      <c r="HSK4" s="3469"/>
      <c r="HSL4" s="3469"/>
      <c r="HSM4" s="3469"/>
      <c r="HSN4" s="3469"/>
      <c r="HSO4" s="3469"/>
      <c r="HSP4" s="3469"/>
      <c r="HSQ4" s="3469"/>
      <c r="HSR4" s="3469"/>
      <c r="HSS4" s="3469"/>
      <c r="HST4" s="3469"/>
      <c r="HSU4" s="3469"/>
      <c r="HSV4" s="3469"/>
      <c r="HSW4" s="3469"/>
      <c r="HSX4" s="3469"/>
      <c r="HSY4" s="3469"/>
      <c r="HSZ4" s="3469"/>
      <c r="HTA4" s="3469"/>
      <c r="HTB4" s="3469"/>
      <c r="HTC4" s="3469"/>
      <c r="HTD4" s="3469"/>
      <c r="HTE4" s="3469"/>
      <c r="HTF4" s="3469"/>
      <c r="HTG4" s="3469"/>
      <c r="HTH4" s="3469"/>
      <c r="HTI4" s="3469"/>
      <c r="HTJ4" s="3469"/>
      <c r="HTK4" s="3469"/>
      <c r="HTL4" s="3469"/>
      <c r="HTM4" s="3469"/>
      <c r="HTN4" s="3469"/>
      <c r="HTO4" s="3469"/>
      <c r="HTP4" s="3469"/>
      <c r="HTQ4" s="3469"/>
      <c r="HTR4" s="3469"/>
      <c r="HTS4" s="3469"/>
      <c r="HTT4" s="3469"/>
      <c r="HTU4" s="3469"/>
      <c r="HTV4" s="3469"/>
      <c r="HTW4" s="3469"/>
      <c r="HTX4" s="3469"/>
      <c r="HTY4" s="3469"/>
      <c r="HTZ4" s="3469"/>
      <c r="HUA4" s="3469"/>
      <c r="HUB4" s="3469"/>
      <c r="HUC4" s="3469"/>
      <c r="HUD4" s="3469"/>
      <c r="HUE4" s="3469"/>
      <c r="HUF4" s="3469"/>
      <c r="HUG4" s="3469"/>
      <c r="HUH4" s="3469"/>
      <c r="HUI4" s="3469"/>
      <c r="HUJ4" s="3469"/>
      <c r="HUK4" s="3469"/>
      <c r="HUL4" s="3469"/>
      <c r="HUM4" s="3469"/>
      <c r="HUN4" s="3469"/>
      <c r="HUO4" s="3469"/>
      <c r="HUP4" s="3469"/>
      <c r="HUQ4" s="3469"/>
      <c r="HUR4" s="3469"/>
      <c r="HUS4" s="3469"/>
      <c r="HUT4" s="3469"/>
      <c r="HUU4" s="3469"/>
      <c r="HUV4" s="3469"/>
      <c r="HUW4" s="3469"/>
      <c r="HUX4" s="3469"/>
      <c r="HUY4" s="3469"/>
      <c r="HUZ4" s="3469"/>
      <c r="HVA4" s="3469"/>
      <c r="HVB4" s="3469"/>
      <c r="HVC4" s="3469"/>
      <c r="HVD4" s="3469"/>
      <c r="HVE4" s="3469"/>
      <c r="HVF4" s="3469"/>
      <c r="HVG4" s="3469"/>
      <c r="HVH4" s="3469"/>
      <c r="HVI4" s="3469"/>
      <c r="HVJ4" s="3469"/>
      <c r="HVK4" s="3469"/>
      <c r="HVL4" s="3469"/>
      <c r="HVM4" s="3469"/>
      <c r="HVN4" s="3469"/>
      <c r="HVO4" s="3469"/>
      <c r="HVP4" s="3469"/>
      <c r="HVQ4" s="3469"/>
      <c r="HVR4" s="3469"/>
      <c r="HVS4" s="3469"/>
      <c r="HVT4" s="3469"/>
      <c r="HVU4" s="3469"/>
      <c r="HVV4" s="3469"/>
      <c r="HVW4" s="3469"/>
      <c r="HVX4" s="3469"/>
      <c r="HVY4" s="3469"/>
      <c r="HVZ4" s="3469"/>
      <c r="HWA4" s="3469"/>
      <c r="HWB4" s="3469"/>
      <c r="HWC4" s="3469"/>
      <c r="HWD4" s="3469"/>
      <c r="HWE4" s="3469"/>
      <c r="HWF4" s="3469"/>
      <c r="HWG4" s="3469"/>
      <c r="HWH4" s="3469"/>
      <c r="HWI4" s="3469"/>
      <c r="HWJ4" s="3469"/>
      <c r="HWK4" s="3469"/>
      <c r="HWL4" s="3469"/>
      <c r="HWM4" s="3469"/>
      <c r="HWN4" s="3469"/>
      <c r="HWO4" s="3469"/>
      <c r="HWP4" s="3469"/>
      <c r="HWQ4" s="3469"/>
      <c r="HWR4" s="3469"/>
      <c r="HWS4" s="3469"/>
      <c r="HWT4" s="3469"/>
      <c r="HWU4" s="3469"/>
      <c r="HWV4" s="3469"/>
      <c r="HWW4" s="3469"/>
      <c r="HWX4" s="3469"/>
      <c r="HWY4" s="3469"/>
      <c r="HWZ4" s="3469"/>
      <c r="HXA4" s="3469"/>
      <c r="HXB4" s="3469"/>
      <c r="HXC4" s="3469"/>
      <c r="HXD4" s="3469"/>
      <c r="HXE4" s="3469"/>
      <c r="HXF4" s="3469"/>
      <c r="HXG4" s="3469"/>
      <c r="HXH4" s="3469"/>
      <c r="HXI4" s="3469"/>
      <c r="HXJ4" s="3469"/>
      <c r="HXK4" s="3469"/>
      <c r="HXL4" s="3469"/>
      <c r="HXM4" s="3469"/>
      <c r="HXN4" s="3469"/>
      <c r="HXO4" s="3469"/>
      <c r="HXP4" s="3469"/>
      <c r="HXQ4" s="3469"/>
      <c r="HXR4" s="3469"/>
      <c r="HXS4" s="3469"/>
      <c r="HXT4" s="3469"/>
      <c r="HXU4" s="3469"/>
      <c r="HXV4" s="3469"/>
      <c r="HXW4" s="3469"/>
      <c r="HXX4" s="3469"/>
      <c r="HXY4" s="3469"/>
      <c r="HXZ4" s="3469"/>
      <c r="HYA4" s="3469"/>
      <c r="HYB4" s="3469"/>
      <c r="HYC4" s="3469"/>
      <c r="HYD4" s="3469"/>
      <c r="HYE4" s="3469"/>
      <c r="HYF4" s="3469"/>
      <c r="HYG4" s="3469"/>
      <c r="HYH4" s="3469"/>
      <c r="HYI4" s="3469"/>
      <c r="HYJ4" s="3469"/>
      <c r="HYK4" s="3469"/>
      <c r="HYL4" s="3469"/>
      <c r="HYM4" s="3469"/>
      <c r="HYN4" s="3469"/>
      <c r="HYO4" s="3469"/>
      <c r="HYP4" s="3469"/>
      <c r="HYQ4" s="3469"/>
      <c r="HYR4" s="3469"/>
      <c r="HYS4" s="3469"/>
      <c r="HYT4" s="3469"/>
      <c r="HYU4" s="3469"/>
      <c r="HYV4" s="3469"/>
      <c r="HYW4" s="3469"/>
      <c r="HYX4" s="3469"/>
      <c r="HYY4" s="3469"/>
      <c r="HYZ4" s="3469"/>
      <c r="HZA4" s="3469"/>
      <c r="HZB4" s="3469"/>
      <c r="HZC4" s="3469"/>
      <c r="HZD4" s="3469"/>
      <c r="HZE4" s="3469"/>
      <c r="HZF4" s="3469"/>
      <c r="HZG4" s="3469"/>
      <c r="HZH4" s="3469"/>
      <c r="HZI4" s="3469"/>
      <c r="HZJ4" s="3469"/>
      <c r="HZK4" s="3469"/>
      <c r="HZL4" s="3469"/>
      <c r="HZM4" s="3469"/>
      <c r="HZN4" s="3469"/>
      <c r="HZO4" s="3469"/>
      <c r="HZP4" s="3469"/>
      <c r="HZQ4" s="3469"/>
      <c r="HZR4" s="3469"/>
      <c r="HZS4" s="3469"/>
      <c r="HZT4" s="3469"/>
      <c r="HZU4" s="3469"/>
      <c r="HZV4" s="3469"/>
      <c r="HZW4" s="3469"/>
      <c r="HZX4" s="3469"/>
      <c r="HZY4" s="3469"/>
      <c r="HZZ4" s="3469"/>
      <c r="IAA4" s="3469"/>
      <c r="IAB4" s="3469"/>
      <c r="IAC4" s="3469"/>
      <c r="IAD4" s="3469"/>
      <c r="IAE4" s="3469"/>
      <c r="IAF4" s="3469"/>
      <c r="IAG4" s="3469"/>
      <c r="IAH4" s="3469"/>
      <c r="IAI4" s="3469"/>
      <c r="IAJ4" s="3469"/>
      <c r="IAK4" s="3469"/>
      <c r="IAL4" s="3469"/>
      <c r="IAM4" s="3469"/>
      <c r="IAN4" s="3469"/>
      <c r="IAO4" s="3469"/>
      <c r="IAP4" s="3469"/>
      <c r="IAQ4" s="3469"/>
      <c r="IAR4" s="3469"/>
      <c r="IAS4" s="3469"/>
      <c r="IAT4" s="3469"/>
      <c r="IAU4" s="3469"/>
      <c r="IAV4" s="3469"/>
      <c r="IAW4" s="3469"/>
      <c r="IAX4" s="3469"/>
      <c r="IAY4" s="3469"/>
      <c r="IAZ4" s="3469"/>
      <c r="IBA4" s="3469"/>
      <c r="IBB4" s="3469"/>
      <c r="IBC4" s="3469"/>
      <c r="IBD4" s="3469"/>
      <c r="IBE4" s="3469"/>
      <c r="IBF4" s="3469"/>
      <c r="IBG4" s="3469"/>
      <c r="IBH4" s="3469"/>
      <c r="IBI4" s="3469"/>
      <c r="IBJ4" s="3469"/>
      <c r="IBK4" s="3469"/>
      <c r="IBL4" s="3469"/>
      <c r="IBM4" s="3469"/>
      <c r="IBN4" s="3469"/>
      <c r="IBO4" s="3469"/>
      <c r="IBP4" s="3469"/>
      <c r="IBQ4" s="3469"/>
      <c r="IBR4" s="3469"/>
      <c r="IBS4" s="3469"/>
      <c r="IBT4" s="3469"/>
      <c r="IBU4" s="3469"/>
      <c r="IBV4" s="3469"/>
      <c r="IBW4" s="3469"/>
      <c r="IBX4" s="3469"/>
      <c r="IBY4" s="3469"/>
      <c r="IBZ4" s="3469"/>
      <c r="ICA4" s="3469"/>
      <c r="ICB4" s="3469"/>
      <c r="ICC4" s="3469"/>
      <c r="ICD4" s="3469"/>
      <c r="ICE4" s="3469"/>
      <c r="ICF4" s="3469"/>
      <c r="ICG4" s="3469"/>
      <c r="ICH4" s="3469"/>
      <c r="ICI4" s="3469"/>
      <c r="ICJ4" s="3469"/>
      <c r="ICK4" s="3469"/>
      <c r="ICL4" s="3469"/>
      <c r="ICM4" s="3469"/>
      <c r="ICN4" s="3469"/>
      <c r="ICO4" s="3469"/>
      <c r="ICP4" s="3469"/>
      <c r="ICQ4" s="3469"/>
      <c r="ICR4" s="3469"/>
      <c r="ICS4" s="3469"/>
      <c r="ICT4" s="3469"/>
      <c r="ICU4" s="3469"/>
      <c r="ICV4" s="3469"/>
      <c r="ICW4" s="3469"/>
      <c r="ICX4" s="3469"/>
      <c r="ICY4" s="3469"/>
      <c r="ICZ4" s="3469"/>
      <c r="IDA4" s="3469"/>
      <c r="IDB4" s="3469"/>
      <c r="IDC4" s="3469"/>
      <c r="IDD4" s="3469"/>
      <c r="IDE4" s="3469"/>
      <c r="IDF4" s="3469"/>
      <c r="IDG4" s="3469"/>
      <c r="IDH4" s="3469"/>
      <c r="IDI4" s="3469"/>
      <c r="IDJ4" s="3469"/>
      <c r="IDK4" s="3469"/>
      <c r="IDL4" s="3469"/>
      <c r="IDM4" s="3469"/>
      <c r="IDN4" s="3469"/>
      <c r="IDO4" s="3469"/>
      <c r="IDP4" s="3469"/>
      <c r="IDQ4" s="3469"/>
      <c r="IDR4" s="3469"/>
      <c r="IDS4" s="3469"/>
      <c r="IDT4" s="3469"/>
      <c r="IDU4" s="3469"/>
      <c r="IDV4" s="3469"/>
      <c r="IDW4" s="3469"/>
      <c r="IDX4" s="3469"/>
      <c r="IDY4" s="3469"/>
      <c r="IDZ4" s="3469"/>
      <c r="IEA4" s="3469"/>
      <c r="IEB4" s="3469"/>
      <c r="IEC4" s="3469"/>
      <c r="IED4" s="3469"/>
      <c r="IEE4" s="3469"/>
      <c r="IEF4" s="3469"/>
      <c r="IEG4" s="3469"/>
      <c r="IEH4" s="3469"/>
      <c r="IEI4" s="3469"/>
      <c r="IEJ4" s="3469"/>
      <c r="IEK4" s="3469"/>
      <c r="IEL4" s="3469"/>
      <c r="IEM4" s="3469"/>
      <c r="IEN4" s="3469"/>
      <c r="IEO4" s="3469"/>
      <c r="IEP4" s="3469"/>
      <c r="IEQ4" s="3469"/>
      <c r="IER4" s="3469"/>
      <c r="IES4" s="3469"/>
      <c r="IET4" s="3469"/>
      <c r="IEU4" s="3469"/>
      <c r="IEV4" s="3469"/>
      <c r="IEW4" s="3469"/>
      <c r="IEX4" s="3469"/>
      <c r="IEY4" s="3469"/>
      <c r="IEZ4" s="3469"/>
      <c r="IFA4" s="3469"/>
      <c r="IFB4" s="3469"/>
      <c r="IFC4" s="3469"/>
      <c r="IFD4" s="3469"/>
      <c r="IFE4" s="3469"/>
      <c r="IFF4" s="3469"/>
      <c r="IFG4" s="3469"/>
      <c r="IFH4" s="3469"/>
      <c r="IFI4" s="3469"/>
      <c r="IFJ4" s="3469"/>
      <c r="IFK4" s="3469"/>
      <c r="IFL4" s="3469"/>
      <c r="IFM4" s="3469"/>
      <c r="IFN4" s="3469"/>
      <c r="IFO4" s="3469"/>
      <c r="IFP4" s="3469"/>
      <c r="IFQ4" s="3469"/>
      <c r="IFR4" s="3469"/>
      <c r="IFS4" s="3469"/>
      <c r="IFT4" s="3469"/>
      <c r="IFU4" s="3469"/>
      <c r="IFV4" s="3469"/>
      <c r="IFW4" s="3469"/>
      <c r="IFX4" s="3469"/>
      <c r="IFY4" s="3469"/>
      <c r="IFZ4" s="3469"/>
      <c r="IGA4" s="3469"/>
      <c r="IGB4" s="3469"/>
      <c r="IGC4" s="3469"/>
      <c r="IGD4" s="3469"/>
      <c r="IGE4" s="3469"/>
      <c r="IGF4" s="3469"/>
      <c r="IGG4" s="3469"/>
      <c r="IGH4" s="3469"/>
      <c r="IGI4" s="3469"/>
      <c r="IGJ4" s="3469"/>
      <c r="IGK4" s="3469"/>
      <c r="IGL4" s="3469"/>
      <c r="IGM4" s="3469"/>
      <c r="IGN4" s="3469"/>
      <c r="IGO4" s="3469"/>
      <c r="IGP4" s="3469"/>
      <c r="IGQ4" s="3469"/>
      <c r="IGR4" s="3469"/>
      <c r="IGS4" s="3469"/>
      <c r="IGT4" s="3469"/>
      <c r="IGU4" s="3469"/>
      <c r="IGV4" s="3469"/>
      <c r="IGW4" s="3469"/>
      <c r="IGX4" s="3469"/>
      <c r="IGY4" s="3469"/>
      <c r="IGZ4" s="3469"/>
      <c r="IHA4" s="3469"/>
      <c r="IHB4" s="3469"/>
      <c r="IHC4" s="3469"/>
      <c r="IHD4" s="3469"/>
      <c r="IHE4" s="3469"/>
      <c r="IHF4" s="3469"/>
      <c r="IHG4" s="3469"/>
      <c r="IHH4" s="3469"/>
      <c r="IHI4" s="3469"/>
      <c r="IHJ4" s="3469"/>
      <c r="IHK4" s="3469"/>
      <c r="IHL4" s="3469"/>
      <c r="IHM4" s="3469"/>
      <c r="IHN4" s="3469"/>
      <c r="IHO4" s="3469"/>
      <c r="IHP4" s="3469"/>
      <c r="IHQ4" s="3469"/>
      <c r="IHR4" s="3469"/>
      <c r="IHS4" s="3469"/>
      <c r="IHT4" s="3469"/>
      <c r="IHU4" s="3469"/>
      <c r="IHV4" s="3469"/>
      <c r="IHW4" s="3469"/>
      <c r="IHX4" s="3469"/>
      <c r="IHY4" s="3469"/>
      <c r="IHZ4" s="3469"/>
      <c r="IIA4" s="3469"/>
      <c r="IIB4" s="3469"/>
      <c r="IIC4" s="3469"/>
      <c r="IID4" s="3469"/>
      <c r="IIE4" s="3469"/>
      <c r="IIF4" s="3469"/>
      <c r="IIG4" s="3469"/>
      <c r="IIH4" s="3469"/>
      <c r="III4" s="3469"/>
      <c r="IIJ4" s="3469"/>
      <c r="IIK4" s="3469"/>
      <c r="IIL4" s="3469"/>
      <c r="IIM4" s="3469"/>
      <c r="IIN4" s="3469"/>
      <c r="IIO4" s="3469"/>
      <c r="IIP4" s="3469"/>
      <c r="IIQ4" s="3469"/>
      <c r="IIR4" s="3469"/>
      <c r="IIS4" s="3469"/>
      <c r="IIT4" s="3469"/>
      <c r="IIU4" s="3469"/>
      <c r="IIV4" s="3469"/>
      <c r="IIW4" s="3469"/>
      <c r="IIX4" s="3469"/>
      <c r="IIY4" s="3469"/>
      <c r="IIZ4" s="3469"/>
      <c r="IJA4" s="3469"/>
      <c r="IJB4" s="3469"/>
      <c r="IJC4" s="3469"/>
      <c r="IJD4" s="3469"/>
      <c r="IJE4" s="3469"/>
      <c r="IJF4" s="3469"/>
      <c r="IJG4" s="3469"/>
      <c r="IJH4" s="3469"/>
      <c r="IJI4" s="3469"/>
      <c r="IJJ4" s="3469"/>
      <c r="IJK4" s="3469"/>
      <c r="IJL4" s="3469"/>
      <c r="IJM4" s="3469"/>
      <c r="IJN4" s="3469"/>
      <c r="IJO4" s="3469"/>
      <c r="IJP4" s="3469"/>
      <c r="IJQ4" s="3469"/>
      <c r="IJR4" s="3469"/>
      <c r="IJS4" s="3469"/>
      <c r="IJT4" s="3469"/>
      <c r="IJU4" s="3469"/>
      <c r="IJV4" s="3469"/>
      <c r="IJW4" s="3469"/>
      <c r="IJX4" s="3469"/>
      <c r="IJY4" s="3469"/>
      <c r="IJZ4" s="3469"/>
      <c r="IKA4" s="3469"/>
      <c r="IKB4" s="3469"/>
      <c r="IKC4" s="3469"/>
      <c r="IKD4" s="3469"/>
      <c r="IKE4" s="3469"/>
      <c r="IKF4" s="3469"/>
      <c r="IKG4" s="3469"/>
      <c r="IKH4" s="3469"/>
      <c r="IKI4" s="3469"/>
      <c r="IKJ4" s="3469"/>
      <c r="IKK4" s="3469"/>
      <c r="IKL4" s="3469"/>
      <c r="IKM4" s="3469"/>
      <c r="IKN4" s="3469"/>
      <c r="IKO4" s="3469"/>
      <c r="IKP4" s="3469"/>
      <c r="IKQ4" s="3469"/>
      <c r="IKR4" s="3469"/>
      <c r="IKS4" s="3469"/>
      <c r="IKT4" s="3469"/>
      <c r="IKU4" s="3469"/>
      <c r="IKV4" s="3469"/>
      <c r="IKW4" s="3469"/>
      <c r="IKX4" s="3469"/>
      <c r="IKY4" s="3469"/>
      <c r="IKZ4" s="3469"/>
      <c r="ILA4" s="3469"/>
      <c r="ILB4" s="3469"/>
      <c r="ILC4" s="3469"/>
      <c r="ILD4" s="3469"/>
      <c r="ILE4" s="3469"/>
      <c r="ILF4" s="3469"/>
      <c r="ILG4" s="3469"/>
      <c r="ILH4" s="3469"/>
      <c r="ILI4" s="3469"/>
      <c r="ILJ4" s="3469"/>
      <c r="ILK4" s="3469"/>
      <c r="ILL4" s="3469"/>
      <c r="ILM4" s="3469"/>
      <c r="ILN4" s="3469"/>
      <c r="ILO4" s="3469"/>
      <c r="ILP4" s="3469"/>
      <c r="ILQ4" s="3469"/>
      <c r="ILR4" s="3469"/>
      <c r="ILS4" s="3469"/>
      <c r="ILT4" s="3469"/>
      <c r="ILU4" s="3469"/>
      <c r="ILV4" s="3469"/>
      <c r="ILW4" s="3469"/>
      <c r="ILX4" s="3469"/>
      <c r="ILY4" s="3469"/>
      <c r="ILZ4" s="3469"/>
      <c r="IMA4" s="3469"/>
      <c r="IMB4" s="3469"/>
      <c r="IMC4" s="3469"/>
      <c r="IMD4" s="3469"/>
      <c r="IME4" s="3469"/>
      <c r="IMF4" s="3469"/>
      <c r="IMG4" s="3469"/>
      <c r="IMH4" s="3469"/>
      <c r="IMI4" s="3469"/>
      <c r="IMJ4" s="3469"/>
      <c r="IMK4" s="3469"/>
      <c r="IML4" s="3469"/>
      <c r="IMM4" s="3469"/>
      <c r="IMN4" s="3469"/>
      <c r="IMO4" s="3469"/>
      <c r="IMP4" s="3469"/>
      <c r="IMQ4" s="3469"/>
      <c r="IMR4" s="3469"/>
      <c r="IMS4" s="3469"/>
      <c r="IMT4" s="3469"/>
      <c r="IMU4" s="3469"/>
      <c r="IMV4" s="3469"/>
      <c r="IMW4" s="3469"/>
      <c r="IMX4" s="3469"/>
      <c r="IMY4" s="3469"/>
      <c r="IMZ4" s="3469"/>
      <c r="INA4" s="3469"/>
      <c r="INB4" s="3469"/>
      <c r="INC4" s="3469"/>
      <c r="IND4" s="3469"/>
      <c r="INE4" s="3469"/>
      <c r="INF4" s="3469"/>
      <c r="ING4" s="3469"/>
      <c r="INH4" s="3469"/>
      <c r="INI4" s="3469"/>
      <c r="INJ4" s="3469"/>
      <c r="INK4" s="3469"/>
      <c r="INL4" s="3469"/>
      <c r="INM4" s="3469"/>
      <c r="INN4" s="3469"/>
      <c r="INO4" s="3469"/>
      <c r="INP4" s="3469"/>
      <c r="INQ4" s="3469"/>
      <c r="INR4" s="3469"/>
      <c r="INS4" s="3469"/>
      <c r="INT4" s="3469"/>
      <c r="INU4" s="3469"/>
      <c r="INV4" s="3469"/>
      <c r="INW4" s="3469"/>
      <c r="INX4" s="3469"/>
      <c r="INY4" s="3469"/>
      <c r="INZ4" s="3469"/>
      <c r="IOA4" s="3469"/>
      <c r="IOB4" s="3469"/>
      <c r="IOC4" s="3469"/>
      <c r="IOD4" s="3469"/>
      <c r="IOE4" s="3469"/>
      <c r="IOF4" s="3469"/>
      <c r="IOG4" s="3469"/>
      <c r="IOH4" s="3469"/>
      <c r="IOI4" s="3469"/>
      <c r="IOJ4" s="3469"/>
      <c r="IOK4" s="3469"/>
      <c r="IOL4" s="3469"/>
      <c r="IOM4" s="3469"/>
      <c r="ION4" s="3469"/>
      <c r="IOO4" s="3469"/>
      <c r="IOP4" s="3469"/>
      <c r="IOQ4" s="3469"/>
      <c r="IOR4" s="3469"/>
      <c r="IOS4" s="3469"/>
      <c r="IOT4" s="3469"/>
      <c r="IOU4" s="3469"/>
      <c r="IOV4" s="3469"/>
      <c r="IOW4" s="3469"/>
      <c r="IOX4" s="3469"/>
      <c r="IOY4" s="3469"/>
      <c r="IOZ4" s="3469"/>
      <c r="IPA4" s="3469"/>
      <c r="IPB4" s="3469"/>
      <c r="IPC4" s="3469"/>
      <c r="IPD4" s="3469"/>
      <c r="IPE4" s="3469"/>
      <c r="IPF4" s="3469"/>
      <c r="IPG4" s="3469"/>
      <c r="IPH4" s="3469"/>
      <c r="IPI4" s="3469"/>
      <c r="IPJ4" s="3469"/>
      <c r="IPK4" s="3469"/>
      <c r="IPL4" s="3469"/>
      <c r="IPM4" s="3469"/>
      <c r="IPN4" s="3469"/>
      <c r="IPO4" s="3469"/>
      <c r="IPP4" s="3469"/>
      <c r="IPQ4" s="3469"/>
      <c r="IPR4" s="3469"/>
      <c r="IPS4" s="3469"/>
      <c r="IPT4" s="3469"/>
      <c r="IPU4" s="3469"/>
      <c r="IPV4" s="3469"/>
      <c r="IPW4" s="3469"/>
      <c r="IPX4" s="3469"/>
      <c r="IPY4" s="3469"/>
      <c r="IPZ4" s="3469"/>
      <c r="IQA4" s="3469"/>
      <c r="IQB4" s="3469"/>
      <c r="IQC4" s="3469"/>
      <c r="IQD4" s="3469"/>
      <c r="IQE4" s="3469"/>
      <c r="IQF4" s="3469"/>
      <c r="IQG4" s="3469"/>
      <c r="IQH4" s="3469"/>
      <c r="IQI4" s="3469"/>
      <c r="IQJ4" s="3469"/>
      <c r="IQK4" s="3469"/>
      <c r="IQL4" s="3469"/>
      <c r="IQM4" s="3469"/>
      <c r="IQN4" s="3469"/>
      <c r="IQO4" s="3469"/>
      <c r="IQP4" s="3469"/>
      <c r="IQQ4" s="3469"/>
      <c r="IQR4" s="3469"/>
      <c r="IQS4" s="3469"/>
      <c r="IQT4" s="3469"/>
      <c r="IQU4" s="3469"/>
      <c r="IQV4" s="3469"/>
      <c r="IQW4" s="3469"/>
      <c r="IQX4" s="3469"/>
      <c r="IQY4" s="3469"/>
      <c r="IQZ4" s="3469"/>
      <c r="IRA4" s="3469"/>
      <c r="IRB4" s="3469"/>
      <c r="IRC4" s="3469"/>
      <c r="IRD4" s="3469"/>
      <c r="IRE4" s="3469"/>
      <c r="IRF4" s="3469"/>
      <c r="IRG4" s="3469"/>
      <c r="IRH4" s="3469"/>
      <c r="IRI4" s="3469"/>
      <c r="IRJ4" s="3469"/>
      <c r="IRK4" s="3469"/>
      <c r="IRL4" s="3469"/>
      <c r="IRM4" s="3469"/>
      <c r="IRN4" s="3469"/>
      <c r="IRO4" s="3469"/>
      <c r="IRP4" s="3469"/>
      <c r="IRQ4" s="3469"/>
      <c r="IRR4" s="3469"/>
      <c r="IRS4" s="3469"/>
      <c r="IRT4" s="3469"/>
      <c r="IRU4" s="3469"/>
      <c r="IRV4" s="3469"/>
      <c r="IRW4" s="3469"/>
      <c r="IRX4" s="3469"/>
      <c r="IRY4" s="3469"/>
      <c r="IRZ4" s="3469"/>
      <c r="ISA4" s="3469"/>
      <c r="ISB4" s="3469"/>
      <c r="ISC4" s="3469"/>
      <c r="ISD4" s="3469"/>
      <c r="ISE4" s="3469"/>
      <c r="ISF4" s="3469"/>
      <c r="ISG4" s="3469"/>
      <c r="ISH4" s="3469"/>
      <c r="ISI4" s="3469"/>
      <c r="ISJ4" s="3469"/>
      <c r="ISK4" s="3469"/>
      <c r="ISL4" s="3469"/>
      <c r="ISM4" s="3469"/>
      <c r="ISN4" s="3469"/>
      <c r="ISO4" s="3469"/>
      <c r="ISP4" s="3469"/>
      <c r="ISQ4" s="3469"/>
      <c r="ISR4" s="3469"/>
      <c r="ISS4" s="3469"/>
      <c r="IST4" s="3469"/>
      <c r="ISU4" s="3469"/>
      <c r="ISV4" s="3469"/>
      <c r="ISW4" s="3469"/>
      <c r="ISX4" s="3469"/>
      <c r="ISY4" s="3469"/>
      <c r="ISZ4" s="3469"/>
      <c r="ITA4" s="3469"/>
      <c r="ITB4" s="3469"/>
      <c r="ITC4" s="3469"/>
      <c r="ITD4" s="3469"/>
      <c r="ITE4" s="3469"/>
      <c r="ITF4" s="3469"/>
      <c r="ITG4" s="3469"/>
      <c r="ITH4" s="3469"/>
      <c r="ITI4" s="3469"/>
      <c r="ITJ4" s="3469"/>
      <c r="ITK4" s="3469"/>
      <c r="ITL4" s="3469"/>
      <c r="ITM4" s="3469"/>
      <c r="ITN4" s="3469"/>
      <c r="ITO4" s="3469"/>
      <c r="ITP4" s="3469"/>
      <c r="ITQ4" s="3469"/>
      <c r="ITR4" s="3469"/>
      <c r="ITS4" s="3469"/>
      <c r="ITT4" s="3469"/>
      <c r="ITU4" s="3469"/>
      <c r="ITV4" s="3469"/>
      <c r="ITW4" s="3469"/>
      <c r="ITX4" s="3469"/>
      <c r="ITY4" s="3469"/>
      <c r="ITZ4" s="3469"/>
      <c r="IUA4" s="3469"/>
      <c r="IUB4" s="3469"/>
      <c r="IUC4" s="3469"/>
      <c r="IUD4" s="3469"/>
      <c r="IUE4" s="3469"/>
      <c r="IUF4" s="3469"/>
      <c r="IUG4" s="3469"/>
      <c r="IUH4" s="3469"/>
      <c r="IUI4" s="3469"/>
      <c r="IUJ4" s="3469"/>
      <c r="IUK4" s="3469"/>
      <c r="IUL4" s="3469"/>
      <c r="IUM4" s="3469"/>
      <c r="IUN4" s="3469"/>
      <c r="IUO4" s="3469"/>
      <c r="IUP4" s="3469"/>
      <c r="IUQ4" s="3469"/>
      <c r="IUR4" s="3469"/>
      <c r="IUS4" s="3469"/>
      <c r="IUT4" s="3469"/>
      <c r="IUU4" s="3469"/>
      <c r="IUV4" s="3469"/>
      <c r="IUW4" s="3469"/>
      <c r="IUX4" s="3469"/>
      <c r="IUY4" s="3469"/>
      <c r="IUZ4" s="3469"/>
      <c r="IVA4" s="3469"/>
      <c r="IVB4" s="3469"/>
      <c r="IVC4" s="3469"/>
      <c r="IVD4" s="3469"/>
      <c r="IVE4" s="3469"/>
      <c r="IVF4" s="3469"/>
      <c r="IVG4" s="3469"/>
      <c r="IVH4" s="3469"/>
      <c r="IVI4" s="3469"/>
      <c r="IVJ4" s="3469"/>
      <c r="IVK4" s="3469"/>
      <c r="IVL4" s="3469"/>
      <c r="IVM4" s="3469"/>
      <c r="IVN4" s="3469"/>
      <c r="IVO4" s="3469"/>
      <c r="IVP4" s="3469"/>
      <c r="IVQ4" s="3469"/>
      <c r="IVR4" s="3469"/>
      <c r="IVS4" s="3469"/>
      <c r="IVT4" s="3469"/>
      <c r="IVU4" s="3469"/>
      <c r="IVV4" s="3469"/>
      <c r="IVW4" s="3469"/>
      <c r="IVX4" s="3469"/>
      <c r="IVY4" s="3469"/>
      <c r="IVZ4" s="3469"/>
      <c r="IWA4" s="3469"/>
      <c r="IWB4" s="3469"/>
      <c r="IWC4" s="3469"/>
      <c r="IWD4" s="3469"/>
      <c r="IWE4" s="3469"/>
      <c r="IWF4" s="3469"/>
      <c r="IWG4" s="3469"/>
      <c r="IWH4" s="3469"/>
      <c r="IWI4" s="3469"/>
      <c r="IWJ4" s="3469"/>
      <c r="IWK4" s="3469"/>
      <c r="IWL4" s="3469"/>
      <c r="IWM4" s="3469"/>
      <c r="IWN4" s="3469"/>
      <c r="IWO4" s="3469"/>
      <c r="IWP4" s="3469"/>
      <c r="IWQ4" s="3469"/>
      <c r="IWR4" s="3469"/>
      <c r="IWS4" s="3469"/>
      <c r="IWT4" s="3469"/>
      <c r="IWU4" s="3469"/>
      <c r="IWV4" s="3469"/>
      <c r="IWW4" s="3469"/>
      <c r="IWX4" s="3469"/>
      <c r="IWY4" s="3469"/>
      <c r="IWZ4" s="3469"/>
      <c r="IXA4" s="3469"/>
      <c r="IXB4" s="3469"/>
      <c r="IXC4" s="3469"/>
      <c r="IXD4" s="3469"/>
      <c r="IXE4" s="3469"/>
      <c r="IXF4" s="3469"/>
      <c r="IXG4" s="3469"/>
      <c r="IXH4" s="3469"/>
      <c r="IXI4" s="3469"/>
      <c r="IXJ4" s="3469"/>
      <c r="IXK4" s="3469"/>
      <c r="IXL4" s="3469"/>
      <c r="IXM4" s="3469"/>
      <c r="IXN4" s="3469"/>
      <c r="IXO4" s="3469"/>
      <c r="IXP4" s="3469"/>
      <c r="IXQ4" s="3469"/>
      <c r="IXR4" s="3469"/>
      <c r="IXS4" s="3469"/>
      <c r="IXT4" s="3469"/>
      <c r="IXU4" s="3469"/>
      <c r="IXV4" s="3469"/>
      <c r="IXW4" s="3469"/>
      <c r="IXX4" s="3469"/>
      <c r="IXY4" s="3469"/>
      <c r="IXZ4" s="3469"/>
      <c r="IYA4" s="3469"/>
      <c r="IYB4" s="3469"/>
      <c r="IYC4" s="3469"/>
      <c r="IYD4" s="3469"/>
      <c r="IYE4" s="3469"/>
      <c r="IYF4" s="3469"/>
      <c r="IYG4" s="3469"/>
      <c r="IYH4" s="3469"/>
      <c r="IYI4" s="3469"/>
      <c r="IYJ4" s="3469"/>
      <c r="IYK4" s="3469"/>
      <c r="IYL4" s="3469"/>
      <c r="IYM4" s="3469"/>
      <c r="IYN4" s="3469"/>
      <c r="IYO4" s="3469"/>
      <c r="IYP4" s="3469"/>
      <c r="IYQ4" s="3469"/>
      <c r="IYR4" s="3469"/>
      <c r="IYS4" s="3469"/>
      <c r="IYT4" s="3469"/>
      <c r="IYU4" s="3469"/>
      <c r="IYV4" s="3469"/>
      <c r="IYW4" s="3469"/>
      <c r="IYX4" s="3469"/>
      <c r="IYY4" s="3469"/>
      <c r="IYZ4" s="3469"/>
      <c r="IZA4" s="3469"/>
      <c r="IZB4" s="3469"/>
      <c r="IZC4" s="3469"/>
      <c r="IZD4" s="3469"/>
      <c r="IZE4" s="3469"/>
      <c r="IZF4" s="3469"/>
      <c r="IZG4" s="3469"/>
      <c r="IZH4" s="3469"/>
      <c r="IZI4" s="3469"/>
      <c r="IZJ4" s="3469"/>
      <c r="IZK4" s="3469"/>
      <c r="IZL4" s="3469"/>
      <c r="IZM4" s="3469"/>
      <c r="IZN4" s="3469"/>
      <c r="IZO4" s="3469"/>
      <c r="IZP4" s="3469"/>
      <c r="IZQ4" s="3469"/>
      <c r="IZR4" s="3469"/>
      <c r="IZS4" s="3469"/>
      <c r="IZT4" s="3469"/>
      <c r="IZU4" s="3469"/>
      <c r="IZV4" s="3469"/>
      <c r="IZW4" s="3469"/>
      <c r="IZX4" s="3469"/>
      <c r="IZY4" s="3469"/>
      <c r="IZZ4" s="3469"/>
      <c r="JAA4" s="3469"/>
      <c r="JAB4" s="3469"/>
      <c r="JAC4" s="3469"/>
      <c r="JAD4" s="3469"/>
      <c r="JAE4" s="3469"/>
      <c r="JAF4" s="3469"/>
      <c r="JAG4" s="3469"/>
      <c r="JAH4" s="3469"/>
      <c r="JAI4" s="3469"/>
      <c r="JAJ4" s="3469"/>
      <c r="JAK4" s="3469"/>
      <c r="JAL4" s="3469"/>
      <c r="JAM4" s="3469"/>
      <c r="JAN4" s="3469"/>
      <c r="JAO4" s="3469"/>
      <c r="JAP4" s="3469"/>
      <c r="JAQ4" s="3469"/>
      <c r="JAR4" s="3469"/>
      <c r="JAS4" s="3469"/>
      <c r="JAT4" s="3469"/>
      <c r="JAU4" s="3469"/>
      <c r="JAV4" s="3469"/>
      <c r="JAW4" s="3469"/>
      <c r="JAX4" s="3469"/>
      <c r="JAY4" s="3469"/>
      <c r="JAZ4" s="3469"/>
      <c r="JBA4" s="3469"/>
      <c r="JBB4" s="3469"/>
      <c r="JBC4" s="3469"/>
      <c r="JBD4" s="3469"/>
      <c r="JBE4" s="3469"/>
      <c r="JBF4" s="3469"/>
      <c r="JBG4" s="3469"/>
      <c r="JBH4" s="3469"/>
      <c r="JBI4" s="3469"/>
      <c r="JBJ4" s="3469"/>
      <c r="JBK4" s="3469"/>
      <c r="JBL4" s="3469"/>
      <c r="JBM4" s="3469"/>
      <c r="JBN4" s="3469"/>
      <c r="JBO4" s="3469"/>
      <c r="JBP4" s="3469"/>
      <c r="JBQ4" s="3469"/>
      <c r="JBR4" s="3469"/>
      <c r="JBS4" s="3469"/>
      <c r="JBT4" s="3469"/>
      <c r="JBU4" s="3469"/>
      <c r="JBV4" s="3469"/>
      <c r="JBW4" s="3469"/>
      <c r="JBX4" s="3469"/>
      <c r="JBY4" s="3469"/>
      <c r="JBZ4" s="3469"/>
      <c r="JCA4" s="3469"/>
      <c r="JCB4" s="3469"/>
      <c r="JCC4" s="3469"/>
      <c r="JCD4" s="3469"/>
      <c r="JCE4" s="3469"/>
      <c r="JCF4" s="3469"/>
      <c r="JCG4" s="3469"/>
      <c r="JCH4" s="3469"/>
      <c r="JCI4" s="3469"/>
      <c r="JCJ4" s="3469"/>
      <c r="JCK4" s="3469"/>
      <c r="JCL4" s="3469"/>
      <c r="JCM4" s="3469"/>
      <c r="JCN4" s="3469"/>
      <c r="JCO4" s="3469"/>
      <c r="JCP4" s="3469"/>
      <c r="JCQ4" s="3469"/>
      <c r="JCR4" s="3469"/>
      <c r="JCS4" s="3469"/>
      <c r="JCT4" s="3469"/>
      <c r="JCU4" s="3469"/>
      <c r="JCV4" s="3469"/>
      <c r="JCW4" s="3469"/>
      <c r="JCX4" s="3469"/>
      <c r="JCY4" s="3469"/>
      <c r="JCZ4" s="3469"/>
      <c r="JDA4" s="3469"/>
      <c r="JDB4" s="3469"/>
      <c r="JDC4" s="3469"/>
      <c r="JDD4" s="3469"/>
      <c r="JDE4" s="3469"/>
      <c r="JDF4" s="3469"/>
      <c r="JDG4" s="3469"/>
      <c r="JDH4" s="3469"/>
      <c r="JDI4" s="3469"/>
      <c r="JDJ4" s="3469"/>
      <c r="JDK4" s="3469"/>
      <c r="JDL4" s="3469"/>
      <c r="JDM4" s="3469"/>
      <c r="JDN4" s="3469"/>
      <c r="JDO4" s="3469"/>
      <c r="JDP4" s="3469"/>
      <c r="JDQ4" s="3469"/>
      <c r="JDR4" s="3469"/>
      <c r="JDS4" s="3469"/>
      <c r="JDT4" s="3469"/>
      <c r="JDU4" s="3469"/>
      <c r="JDV4" s="3469"/>
      <c r="JDW4" s="3469"/>
      <c r="JDX4" s="3469"/>
      <c r="JDY4" s="3469"/>
      <c r="JDZ4" s="3469"/>
      <c r="JEA4" s="3469"/>
      <c r="JEB4" s="3469"/>
      <c r="JEC4" s="3469"/>
      <c r="JED4" s="3469"/>
      <c r="JEE4" s="3469"/>
      <c r="JEF4" s="3469"/>
      <c r="JEG4" s="3469"/>
      <c r="JEH4" s="3469"/>
      <c r="JEI4" s="3469"/>
      <c r="JEJ4" s="3469"/>
      <c r="JEK4" s="3469"/>
      <c r="JEL4" s="3469"/>
      <c r="JEM4" s="3469"/>
      <c r="JEN4" s="3469"/>
      <c r="JEO4" s="3469"/>
      <c r="JEP4" s="3469"/>
      <c r="JEQ4" s="3469"/>
      <c r="JER4" s="3469"/>
      <c r="JES4" s="3469"/>
      <c r="JET4" s="3469"/>
      <c r="JEU4" s="3469"/>
      <c r="JEV4" s="3469"/>
      <c r="JEW4" s="3469"/>
      <c r="JEX4" s="3469"/>
      <c r="JEY4" s="3469"/>
      <c r="JEZ4" s="3469"/>
      <c r="JFA4" s="3469"/>
      <c r="JFB4" s="3469"/>
      <c r="JFC4" s="3469"/>
      <c r="JFD4" s="3469"/>
      <c r="JFE4" s="3469"/>
      <c r="JFF4" s="3469"/>
      <c r="JFG4" s="3469"/>
      <c r="JFH4" s="3469"/>
      <c r="JFI4" s="3469"/>
      <c r="JFJ4" s="3469"/>
      <c r="JFK4" s="3469"/>
      <c r="JFL4" s="3469"/>
      <c r="JFM4" s="3469"/>
      <c r="JFN4" s="3469"/>
      <c r="JFO4" s="3469"/>
      <c r="JFP4" s="3469"/>
      <c r="JFQ4" s="3469"/>
      <c r="JFR4" s="3469"/>
      <c r="JFS4" s="3469"/>
      <c r="JFT4" s="3469"/>
      <c r="JFU4" s="3469"/>
      <c r="JFV4" s="3469"/>
      <c r="JFW4" s="3469"/>
      <c r="JFX4" s="3469"/>
      <c r="JFY4" s="3469"/>
      <c r="JFZ4" s="3469"/>
      <c r="JGA4" s="3469"/>
      <c r="JGB4" s="3469"/>
      <c r="JGC4" s="3469"/>
      <c r="JGD4" s="3469"/>
      <c r="JGE4" s="3469"/>
      <c r="JGF4" s="3469"/>
      <c r="JGG4" s="3469"/>
      <c r="JGH4" s="3469"/>
      <c r="JGI4" s="3469"/>
      <c r="JGJ4" s="3469"/>
      <c r="JGK4" s="3469"/>
      <c r="JGL4" s="3469"/>
      <c r="JGM4" s="3469"/>
      <c r="JGN4" s="3469"/>
      <c r="JGO4" s="3469"/>
      <c r="JGP4" s="3469"/>
      <c r="JGQ4" s="3469"/>
      <c r="JGR4" s="3469"/>
      <c r="JGS4" s="3469"/>
      <c r="JGT4" s="3469"/>
      <c r="JGU4" s="3469"/>
      <c r="JGV4" s="3469"/>
      <c r="JGW4" s="3469"/>
      <c r="JGX4" s="3469"/>
      <c r="JGY4" s="3469"/>
      <c r="JGZ4" s="3469"/>
      <c r="JHA4" s="3469"/>
      <c r="JHB4" s="3469"/>
      <c r="JHC4" s="3469"/>
      <c r="JHD4" s="3469"/>
      <c r="JHE4" s="3469"/>
      <c r="JHF4" s="3469"/>
      <c r="JHG4" s="3469"/>
      <c r="JHH4" s="3469"/>
      <c r="JHI4" s="3469"/>
      <c r="JHJ4" s="3469"/>
      <c r="JHK4" s="3469"/>
      <c r="JHL4" s="3469"/>
      <c r="JHM4" s="3469"/>
      <c r="JHN4" s="3469"/>
      <c r="JHO4" s="3469"/>
      <c r="JHP4" s="3469"/>
      <c r="JHQ4" s="3469"/>
      <c r="JHR4" s="3469"/>
      <c r="JHS4" s="3469"/>
      <c r="JHT4" s="3469"/>
      <c r="JHU4" s="3469"/>
      <c r="JHV4" s="3469"/>
      <c r="JHW4" s="3469"/>
      <c r="JHX4" s="3469"/>
      <c r="JHY4" s="3469"/>
      <c r="JHZ4" s="3469"/>
      <c r="JIA4" s="3469"/>
      <c r="JIB4" s="3469"/>
      <c r="JIC4" s="3469"/>
      <c r="JID4" s="3469"/>
      <c r="JIE4" s="3469"/>
      <c r="JIF4" s="3469"/>
      <c r="JIG4" s="3469"/>
      <c r="JIH4" s="3469"/>
      <c r="JII4" s="3469"/>
      <c r="JIJ4" s="3469"/>
      <c r="JIK4" s="3469"/>
      <c r="JIL4" s="3469"/>
      <c r="JIM4" s="3469"/>
      <c r="JIN4" s="3469"/>
      <c r="JIO4" s="3469"/>
      <c r="JIP4" s="3469"/>
      <c r="JIQ4" s="3469"/>
      <c r="JIR4" s="3469"/>
      <c r="JIS4" s="3469"/>
      <c r="JIT4" s="3469"/>
      <c r="JIU4" s="3469"/>
      <c r="JIV4" s="3469"/>
      <c r="JIW4" s="3469"/>
      <c r="JIX4" s="3469"/>
      <c r="JIY4" s="3469"/>
      <c r="JIZ4" s="3469"/>
      <c r="JJA4" s="3469"/>
      <c r="JJB4" s="3469"/>
      <c r="JJC4" s="3469"/>
      <c r="JJD4" s="3469"/>
      <c r="JJE4" s="3469"/>
      <c r="JJF4" s="3469"/>
      <c r="JJG4" s="3469"/>
      <c r="JJH4" s="3469"/>
      <c r="JJI4" s="3469"/>
      <c r="JJJ4" s="3469"/>
      <c r="JJK4" s="3469"/>
      <c r="JJL4" s="3469"/>
      <c r="JJM4" s="3469"/>
      <c r="JJN4" s="3469"/>
      <c r="JJO4" s="3469"/>
      <c r="JJP4" s="3469"/>
      <c r="JJQ4" s="3469"/>
      <c r="JJR4" s="3469"/>
      <c r="JJS4" s="3469"/>
      <c r="JJT4" s="3469"/>
      <c r="JJU4" s="3469"/>
      <c r="JJV4" s="3469"/>
      <c r="JJW4" s="3469"/>
      <c r="JJX4" s="3469"/>
      <c r="JJY4" s="3469"/>
      <c r="JJZ4" s="3469"/>
      <c r="JKA4" s="3469"/>
      <c r="JKB4" s="3469"/>
      <c r="JKC4" s="3469"/>
      <c r="JKD4" s="3469"/>
      <c r="JKE4" s="3469"/>
      <c r="JKF4" s="3469"/>
      <c r="JKG4" s="3469"/>
      <c r="JKH4" s="3469"/>
      <c r="JKI4" s="3469"/>
      <c r="JKJ4" s="3469"/>
      <c r="JKK4" s="3469"/>
      <c r="JKL4" s="3469"/>
      <c r="JKM4" s="3469"/>
      <c r="JKN4" s="3469"/>
      <c r="JKO4" s="3469"/>
      <c r="JKP4" s="3469"/>
      <c r="JKQ4" s="3469"/>
      <c r="JKR4" s="3469"/>
      <c r="JKS4" s="3469"/>
      <c r="JKT4" s="3469"/>
      <c r="JKU4" s="3469"/>
      <c r="JKV4" s="3469"/>
      <c r="JKW4" s="3469"/>
      <c r="JKX4" s="3469"/>
      <c r="JKY4" s="3469"/>
      <c r="JKZ4" s="3469"/>
      <c r="JLA4" s="3469"/>
      <c r="JLB4" s="3469"/>
      <c r="JLC4" s="3469"/>
      <c r="JLD4" s="3469"/>
      <c r="JLE4" s="3469"/>
      <c r="JLF4" s="3469"/>
      <c r="JLG4" s="3469"/>
      <c r="JLH4" s="3469"/>
      <c r="JLI4" s="3469"/>
      <c r="JLJ4" s="3469"/>
      <c r="JLK4" s="3469"/>
      <c r="JLL4" s="3469"/>
      <c r="JLM4" s="3469"/>
      <c r="JLN4" s="3469"/>
      <c r="JLO4" s="3469"/>
      <c r="JLP4" s="3469"/>
      <c r="JLQ4" s="3469"/>
      <c r="JLR4" s="3469"/>
      <c r="JLS4" s="3469"/>
      <c r="JLT4" s="3469"/>
      <c r="JLU4" s="3469"/>
      <c r="JLV4" s="3469"/>
      <c r="JLW4" s="3469"/>
      <c r="JLX4" s="3469"/>
      <c r="JLY4" s="3469"/>
      <c r="JLZ4" s="3469"/>
      <c r="JMA4" s="3469"/>
      <c r="JMB4" s="3469"/>
      <c r="JMC4" s="3469"/>
      <c r="JMD4" s="3469"/>
      <c r="JME4" s="3469"/>
      <c r="JMF4" s="3469"/>
      <c r="JMG4" s="3469"/>
      <c r="JMH4" s="3469"/>
      <c r="JMI4" s="3469"/>
      <c r="JMJ4" s="3469"/>
      <c r="JMK4" s="3469"/>
      <c r="JML4" s="3469"/>
      <c r="JMM4" s="3469"/>
      <c r="JMN4" s="3469"/>
      <c r="JMO4" s="3469"/>
      <c r="JMP4" s="3469"/>
      <c r="JMQ4" s="3469"/>
      <c r="JMR4" s="3469"/>
      <c r="JMS4" s="3469"/>
      <c r="JMT4" s="3469"/>
      <c r="JMU4" s="3469"/>
      <c r="JMV4" s="3469"/>
      <c r="JMW4" s="3469"/>
      <c r="JMX4" s="3469"/>
      <c r="JMY4" s="3469"/>
      <c r="JMZ4" s="3469"/>
      <c r="JNA4" s="3469"/>
      <c r="JNB4" s="3469"/>
      <c r="JNC4" s="3469"/>
      <c r="JND4" s="3469"/>
      <c r="JNE4" s="3469"/>
      <c r="JNF4" s="3469"/>
      <c r="JNG4" s="3469"/>
      <c r="JNH4" s="3469"/>
      <c r="JNI4" s="3469"/>
      <c r="JNJ4" s="3469"/>
      <c r="JNK4" s="3469"/>
      <c r="JNL4" s="3469"/>
      <c r="JNM4" s="3469"/>
      <c r="JNN4" s="3469"/>
      <c r="JNO4" s="3469"/>
      <c r="JNP4" s="3469"/>
      <c r="JNQ4" s="3469"/>
      <c r="JNR4" s="3469"/>
      <c r="JNS4" s="3469"/>
      <c r="JNT4" s="3469"/>
      <c r="JNU4" s="3469"/>
      <c r="JNV4" s="3469"/>
      <c r="JNW4" s="3469"/>
      <c r="JNX4" s="3469"/>
      <c r="JNY4" s="3469"/>
      <c r="JNZ4" s="3469"/>
      <c r="JOA4" s="3469"/>
      <c r="JOB4" s="3469"/>
      <c r="JOC4" s="3469"/>
      <c r="JOD4" s="3469"/>
      <c r="JOE4" s="3469"/>
      <c r="JOF4" s="3469"/>
      <c r="JOG4" s="3469"/>
      <c r="JOH4" s="3469"/>
      <c r="JOI4" s="3469"/>
      <c r="JOJ4" s="3469"/>
      <c r="JOK4" s="3469"/>
      <c r="JOL4" s="3469"/>
      <c r="JOM4" s="3469"/>
      <c r="JON4" s="3469"/>
      <c r="JOO4" s="3469"/>
      <c r="JOP4" s="3469"/>
      <c r="JOQ4" s="3469"/>
      <c r="JOR4" s="3469"/>
      <c r="JOS4" s="3469"/>
      <c r="JOT4" s="3469"/>
      <c r="JOU4" s="3469"/>
      <c r="JOV4" s="3469"/>
      <c r="JOW4" s="3469"/>
      <c r="JOX4" s="3469"/>
      <c r="JOY4" s="3469"/>
      <c r="JOZ4" s="3469"/>
      <c r="JPA4" s="3469"/>
      <c r="JPB4" s="3469"/>
      <c r="JPC4" s="3469"/>
      <c r="JPD4" s="3469"/>
      <c r="JPE4" s="3469"/>
      <c r="JPF4" s="3469"/>
      <c r="JPG4" s="3469"/>
      <c r="JPH4" s="3469"/>
      <c r="JPI4" s="3469"/>
      <c r="JPJ4" s="3469"/>
      <c r="JPK4" s="3469"/>
      <c r="JPL4" s="3469"/>
      <c r="JPM4" s="3469"/>
      <c r="JPN4" s="3469"/>
      <c r="JPO4" s="3469"/>
      <c r="JPP4" s="3469"/>
      <c r="JPQ4" s="3469"/>
      <c r="JPR4" s="3469"/>
      <c r="JPS4" s="3469"/>
      <c r="JPT4" s="3469"/>
      <c r="JPU4" s="3469"/>
      <c r="JPV4" s="3469"/>
      <c r="JPW4" s="3469"/>
      <c r="JPX4" s="3469"/>
      <c r="JPY4" s="3469"/>
      <c r="JPZ4" s="3469"/>
      <c r="JQA4" s="3469"/>
      <c r="JQB4" s="3469"/>
      <c r="JQC4" s="3469"/>
      <c r="JQD4" s="3469"/>
      <c r="JQE4" s="3469"/>
      <c r="JQF4" s="3469"/>
      <c r="JQG4" s="3469"/>
      <c r="JQH4" s="3469"/>
      <c r="JQI4" s="3469"/>
      <c r="JQJ4" s="3469"/>
      <c r="JQK4" s="3469"/>
      <c r="JQL4" s="3469"/>
      <c r="JQM4" s="3469"/>
      <c r="JQN4" s="3469"/>
      <c r="JQO4" s="3469"/>
      <c r="JQP4" s="3469"/>
      <c r="JQQ4" s="3469"/>
      <c r="JQR4" s="3469"/>
      <c r="JQS4" s="3469"/>
      <c r="JQT4" s="3469"/>
      <c r="JQU4" s="3469"/>
      <c r="JQV4" s="3469"/>
      <c r="JQW4" s="3469"/>
      <c r="JQX4" s="3469"/>
      <c r="JQY4" s="3469"/>
      <c r="JQZ4" s="3469"/>
      <c r="JRA4" s="3469"/>
      <c r="JRB4" s="3469"/>
      <c r="JRC4" s="3469"/>
      <c r="JRD4" s="3469"/>
      <c r="JRE4" s="3469"/>
      <c r="JRF4" s="3469"/>
      <c r="JRG4" s="3469"/>
      <c r="JRH4" s="3469"/>
      <c r="JRI4" s="3469"/>
      <c r="JRJ4" s="3469"/>
      <c r="JRK4" s="3469"/>
      <c r="JRL4" s="3469"/>
      <c r="JRM4" s="3469"/>
      <c r="JRN4" s="3469"/>
      <c r="JRO4" s="3469"/>
      <c r="JRP4" s="3469"/>
      <c r="JRQ4" s="3469"/>
      <c r="JRR4" s="3469"/>
      <c r="JRS4" s="3469"/>
      <c r="JRT4" s="3469"/>
      <c r="JRU4" s="3469"/>
      <c r="JRV4" s="3469"/>
      <c r="JRW4" s="3469"/>
      <c r="JRX4" s="3469"/>
      <c r="JRY4" s="3469"/>
      <c r="JRZ4" s="3469"/>
      <c r="JSA4" s="3469"/>
      <c r="JSB4" s="3469"/>
      <c r="JSC4" s="3469"/>
      <c r="JSD4" s="3469"/>
      <c r="JSE4" s="3469"/>
      <c r="JSF4" s="3469"/>
      <c r="JSG4" s="3469"/>
      <c r="JSH4" s="3469"/>
      <c r="JSI4" s="3469"/>
      <c r="JSJ4" s="3469"/>
      <c r="JSK4" s="3469"/>
      <c r="JSL4" s="3469"/>
      <c r="JSM4" s="3469"/>
      <c r="JSN4" s="3469"/>
      <c r="JSO4" s="3469"/>
      <c r="JSP4" s="3469"/>
      <c r="JSQ4" s="3469"/>
      <c r="JSR4" s="3469"/>
      <c r="JSS4" s="3469"/>
      <c r="JST4" s="3469"/>
      <c r="JSU4" s="3469"/>
      <c r="JSV4" s="3469"/>
      <c r="JSW4" s="3469"/>
      <c r="JSX4" s="3469"/>
      <c r="JSY4" s="3469"/>
      <c r="JSZ4" s="3469"/>
      <c r="JTA4" s="3469"/>
      <c r="JTB4" s="3469"/>
      <c r="JTC4" s="3469"/>
      <c r="JTD4" s="3469"/>
      <c r="JTE4" s="3469"/>
      <c r="JTF4" s="3469"/>
      <c r="JTG4" s="3469"/>
      <c r="JTH4" s="3469"/>
      <c r="JTI4" s="3469"/>
      <c r="JTJ4" s="3469"/>
      <c r="JTK4" s="3469"/>
      <c r="JTL4" s="3469"/>
      <c r="JTM4" s="3469"/>
      <c r="JTN4" s="3469"/>
      <c r="JTO4" s="3469"/>
      <c r="JTP4" s="3469"/>
      <c r="JTQ4" s="3469"/>
      <c r="JTR4" s="3469"/>
      <c r="JTS4" s="3469"/>
      <c r="JTT4" s="3469"/>
      <c r="JTU4" s="3469"/>
      <c r="JTV4" s="3469"/>
      <c r="JTW4" s="3469"/>
      <c r="JTX4" s="3469"/>
      <c r="JTY4" s="3469"/>
      <c r="JTZ4" s="3469"/>
      <c r="JUA4" s="3469"/>
      <c r="JUB4" s="3469"/>
      <c r="JUC4" s="3469"/>
      <c r="JUD4" s="3469"/>
      <c r="JUE4" s="3469"/>
      <c r="JUF4" s="3469"/>
      <c r="JUG4" s="3469"/>
      <c r="JUH4" s="3469"/>
      <c r="JUI4" s="3469"/>
      <c r="JUJ4" s="3469"/>
      <c r="JUK4" s="3469"/>
      <c r="JUL4" s="3469"/>
      <c r="JUM4" s="3469"/>
      <c r="JUN4" s="3469"/>
      <c r="JUO4" s="3469"/>
      <c r="JUP4" s="3469"/>
      <c r="JUQ4" s="3469"/>
      <c r="JUR4" s="3469"/>
      <c r="JUS4" s="3469"/>
      <c r="JUT4" s="3469"/>
      <c r="JUU4" s="3469"/>
      <c r="JUV4" s="3469"/>
      <c r="JUW4" s="3469"/>
      <c r="JUX4" s="3469"/>
      <c r="JUY4" s="3469"/>
      <c r="JUZ4" s="3469"/>
      <c r="JVA4" s="3469"/>
      <c r="JVB4" s="3469"/>
      <c r="JVC4" s="3469"/>
      <c r="JVD4" s="3469"/>
      <c r="JVE4" s="3469"/>
      <c r="JVF4" s="3469"/>
      <c r="JVG4" s="3469"/>
      <c r="JVH4" s="3469"/>
      <c r="JVI4" s="3469"/>
      <c r="JVJ4" s="3469"/>
      <c r="JVK4" s="3469"/>
      <c r="JVL4" s="3469"/>
      <c r="JVM4" s="3469"/>
      <c r="JVN4" s="3469"/>
      <c r="JVO4" s="3469"/>
      <c r="JVP4" s="3469"/>
      <c r="JVQ4" s="3469"/>
      <c r="JVR4" s="3469"/>
      <c r="JVS4" s="3469"/>
      <c r="JVT4" s="3469"/>
      <c r="JVU4" s="3469"/>
      <c r="JVV4" s="3469"/>
      <c r="JVW4" s="3469"/>
      <c r="JVX4" s="3469"/>
      <c r="JVY4" s="3469"/>
      <c r="JVZ4" s="3469"/>
      <c r="JWA4" s="3469"/>
      <c r="JWB4" s="3469"/>
      <c r="JWC4" s="3469"/>
      <c r="JWD4" s="3469"/>
      <c r="JWE4" s="3469"/>
      <c r="JWF4" s="3469"/>
      <c r="JWG4" s="3469"/>
      <c r="JWH4" s="3469"/>
      <c r="JWI4" s="3469"/>
      <c r="JWJ4" s="3469"/>
      <c r="JWK4" s="3469"/>
      <c r="JWL4" s="3469"/>
      <c r="JWM4" s="3469"/>
      <c r="JWN4" s="3469"/>
      <c r="JWO4" s="3469"/>
      <c r="JWP4" s="3469"/>
      <c r="JWQ4" s="3469"/>
      <c r="JWR4" s="3469"/>
      <c r="JWS4" s="3469"/>
      <c r="JWT4" s="3469"/>
      <c r="JWU4" s="3469"/>
      <c r="JWV4" s="3469"/>
      <c r="JWW4" s="3469"/>
      <c r="JWX4" s="3469"/>
      <c r="JWY4" s="3469"/>
      <c r="JWZ4" s="3469"/>
      <c r="JXA4" s="3469"/>
      <c r="JXB4" s="3469"/>
      <c r="JXC4" s="3469"/>
      <c r="JXD4" s="3469"/>
      <c r="JXE4" s="3469"/>
      <c r="JXF4" s="3469"/>
      <c r="JXG4" s="3469"/>
      <c r="JXH4" s="3469"/>
      <c r="JXI4" s="3469"/>
      <c r="JXJ4" s="3469"/>
      <c r="JXK4" s="3469"/>
      <c r="JXL4" s="3469"/>
      <c r="JXM4" s="3469"/>
      <c r="JXN4" s="3469"/>
      <c r="JXO4" s="3469"/>
      <c r="JXP4" s="3469"/>
      <c r="JXQ4" s="3469"/>
      <c r="JXR4" s="3469"/>
      <c r="JXS4" s="3469"/>
      <c r="JXT4" s="3469"/>
      <c r="JXU4" s="3469"/>
      <c r="JXV4" s="3469"/>
      <c r="JXW4" s="3469"/>
      <c r="JXX4" s="3469"/>
      <c r="JXY4" s="3469"/>
      <c r="JXZ4" s="3469"/>
      <c r="JYA4" s="3469"/>
      <c r="JYB4" s="3469"/>
      <c r="JYC4" s="3469"/>
      <c r="JYD4" s="3469"/>
      <c r="JYE4" s="3469"/>
      <c r="JYF4" s="3469"/>
      <c r="JYG4" s="3469"/>
      <c r="JYH4" s="3469"/>
      <c r="JYI4" s="3469"/>
      <c r="JYJ4" s="3469"/>
      <c r="JYK4" s="3469"/>
      <c r="JYL4" s="3469"/>
      <c r="JYM4" s="3469"/>
      <c r="JYN4" s="3469"/>
      <c r="JYO4" s="3469"/>
      <c r="JYP4" s="3469"/>
      <c r="JYQ4" s="3469"/>
      <c r="JYR4" s="3469"/>
      <c r="JYS4" s="3469"/>
      <c r="JYT4" s="3469"/>
      <c r="JYU4" s="3469"/>
      <c r="JYV4" s="3469"/>
      <c r="JYW4" s="3469"/>
      <c r="JYX4" s="3469"/>
      <c r="JYY4" s="3469"/>
      <c r="JYZ4" s="3469"/>
      <c r="JZA4" s="3469"/>
      <c r="JZB4" s="3469"/>
      <c r="JZC4" s="3469"/>
      <c r="JZD4" s="3469"/>
      <c r="JZE4" s="3469"/>
      <c r="JZF4" s="3469"/>
      <c r="JZG4" s="3469"/>
      <c r="JZH4" s="3469"/>
      <c r="JZI4" s="3469"/>
      <c r="JZJ4" s="3469"/>
      <c r="JZK4" s="3469"/>
      <c r="JZL4" s="3469"/>
      <c r="JZM4" s="3469"/>
      <c r="JZN4" s="3469"/>
      <c r="JZO4" s="3469"/>
      <c r="JZP4" s="3469"/>
      <c r="JZQ4" s="3469"/>
      <c r="JZR4" s="3469"/>
      <c r="JZS4" s="3469"/>
      <c r="JZT4" s="3469"/>
      <c r="JZU4" s="3469"/>
      <c r="JZV4" s="3469"/>
      <c r="JZW4" s="3469"/>
      <c r="JZX4" s="3469"/>
      <c r="JZY4" s="3469"/>
      <c r="JZZ4" s="3469"/>
      <c r="KAA4" s="3469"/>
      <c r="KAB4" s="3469"/>
      <c r="KAC4" s="3469"/>
      <c r="KAD4" s="3469"/>
      <c r="KAE4" s="3469"/>
      <c r="KAF4" s="3469"/>
      <c r="KAG4" s="3469"/>
      <c r="KAH4" s="3469"/>
      <c r="KAI4" s="3469"/>
      <c r="KAJ4" s="3469"/>
      <c r="KAK4" s="3469"/>
      <c r="KAL4" s="3469"/>
      <c r="KAM4" s="3469"/>
      <c r="KAN4" s="3469"/>
      <c r="KAO4" s="3469"/>
      <c r="KAP4" s="3469"/>
      <c r="KAQ4" s="3469"/>
      <c r="KAR4" s="3469"/>
      <c r="KAS4" s="3469"/>
      <c r="KAT4" s="3469"/>
      <c r="KAU4" s="3469"/>
      <c r="KAV4" s="3469"/>
      <c r="KAW4" s="3469"/>
      <c r="KAX4" s="3469"/>
      <c r="KAY4" s="3469"/>
      <c r="KAZ4" s="3469"/>
      <c r="KBA4" s="3469"/>
      <c r="KBB4" s="3469"/>
      <c r="KBC4" s="3469"/>
      <c r="KBD4" s="3469"/>
      <c r="KBE4" s="3469"/>
      <c r="KBF4" s="3469"/>
      <c r="KBG4" s="3469"/>
      <c r="KBH4" s="3469"/>
      <c r="KBI4" s="3469"/>
      <c r="KBJ4" s="3469"/>
      <c r="KBK4" s="3469"/>
      <c r="KBL4" s="3469"/>
      <c r="KBM4" s="3469"/>
      <c r="KBN4" s="3469"/>
      <c r="KBO4" s="3469"/>
      <c r="KBP4" s="3469"/>
      <c r="KBQ4" s="3469"/>
      <c r="KBR4" s="3469"/>
      <c r="KBS4" s="3469"/>
      <c r="KBT4" s="3469"/>
      <c r="KBU4" s="3469"/>
      <c r="KBV4" s="3469"/>
      <c r="KBW4" s="3469"/>
      <c r="KBX4" s="3469"/>
      <c r="KBY4" s="3469"/>
      <c r="KBZ4" s="3469"/>
      <c r="KCA4" s="3469"/>
      <c r="KCB4" s="3469"/>
      <c r="KCC4" s="3469"/>
      <c r="KCD4" s="3469"/>
      <c r="KCE4" s="3469"/>
      <c r="KCF4" s="3469"/>
      <c r="KCG4" s="3469"/>
      <c r="KCH4" s="3469"/>
      <c r="KCI4" s="3469"/>
      <c r="KCJ4" s="3469"/>
      <c r="KCK4" s="3469"/>
      <c r="KCL4" s="3469"/>
      <c r="KCM4" s="3469"/>
      <c r="KCN4" s="3469"/>
      <c r="KCO4" s="3469"/>
      <c r="KCP4" s="3469"/>
      <c r="KCQ4" s="3469"/>
      <c r="KCR4" s="3469"/>
      <c r="KCS4" s="3469"/>
      <c r="KCT4" s="3469"/>
      <c r="KCU4" s="3469"/>
      <c r="KCV4" s="3469"/>
      <c r="KCW4" s="3469"/>
      <c r="KCX4" s="3469"/>
      <c r="KCY4" s="3469"/>
      <c r="KCZ4" s="3469"/>
      <c r="KDA4" s="3469"/>
      <c r="KDB4" s="3469"/>
      <c r="KDC4" s="3469"/>
      <c r="KDD4" s="3469"/>
      <c r="KDE4" s="3469"/>
      <c r="KDF4" s="3469"/>
      <c r="KDG4" s="3469"/>
      <c r="KDH4" s="3469"/>
      <c r="KDI4" s="3469"/>
      <c r="KDJ4" s="3469"/>
      <c r="KDK4" s="3469"/>
      <c r="KDL4" s="3469"/>
      <c r="KDM4" s="3469"/>
      <c r="KDN4" s="3469"/>
      <c r="KDO4" s="3469"/>
      <c r="KDP4" s="3469"/>
      <c r="KDQ4" s="3469"/>
      <c r="KDR4" s="3469"/>
      <c r="KDS4" s="3469"/>
      <c r="KDT4" s="3469"/>
      <c r="KDU4" s="3469"/>
      <c r="KDV4" s="3469"/>
      <c r="KDW4" s="3469"/>
      <c r="KDX4" s="3469"/>
      <c r="KDY4" s="3469"/>
      <c r="KDZ4" s="3469"/>
      <c r="KEA4" s="3469"/>
      <c r="KEB4" s="3469"/>
      <c r="KEC4" s="3469"/>
      <c r="KED4" s="3469"/>
      <c r="KEE4" s="3469"/>
      <c r="KEF4" s="3469"/>
      <c r="KEG4" s="3469"/>
      <c r="KEH4" s="3469"/>
      <c r="KEI4" s="3469"/>
      <c r="KEJ4" s="3469"/>
      <c r="KEK4" s="3469"/>
      <c r="KEL4" s="3469"/>
      <c r="KEM4" s="3469"/>
      <c r="KEN4" s="3469"/>
      <c r="KEO4" s="3469"/>
      <c r="KEP4" s="3469"/>
      <c r="KEQ4" s="3469"/>
      <c r="KER4" s="3469"/>
      <c r="KES4" s="3469"/>
      <c r="KET4" s="3469"/>
      <c r="KEU4" s="3469"/>
      <c r="KEV4" s="3469"/>
      <c r="KEW4" s="3469"/>
      <c r="KEX4" s="3469"/>
      <c r="KEY4" s="3469"/>
      <c r="KEZ4" s="3469"/>
      <c r="KFA4" s="3469"/>
      <c r="KFB4" s="3469"/>
      <c r="KFC4" s="3469"/>
      <c r="KFD4" s="3469"/>
      <c r="KFE4" s="3469"/>
      <c r="KFF4" s="3469"/>
      <c r="KFG4" s="3469"/>
      <c r="KFH4" s="3469"/>
      <c r="KFI4" s="3469"/>
      <c r="KFJ4" s="3469"/>
      <c r="KFK4" s="3469"/>
      <c r="KFL4" s="3469"/>
      <c r="KFM4" s="3469"/>
      <c r="KFN4" s="3469"/>
      <c r="KFO4" s="3469"/>
      <c r="KFP4" s="3469"/>
      <c r="KFQ4" s="3469"/>
      <c r="KFR4" s="3469"/>
      <c r="KFS4" s="3469"/>
      <c r="KFT4" s="3469"/>
      <c r="KFU4" s="3469"/>
      <c r="KFV4" s="3469"/>
      <c r="KFW4" s="3469"/>
      <c r="KFX4" s="3469"/>
      <c r="KFY4" s="3469"/>
      <c r="KFZ4" s="3469"/>
      <c r="KGA4" s="3469"/>
      <c r="KGB4" s="3469"/>
      <c r="KGC4" s="3469"/>
      <c r="KGD4" s="3469"/>
      <c r="KGE4" s="3469"/>
      <c r="KGF4" s="3469"/>
      <c r="KGG4" s="3469"/>
      <c r="KGH4" s="3469"/>
      <c r="KGI4" s="3469"/>
      <c r="KGJ4" s="3469"/>
      <c r="KGK4" s="3469"/>
      <c r="KGL4" s="3469"/>
      <c r="KGM4" s="3469"/>
      <c r="KGN4" s="3469"/>
      <c r="KGO4" s="3469"/>
      <c r="KGP4" s="3469"/>
      <c r="KGQ4" s="3469"/>
      <c r="KGR4" s="3469"/>
      <c r="KGS4" s="3469"/>
      <c r="KGT4" s="3469"/>
      <c r="KGU4" s="3469"/>
      <c r="KGV4" s="3469"/>
      <c r="KGW4" s="3469"/>
      <c r="KGX4" s="3469"/>
      <c r="KGY4" s="3469"/>
      <c r="KGZ4" s="3469"/>
      <c r="KHA4" s="3469"/>
      <c r="KHB4" s="3469"/>
      <c r="KHC4" s="3469"/>
      <c r="KHD4" s="3469"/>
      <c r="KHE4" s="3469"/>
      <c r="KHF4" s="3469"/>
      <c r="KHG4" s="3469"/>
      <c r="KHH4" s="3469"/>
      <c r="KHI4" s="3469"/>
      <c r="KHJ4" s="3469"/>
      <c r="KHK4" s="3469"/>
      <c r="KHL4" s="3469"/>
      <c r="KHM4" s="3469"/>
      <c r="KHN4" s="3469"/>
      <c r="KHO4" s="3469"/>
      <c r="KHP4" s="3469"/>
      <c r="KHQ4" s="3469"/>
      <c r="KHR4" s="3469"/>
      <c r="KHS4" s="3469"/>
      <c r="KHT4" s="3469"/>
      <c r="KHU4" s="3469"/>
      <c r="KHV4" s="3469"/>
      <c r="KHW4" s="3469"/>
      <c r="KHX4" s="3469"/>
      <c r="KHY4" s="3469"/>
      <c r="KHZ4" s="3469"/>
      <c r="KIA4" s="3469"/>
      <c r="KIB4" s="3469"/>
      <c r="KIC4" s="3469"/>
      <c r="KID4" s="3469"/>
      <c r="KIE4" s="3469"/>
      <c r="KIF4" s="3469"/>
      <c r="KIG4" s="3469"/>
      <c r="KIH4" s="3469"/>
      <c r="KII4" s="3469"/>
      <c r="KIJ4" s="3469"/>
      <c r="KIK4" s="3469"/>
      <c r="KIL4" s="3469"/>
      <c r="KIM4" s="3469"/>
      <c r="KIN4" s="3469"/>
      <c r="KIO4" s="3469"/>
      <c r="KIP4" s="3469"/>
      <c r="KIQ4" s="3469"/>
      <c r="KIR4" s="3469"/>
      <c r="KIS4" s="3469"/>
      <c r="KIT4" s="3469"/>
      <c r="KIU4" s="3469"/>
      <c r="KIV4" s="3469"/>
      <c r="KIW4" s="3469"/>
      <c r="KIX4" s="3469"/>
      <c r="KIY4" s="3469"/>
      <c r="KIZ4" s="3469"/>
      <c r="KJA4" s="3469"/>
      <c r="KJB4" s="3469"/>
      <c r="KJC4" s="3469"/>
      <c r="KJD4" s="3469"/>
      <c r="KJE4" s="3469"/>
      <c r="KJF4" s="3469"/>
      <c r="KJG4" s="3469"/>
      <c r="KJH4" s="3469"/>
      <c r="KJI4" s="3469"/>
      <c r="KJJ4" s="3469"/>
      <c r="KJK4" s="3469"/>
      <c r="KJL4" s="3469"/>
      <c r="KJM4" s="3469"/>
      <c r="KJN4" s="3469"/>
      <c r="KJO4" s="3469"/>
      <c r="KJP4" s="3469"/>
      <c r="KJQ4" s="3469"/>
      <c r="KJR4" s="3469"/>
      <c r="KJS4" s="3469"/>
      <c r="KJT4" s="3469"/>
      <c r="KJU4" s="3469"/>
      <c r="KJV4" s="3469"/>
      <c r="KJW4" s="3469"/>
      <c r="KJX4" s="3469"/>
      <c r="KJY4" s="3469"/>
      <c r="KJZ4" s="3469"/>
      <c r="KKA4" s="3469"/>
      <c r="KKB4" s="3469"/>
      <c r="KKC4" s="3469"/>
      <c r="KKD4" s="3469"/>
      <c r="KKE4" s="3469"/>
      <c r="KKF4" s="3469"/>
      <c r="KKG4" s="3469"/>
      <c r="KKH4" s="3469"/>
      <c r="KKI4" s="3469"/>
      <c r="KKJ4" s="3469"/>
      <c r="KKK4" s="3469"/>
      <c r="KKL4" s="3469"/>
      <c r="KKM4" s="3469"/>
      <c r="KKN4" s="3469"/>
      <c r="KKO4" s="3469"/>
      <c r="KKP4" s="3469"/>
      <c r="KKQ4" s="3469"/>
      <c r="KKR4" s="3469"/>
      <c r="KKS4" s="3469"/>
      <c r="KKT4" s="3469"/>
      <c r="KKU4" s="3469"/>
      <c r="KKV4" s="3469"/>
      <c r="KKW4" s="3469"/>
      <c r="KKX4" s="3469"/>
      <c r="KKY4" s="3469"/>
      <c r="KKZ4" s="3469"/>
      <c r="KLA4" s="3469"/>
      <c r="KLB4" s="3469"/>
      <c r="KLC4" s="3469"/>
      <c r="KLD4" s="3469"/>
      <c r="KLE4" s="3469"/>
      <c r="KLF4" s="3469"/>
      <c r="KLG4" s="3469"/>
      <c r="KLH4" s="3469"/>
      <c r="KLI4" s="3469"/>
      <c r="KLJ4" s="3469"/>
      <c r="KLK4" s="3469"/>
      <c r="KLL4" s="3469"/>
      <c r="KLM4" s="3469"/>
      <c r="KLN4" s="3469"/>
      <c r="KLO4" s="3469"/>
      <c r="KLP4" s="3469"/>
      <c r="KLQ4" s="3469"/>
      <c r="KLR4" s="3469"/>
      <c r="KLS4" s="3469"/>
      <c r="KLT4" s="3469"/>
      <c r="KLU4" s="3469"/>
      <c r="KLV4" s="3469"/>
      <c r="KLW4" s="3469"/>
      <c r="KLX4" s="3469"/>
      <c r="KLY4" s="3469"/>
      <c r="KLZ4" s="3469"/>
      <c r="KMA4" s="3469"/>
      <c r="KMB4" s="3469"/>
      <c r="KMC4" s="3469"/>
      <c r="KMD4" s="3469"/>
      <c r="KME4" s="3469"/>
      <c r="KMF4" s="3469"/>
      <c r="KMG4" s="3469"/>
      <c r="KMH4" s="3469"/>
      <c r="KMI4" s="3469"/>
      <c r="KMJ4" s="3469"/>
      <c r="KMK4" s="3469"/>
      <c r="KML4" s="3469"/>
      <c r="KMM4" s="3469"/>
      <c r="KMN4" s="3469"/>
      <c r="KMO4" s="3469"/>
      <c r="KMP4" s="3469"/>
      <c r="KMQ4" s="3469"/>
      <c r="KMR4" s="3469"/>
      <c r="KMS4" s="3469"/>
      <c r="KMT4" s="3469"/>
      <c r="KMU4" s="3469"/>
      <c r="KMV4" s="3469"/>
      <c r="KMW4" s="3469"/>
      <c r="KMX4" s="3469"/>
      <c r="KMY4" s="3469"/>
      <c r="KMZ4" s="3469"/>
      <c r="KNA4" s="3469"/>
      <c r="KNB4" s="3469"/>
      <c r="KNC4" s="3469"/>
      <c r="KND4" s="3469"/>
      <c r="KNE4" s="3469"/>
      <c r="KNF4" s="3469"/>
      <c r="KNG4" s="3469"/>
      <c r="KNH4" s="3469"/>
      <c r="KNI4" s="3469"/>
      <c r="KNJ4" s="3469"/>
      <c r="KNK4" s="3469"/>
      <c r="KNL4" s="3469"/>
      <c r="KNM4" s="3469"/>
      <c r="KNN4" s="3469"/>
      <c r="KNO4" s="3469"/>
      <c r="KNP4" s="3469"/>
      <c r="KNQ4" s="3469"/>
      <c r="KNR4" s="3469"/>
      <c r="KNS4" s="3469"/>
      <c r="KNT4" s="3469"/>
      <c r="KNU4" s="3469"/>
      <c r="KNV4" s="3469"/>
      <c r="KNW4" s="3469"/>
      <c r="KNX4" s="3469"/>
      <c r="KNY4" s="3469"/>
      <c r="KNZ4" s="3469"/>
      <c r="KOA4" s="3469"/>
      <c r="KOB4" s="3469"/>
      <c r="KOC4" s="3469"/>
      <c r="KOD4" s="3469"/>
      <c r="KOE4" s="3469"/>
      <c r="KOF4" s="3469"/>
      <c r="KOG4" s="3469"/>
      <c r="KOH4" s="3469"/>
      <c r="KOI4" s="3469"/>
      <c r="KOJ4" s="3469"/>
      <c r="KOK4" s="3469"/>
      <c r="KOL4" s="3469"/>
      <c r="KOM4" s="3469"/>
      <c r="KON4" s="3469"/>
      <c r="KOO4" s="3469"/>
      <c r="KOP4" s="3469"/>
      <c r="KOQ4" s="3469"/>
      <c r="KOR4" s="3469"/>
      <c r="KOS4" s="3469"/>
      <c r="KOT4" s="3469"/>
      <c r="KOU4" s="3469"/>
      <c r="KOV4" s="3469"/>
      <c r="KOW4" s="3469"/>
      <c r="KOX4" s="3469"/>
      <c r="KOY4" s="3469"/>
      <c r="KOZ4" s="3469"/>
      <c r="KPA4" s="3469"/>
      <c r="KPB4" s="3469"/>
      <c r="KPC4" s="3469"/>
      <c r="KPD4" s="3469"/>
      <c r="KPE4" s="3469"/>
      <c r="KPF4" s="3469"/>
      <c r="KPG4" s="3469"/>
      <c r="KPH4" s="3469"/>
      <c r="KPI4" s="3469"/>
      <c r="KPJ4" s="3469"/>
      <c r="KPK4" s="3469"/>
      <c r="KPL4" s="3469"/>
      <c r="KPM4" s="3469"/>
      <c r="KPN4" s="3469"/>
      <c r="KPO4" s="3469"/>
      <c r="KPP4" s="3469"/>
      <c r="KPQ4" s="3469"/>
      <c r="KPR4" s="3469"/>
      <c r="KPS4" s="3469"/>
      <c r="KPT4" s="3469"/>
      <c r="KPU4" s="3469"/>
      <c r="KPV4" s="3469"/>
      <c r="KPW4" s="3469"/>
      <c r="KPX4" s="3469"/>
      <c r="KPY4" s="3469"/>
      <c r="KPZ4" s="3469"/>
      <c r="KQA4" s="3469"/>
      <c r="KQB4" s="3469"/>
      <c r="KQC4" s="3469"/>
      <c r="KQD4" s="3469"/>
      <c r="KQE4" s="3469"/>
      <c r="KQF4" s="3469"/>
      <c r="KQG4" s="3469"/>
      <c r="KQH4" s="3469"/>
      <c r="KQI4" s="3469"/>
      <c r="KQJ4" s="3469"/>
      <c r="KQK4" s="3469"/>
      <c r="KQL4" s="3469"/>
      <c r="KQM4" s="3469"/>
      <c r="KQN4" s="3469"/>
      <c r="KQO4" s="3469"/>
      <c r="KQP4" s="3469"/>
      <c r="KQQ4" s="3469"/>
      <c r="KQR4" s="3469"/>
      <c r="KQS4" s="3469"/>
      <c r="KQT4" s="3469"/>
      <c r="KQU4" s="3469"/>
      <c r="KQV4" s="3469"/>
      <c r="KQW4" s="3469"/>
      <c r="KQX4" s="3469"/>
      <c r="KQY4" s="3469"/>
      <c r="KQZ4" s="3469"/>
      <c r="KRA4" s="3469"/>
      <c r="KRB4" s="3469"/>
      <c r="KRC4" s="3469"/>
      <c r="KRD4" s="3469"/>
      <c r="KRE4" s="3469"/>
      <c r="KRF4" s="3469"/>
      <c r="KRG4" s="3469"/>
      <c r="KRH4" s="3469"/>
      <c r="KRI4" s="3469"/>
      <c r="KRJ4" s="3469"/>
      <c r="KRK4" s="3469"/>
      <c r="KRL4" s="3469"/>
      <c r="KRM4" s="3469"/>
      <c r="KRN4" s="3469"/>
      <c r="KRO4" s="3469"/>
      <c r="KRP4" s="3469"/>
      <c r="KRQ4" s="3469"/>
      <c r="KRR4" s="3469"/>
      <c r="KRS4" s="3469"/>
      <c r="KRT4" s="3469"/>
      <c r="KRU4" s="3469"/>
      <c r="KRV4" s="3469"/>
      <c r="KRW4" s="3469"/>
      <c r="KRX4" s="3469"/>
      <c r="KRY4" s="3469"/>
      <c r="KRZ4" s="3469"/>
      <c r="KSA4" s="3469"/>
      <c r="KSB4" s="3469"/>
      <c r="KSC4" s="3469"/>
      <c r="KSD4" s="3469"/>
      <c r="KSE4" s="3469"/>
      <c r="KSF4" s="3469"/>
      <c r="KSG4" s="3469"/>
      <c r="KSH4" s="3469"/>
      <c r="KSI4" s="3469"/>
      <c r="KSJ4" s="3469"/>
      <c r="KSK4" s="3469"/>
      <c r="KSL4" s="3469"/>
      <c r="KSM4" s="3469"/>
      <c r="KSN4" s="3469"/>
      <c r="KSO4" s="3469"/>
      <c r="KSP4" s="3469"/>
      <c r="KSQ4" s="3469"/>
      <c r="KSR4" s="3469"/>
      <c r="KSS4" s="3469"/>
      <c r="KST4" s="3469"/>
      <c r="KSU4" s="3469"/>
      <c r="KSV4" s="3469"/>
      <c r="KSW4" s="3469"/>
      <c r="KSX4" s="3469"/>
      <c r="KSY4" s="3469"/>
      <c r="KSZ4" s="3469"/>
      <c r="KTA4" s="3469"/>
      <c r="KTB4" s="3469"/>
      <c r="KTC4" s="3469"/>
      <c r="KTD4" s="3469"/>
      <c r="KTE4" s="3469"/>
      <c r="KTF4" s="3469"/>
      <c r="KTG4" s="3469"/>
      <c r="KTH4" s="3469"/>
      <c r="KTI4" s="3469"/>
      <c r="KTJ4" s="3469"/>
      <c r="KTK4" s="3469"/>
      <c r="KTL4" s="3469"/>
      <c r="KTM4" s="3469"/>
      <c r="KTN4" s="3469"/>
      <c r="KTO4" s="3469"/>
      <c r="KTP4" s="3469"/>
      <c r="KTQ4" s="3469"/>
      <c r="KTR4" s="3469"/>
      <c r="KTS4" s="3469"/>
      <c r="KTT4" s="3469"/>
      <c r="KTU4" s="3469"/>
      <c r="KTV4" s="3469"/>
      <c r="KTW4" s="3469"/>
      <c r="KTX4" s="3469"/>
      <c r="KTY4" s="3469"/>
      <c r="KTZ4" s="3469"/>
      <c r="KUA4" s="3469"/>
      <c r="KUB4" s="3469"/>
      <c r="KUC4" s="3469"/>
      <c r="KUD4" s="3469"/>
      <c r="KUE4" s="3469"/>
      <c r="KUF4" s="3469"/>
      <c r="KUG4" s="3469"/>
      <c r="KUH4" s="3469"/>
      <c r="KUI4" s="3469"/>
      <c r="KUJ4" s="3469"/>
      <c r="KUK4" s="3469"/>
      <c r="KUL4" s="3469"/>
      <c r="KUM4" s="3469"/>
      <c r="KUN4" s="3469"/>
      <c r="KUO4" s="3469"/>
      <c r="KUP4" s="3469"/>
      <c r="KUQ4" s="3469"/>
      <c r="KUR4" s="3469"/>
      <c r="KUS4" s="3469"/>
      <c r="KUT4" s="3469"/>
      <c r="KUU4" s="3469"/>
      <c r="KUV4" s="3469"/>
      <c r="KUW4" s="3469"/>
      <c r="KUX4" s="3469"/>
      <c r="KUY4" s="3469"/>
      <c r="KUZ4" s="3469"/>
      <c r="KVA4" s="3469"/>
      <c r="KVB4" s="3469"/>
      <c r="KVC4" s="3469"/>
      <c r="KVD4" s="3469"/>
      <c r="KVE4" s="3469"/>
      <c r="KVF4" s="3469"/>
      <c r="KVG4" s="3469"/>
      <c r="KVH4" s="3469"/>
      <c r="KVI4" s="3469"/>
      <c r="KVJ4" s="3469"/>
      <c r="KVK4" s="3469"/>
      <c r="KVL4" s="3469"/>
      <c r="KVM4" s="3469"/>
      <c r="KVN4" s="3469"/>
      <c r="KVO4" s="3469"/>
      <c r="KVP4" s="3469"/>
      <c r="KVQ4" s="3469"/>
      <c r="KVR4" s="3469"/>
      <c r="KVS4" s="3469"/>
      <c r="KVT4" s="3469"/>
      <c r="KVU4" s="3469"/>
      <c r="KVV4" s="3469"/>
      <c r="KVW4" s="3469"/>
      <c r="KVX4" s="3469"/>
      <c r="KVY4" s="3469"/>
      <c r="KVZ4" s="3469"/>
      <c r="KWA4" s="3469"/>
      <c r="KWB4" s="3469"/>
      <c r="KWC4" s="3469"/>
      <c r="KWD4" s="3469"/>
      <c r="KWE4" s="3469"/>
      <c r="KWF4" s="3469"/>
      <c r="KWG4" s="3469"/>
      <c r="KWH4" s="3469"/>
      <c r="KWI4" s="3469"/>
      <c r="KWJ4" s="3469"/>
      <c r="KWK4" s="3469"/>
      <c r="KWL4" s="3469"/>
      <c r="KWM4" s="3469"/>
      <c r="KWN4" s="3469"/>
      <c r="KWO4" s="3469"/>
      <c r="KWP4" s="3469"/>
      <c r="KWQ4" s="3469"/>
      <c r="KWR4" s="3469"/>
      <c r="KWS4" s="3469"/>
      <c r="KWT4" s="3469"/>
      <c r="KWU4" s="3469"/>
      <c r="KWV4" s="3469"/>
      <c r="KWW4" s="3469"/>
      <c r="KWX4" s="3469"/>
      <c r="KWY4" s="3469"/>
      <c r="KWZ4" s="3469"/>
      <c r="KXA4" s="3469"/>
      <c r="KXB4" s="3469"/>
      <c r="KXC4" s="3469"/>
      <c r="KXD4" s="3469"/>
      <c r="KXE4" s="3469"/>
      <c r="KXF4" s="3469"/>
      <c r="KXG4" s="3469"/>
      <c r="KXH4" s="3469"/>
      <c r="KXI4" s="3469"/>
      <c r="KXJ4" s="3469"/>
      <c r="KXK4" s="3469"/>
      <c r="KXL4" s="3469"/>
      <c r="KXM4" s="3469"/>
      <c r="KXN4" s="3469"/>
      <c r="KXO4" s="3469"/>
      <c r="KXP4" s="3469"/>
      <c r="KXQ4" s="3469"/>
      <c r="KXR4" s="3469"/>
      <c r="KXS4" s="3469"/>
      <c r="KXT4" s="3469"/>
      <c r="KXU4" s="3469"/>
      <c r="KXV4" s="3469"/>
      <c r="KXW4" s="3469"/>
      <c r="KXX4" s="3469"/>
      <c r="KXY4" s="3469"/>
      <c r="KXZ4" s="3469"/>
      <c r="KYA4" s="3469"/>
      <c r="KYB4" s="3469"/>
      <c r="KYC4" s="3469"/>
      <c r="KYD4" s="3469"/>
      <c r="KYE4" s="3469"/>
      <c r="KYF4" s="3469"/>
      <c r="KYG4" s="3469"/>
      <c r="KYH4" s="3469"/>
      <c r="KYI4" s="3469"/>
      <c r="KYJ4" s="3469"/>
      <c r="KYK4" s="3469"/>
      <c r="KYL4" s="3469"/>
      <c r="KYM4" s="3469"/>
      <c r="KYN4" s="3469"/>
      <c r="KYO4" s="3469"/>
      <c r="KYP4" s="3469"/>
      <c r="KYQ4" s="3469"/>
      <c r="KYR4" s="3469"/>
      <c r="KYS4" s="3469"/>
      <c r="KYT4" s="3469"/>
      <c r="KYU4" s="3469"/>
      <c r="KYV4" s="3469"/>
      <c r="KYW4" s="3469"/>
      <c r="KYX4" s="3469"/>
      <c r="KYY4" s="3469"/>
      <c r="KYZ4" s="3469"/>
      <c r="KZA4" s="3469"/>
      <c r="KZB4" s="3469"/>
      <c r="KZC4" s="3469"/>
      <c r="KZD4" s="3469"/>
      <c r="KZE4" s="3469"/>
      <c r="KZF4" s="3469"/>
      <c r="KZG4" s="3469"/>
      <c r="KZH4" s="3469"/>
      <c r="KZI4" s="3469"/>
      <c r="KZJ4" s="3469"/>
      <c r="KZK4" s="3469"/>
      <c r="KZL4" s="3469"/>
      <c r="KZM4" s="3469"/>
      <c r="KZN4" s="3469"/>
      <c r="KZO4" s="3469"/>
      <c r="KZP4" s="3469"/>
      <c r="KZQ4" s="3469"/>
      <c r="KZR4" s="3469"/>
      <c r="KZS4" s="3469"/>
      <c r="KZT4" s="3469"/>
      <c r="KZU4" s="3469"/>
      <c r="KZV4" s="3469"/>
      <c r="KZW4" s="3469"/>
      <c r="KZX4" s="3469"/>
      <c r="KZY4" s="3469"/>
      <c r="KZZ4" s="3469"/>
      <c r="LAA4" s="3469"/>
      <c r="LAB4" s="3469"/>
      <c r="LAC4" s="3469"/>
      <c r="LAD4" s="3469"/>
      <c r="LAE4" s="3469"/>
      <c r="LAF4" s="3469"/>
      <c r="LAG4" s="3469"/>
      <c r="LAH4" s="3469"/>
      <c r="LAI4" s="3469"/>
      <c r="LAJ4" s="3469"/>
      <c r="LAK4" s="3469"/>
      <c r="LAL4" s="3469"/>
      <c r="LAM4" s="3469"/>
      <c r="LAN4" s="3469"/>
      <c r="LAO4" s="3469"/>
      <c r="LAP4" s="3469"/>
      <c r="LAQ4" s="3469"/>
      <c r="LAR4" s="3469"/>
      <c r="LAS4" s="3469"/>
      <c r="LAT4" s="3469"/>
      <c r="LAU4" s="3469"/>
      <c r="LAV4" s="3469"/>
      <c r="LAW4" s="3469"/>
      <c r="LAX4" s="3469"/>
      <c r="LAY4" s="3469"/>
      <c r="LAZ4" s="3469"/>
      <c r="LBA4" s="3469"/>
      <c r="LBB4" s="3469"/>
      <c r="LBC4" s="3469"/>
      <c r="LBD4" s="3469"/>
      <c r="LBE4" s="3469"/>
      <c r="LBF4" s="3469"/>
      <c r="LBG4" s="3469"/>
      <c r="LBH4" s="3469"/>
      <c r="LBI4" s="3469"/>
      <c r="LBJ4" s="3469"/>
      <c r="LBK4" s="3469"/>
      <c r="LBL4" s="3469"/>
      <c r="LBM4" s="3469"/>
      <c r="LBN4" s="3469"/>
      <c r="LBO4" s="3469"/>
      <c r="LBP4" s="3469"/>
      <c r="LBQ4" s="3469"/>
      <c r="LBR4" s="3469"/>
      <c r="LBS4" s="3469"/>
      <c r="LBT4" s="3469"/>
      <c r="LBU4" s="3469"/>
      <c r="LBV4" s="3469"/>
      <c r="LBW4" s="3469"/>
      <c r="LBX4" s="3469"/>
      <c r="LBY4" s="3469"/>
      <c r="LBZ4" s="3469"/>
      <c r="LCA4" s="3469"/>
      <c r="LCB4" s="3469"/>
      <c r="LCC4" s="3469"/>
      <c r="LCD4" s="3469"/>
      <c r="LCE4" s="3469"/>
      <c r="LCF4" s="3469"/>
      <c r="LCG4" s="3469"/>
      <c r="LCH4" s="3469"/>
      <c r="LCI4" s="3469"/>
      <c r="LCJ4" s="3469"/>
      <c r="LCK4" s="3469"/>
      <c r="LCL4" s="3469"/>
      <c r="LCM4" s="3469"/>
      <c r="LCN4" s="3469"/>
      <c r="LCO4" s="3469"/>
      <c r="LCP4" s="3469"/>
      <c r="LCQ4" s="3469"/>
      <c r="LCR4" s="3469"/>
      <c r="LCS4" s="3469"/>
      <c r="LCT4" s="3469"/>
      <c r="LCU4" s="3469"/>
      <c r="LCV4" s="3469"/>
      <c r="LCW4" s="3469"/>
      <c r="LCX4" s="3469"/>
      <c r="LCY4" s="3469"/>
      <c r="LCZ4" s="3469"/>
      <c r="LDA4" s="3469"/>
      <c r="LDB4" s="3469"/>
      <c r="LDC4" s="3469"/>
      <c r="LDD4" s="3469"/>
      <c r="LDE4" s="3469"/>
      <c r="LDF4" s="3469"/>
      <c r="LDG4" s="3469"/>
      <c r="LDH4" s="3469"/>
      <c r="LDI4" s="3469"/>
      <c r="LDJ4" s="3469"/>
      <c r="LDK4" s="3469"/>
      <c r="LDL4" s="3469"/>
      <c r="LDM4" s="3469"/>
      <c r="LDN4" s="3469"/>
      <c r="LDO4" s="3469"/>
      <c r="LDP4" s="3469"/>
      <c r="LDQ4" s="3469"/>
      <c r="LDR4" s="3469"/>
      <c r="LDS4" s="3469"/>
      <c r="LDT4" s="3469"/>
      <c r="LDU4" s="3469"/>
      <c r="LDV4" s="3469"/>
      <c r="LDW4" s="3469"/>
      <c r="LDX4" s="3469"/>
      <c r="LDY4" s="3469"/>
      <c r="LDZ4" s="3469"/>
      <c r="LEA4" s="3469"/>
      <c r="LEB4" s="3469"/>
      <c r="LEC4" s="3469"/>
      <c r="LED4" s="3469"/>
      <c r="LEE4" s="3469"/>
      <c r="LEF4" s="3469"/>
      <c r="LEG4" s="3469"/>
      <c r="LEH4" s="3469"/>
      <c r="LEI4" s="3469"/>
      <c r="LEJ4" s="3469"/>
      <c r="LEK4" s="3469"/>
      <c r="LEL4" s="3469"/>
      <c r="LEM4" s="3469"/>
      <c r="LEN4" s="3469"/>
      <c r="LEO4" s="3469"/>
      <c r="LEP4" s="3469"/>
      <c r="LEQ4" s="3469"/>
      <c r="LER4" s="3469"/>
      <c r="LES4" s="3469"/>
      <c r="LET4" s="3469"/>
      <c r="LEU4" s="3469"/>
      <c r="LEV4" s="3469"/>
      <c r="LEW4" s="3469"/>
      <c r="LEX4" s="3469"/>
      <c r="LEY4" s="3469"/>
      <c r="LEZ4" s="3469"/>
      <c r="LFA4" s="3469"/>
      <c r="LFB4" s="3469"/>
      <c r="LFC4" s="3469"/>
      <c r="LFD4" s="3469"/>
      <c r="LFE4" s="3469"/>
      <c r="LFF4" s="3469"/>
      <c r="LFG4" s="3469"/>
      <c r="LFH4" s="3469"/>
      <c r="LFI4" s="3469"/>
      <c r="LFJ4" s="3469"/>
      <c r="LFK4" s="3469"/>
      <c r="LFL4" s="3469"/>
      <c r="LFM4" s="3469"/>
      <c r="LFN4" s="3469"/>
      <c r="LFO4" s="3469"/>
      <c r="LFP4" s="3469"/>
      <c r="LFQ4" s="3469"/>
      <c r="LFR4" s="3469"/>
      <c r="LFS4" s="3469"/>
      <c r="LFT4" s="3469"/>
      <c r="LFU4" s="3469"/>
      <c r="LFV4" s="3469"/>
      <c r="LFW4" s="3469"/>
      <c r="LFX4" s="3469"/>
      <c r="LFY4" s="3469"/>
      <c r="LFZ4" s="3469"/>
      <c r="LGA4" s="3469"/>
      <c r="LGB4" s="3469"/>
      <c r="LGC4" s="3469"/>
      <c r="LGD4" s="3469"/>
      <c r="LGE4" s="3469"/>
      <c r="LGF4" s="3469"/>
      <c r="LGG4" s="3469"/>
      <c r="LGH4" s="3469"/>
      <c r="LGI4" s="3469"/>
      <c r="LGJ4" s="3469"/>
      <c r="LGK4" s="3469"/>
      <c r="LGL4" s="3469"/>
      <c r="LGM4" s="3469"/>
      <c r="LGN4" s="3469"/>
      <c r="LGO4" s="3469"/>
      <c r="LGP4" s="3469"/>
      <c r="LGQ4" s="3469"/>
      <c r="LGR4" s="3469"/>
      <c r="LGS4" s="3469"/>
      <c r="LGT4" s="3469"/>
      <c r="LGU4" s="3469"/>
      <c r="LGV4" s="3469"/>
      <c r="LGW4" s="3469"/>
      <c r="LGX4" s="3469"/>
      <c r="LGY4" s="3469"/>
      <c r="LGZ4" s="3469"/>
      <c r="LHA4" s="3469"/>
      <c r="LHB4" s="3469"/>
      <c r="LHC4" s="3469"/>
      <c r="LHD4" s="3469"/>
      <c r="LHE4" s="3469"/>
      <c r="LHF4" s="3469"/>
      <c r="LHG4" s="3469"/>
      <c r="LHH4" s="3469"/>
      <c r="LHI4" s="3469"/>
      <c r="LHJ4" s="3469"/>
      <c r="LHK4" s="3469"/>
      <c r="LHL4" s="3469"/>
      <c r="LHM4" s="3469"/>
      <c r="LHN4" s="3469"/>
      <c r="LHO4" s="3469"/>
      <c r="LHP4" s="3469"/>
      <c r="LHQ4" s="3469"/>
      <c r="LHR4" s="3469"/>
      <c r="LHS4" s="3469"/>
      <c r="LHT4" s="3469"/>
      <c r="LHU4" s="3469"/>
      <c r="LHV4" s="3469"/>
      <c r="LHW4" s="3469"/>
      <c r="LHX4" s="3469"/>
      <c r="LHY4" s="3469"/>
      <c r="LHZ4" s="3469"/>
      <c r="LIA4" s="3469"/>
      <c r="LIB4" s="3469"/>
      <c r="LIC4" s="3469"/>
      <c r="LID4" s="3469"/>
      <c r="LIE4" s="3469"/>
      <c r="LIF4" s="3469"/>
      <c r="LIG4" s="3469"/>
      <c r="LIH4" s="3469"/>
      <c r="LII4" s="3469"/>
      <c r="LIJ4" s="3469"/>
      <c r="LIK4" s="3469"/>
      <c r="LIL4" s="3469"/>
      <c r="LIM4" s="3469"/>
      <c r="LIN4" s="3469"/>
      <c r="LIO4" s="3469"/>
      <c r="LIP4" s="3469"/>
      <c r="LIQ4" s="3469"/>
      <c r="LIR4" s="3469"/>
      <c r="LIS4" s="3469"/>
      <c r="LIT4" s="3469"/>
      <c r="LIU4" s="3469"/>
      <c r="LIV4" s="3469"/>
      <c r="LIW4" s="3469"/>
      <c r="LIX4" s="3469"/>
      <c r="LIY4" s="3469"/>
      <c r="LIZ4" s="3469"/>
      <c r="LJA4" s="3469"/>
      <c r="LJB4" s="3469"/>
      <c r="LJC4" s="3469"/>
      <c r="LJD4" s="3469"/>
      <c r="LJE4" s="3469"/>
      <c r="LJF4" s="3469"/>
      <c r="LJG4" s="3469"/>
      <c r="LJH4" s="3469"/>
      <c r="LJI4" s="3469"/>
      <c r="LJJ4" s="3469"/>
      <c r="LJK4" s="3469"/>
      <c r="LJL4" s="3469"/>
      <c r="LJM4" s="3469"/>
      <c r="LJN4" s="3469"/>
      <c r="LJO4" s="3469"/>
      <c r="LJP4" s="3469"/>
      <c r="LJQ4" s="3469"/>
      <c r="LJR4" s="3469"/>
      <c r="LJS4" s="3469"/>
      <c r="LJT4" s="3469"/>
      <c r="LJU4" s="3469"/>
      <c r="LJV4" s="3469"/>
      <c r="LJW4" s="3469"/>
      <c r="LJX4" s="3469"/>
      <c r="LJY4" s="3469"/>
      <c r="LJZ4" s="3469"/>
      <c r="LKA4" s="3469"/>
      <c r="LKB4" s="3469"/>
      <c r="LKC4" s="3469"/>
      <c r="LKD4" s="3469"/>
      <c r="LKE4" s="3469"/>
      <c r="LKF4" s="3469"/>
      <c r="LKG4" s="3469"/>
      <c r="LKH4" s="3469"/>
      <c r="LKI4" s="3469"/>
      <c r="LKJ4" s="3469"/>
      <c r="LKK4" s="3469"/>
      <c r="LKL4" s="3469"/>
      <c r="LKM4" s="3469"/>
      <c r="LKN4" s="3469"/>
      <c r="LKO4" s="3469"/>
      <c r="LKP4" s="3469"/>
      <c r="LKQ4" s="3469"/>
      <c r="LKR4" s="3469"/>
      <c r="LKS4" s="3469"/>
      <c r="LKT4" s="3469"/>
      <c r="LKU4" s="3469"/>
      <c r="LKV4" s="3469"/>
      <c r="LKW4" s="3469"/>
      <c r="LKX4" s="3469"/>
      <c r="LKY4" s="3469"/>
      <c r="LKZ4" s="3469"/>
      <c r="LLA4" s="3469"/>
      <c r="LLB4" s="3469"/>
      <c r="LLC4" s="3469"/>
      <c r="LLD4" s="3469"/>
      <c r="LLE4" s="3469"/>
      <c r="LLF4" s="3469"/>
      <c r="LLG4" s="3469"/>
      <c r="LLH4" s="3469"/>
      <c r="LLI4" s="3469"/>
      <c r="LLJ4" s="3469"/>
      <c r="LLK4" s="3469"/>
      <c r="LLL4" s="3469"/>
      <c r="LLM4" s="3469"/>
      <c r="LLN4" s="3469"/>
      <c r="LLO4" s="3469"/>
      <c r="LLP4" s="3469"/>
      <c r="LLQ4" s="3469"/>
      <c r="LLR4" s="3469"/>
      <c r="LLS4" s="3469"/>
      <c r="LLT4" s="3469"/>
      <c r="LLU4" s="3469"/>
      <c r="LLV4" s="3469"/>
      <c r="LLW4" s="3469"/>
      <c r="LLX4" s="3469"/>
      <c r="LLY4" s="3469"/>
      <c r="LLZ4" s="3469"/>
      <c r="LMA4" s="3469"/>
      <c r="LMB4" s="3469"/>
      <c r="LMC4" s="3469"/>
      <c r="LMD4" s="3469"/>
      <c r="LME4" s="3469"/>
      <c r="LMF4" s="3469"/>
      <c r="LMG4" s="3469"/>
      <c r="LMH4" s="3469"/>
      <c r="LMI4" s="3469"/>
      <c r="LMJ4" s="3469"/>
      <c r="LMK4" s="3469"/>
      <c r="LML4" s="3469"/>
      <c r="LMM4" s="3469"/>
      <c r="LMN4" s="3469"/>
      <c r="LMO4" s="3469"/>
      <c r="LMP4" s="3469"/>
      <c r="LMQ4" s="3469"/>
      <c r="LMR4" s="3469"/>
      <c r="LMS4" s="3469"/>
      <c r="LMT4" s="3469"/>
      <c r="LMU4" s="3469"/>
      <c r="LMV4" s="3469"/>
      <c r="LMW4" s="3469"/>
      <c r="LMX4" s="3469"/>
      <c r="LMY4" s="3469"/>
      <c r="LMZ4" s="3469"/>
      <c r="LNA4" s="3469"/>
      <c r="LNB4" s="3469"/>
      <c r="LNC4" s="3469"/>
      <c r="LND4" s="3469"/>
      <c r="LNE4" s="3469"/>
      <c r="LNF4" s="3469"/>
      <c r="LNG4" s="3469"/>
      <c r="LNH4" s="3469"/>
      <c r="LNI4" s="3469"/>
      <c r="LNJ4" s="3469"/>
      <c r="LNK4" s="3469"/>
      <c r="LNL4" s="3469"/>
      <c r="LNM4" s="3469"/>
      <c r="LNN4" s="3469"/>
      <c r="LNO4" s="3469"/>
      <c r="LNP4" s="3469"/>
      <c r="LNQ4" s="3469"/>
      <c r="LNR4" s="3469"/>
      <c r="LNS4" s="3469"/>
      <c r="LNT4" s="3469"/>
      <c r="LNU4" s="3469"/>
      <c r="LNV4" s="3469"/>
      <c r="LNW4" s="3469"/>
      <c r="LNX4" s="3469"/>
      <c r="LNY4" s="3469"/>
      <c r="LNZ4" s="3469"/>
      <c r="LOA4" s="3469"/>
      <c r="LOB4" s="3469"/>
      <c r="LOC4" s="3469"/>
      <c r="LOD4" s="3469"/>
      <c r="LOE4" s="3469"/>
      <c r="LOF4" s="3469"/>
      <c r="LOG4" s="3469"/>
      <c r="LOH4" s="3469"/>
      <c r="LOI4" s="3469"/>
      <c r="LOJ4" s="3469"/>
      <c r="LOK4" s="3469"/>
      <c r="LOL4" s="3469"/>
      <c r="LOM4" s="3469"/>
      <c r="LON4" s="3469"/>
      <c r="LOO4" s="3469"/>
      <c r="LOP4" s="3469"/>
      <c r="LOQ4" s="3469"/>
      <c r="LOR4" s="3469"/>
      <c r="LOS4" s="3469"/>
      <c r="LOT4" s="3469"/>
      <c r="LOU4" s="3469"/>
      <c r="LOV4" s="3469"/>
      <c r="LOW4" s="3469"/>
      <c r="LOX4" s="3469"/>
      <c r="LOY4" s="3469"/>
      <c r="LOZ4" s="3469"/>
      <c r="LPA4" s="3469"/>
      <c r="LPB4" s="3469"/>
      <c r="LPC4" s="3469"/>
      <c r="LPD4" s="3469"/>
      <c r="LPE4" s="3469"/>
      <c r="LPF4" s="3469"/>
      <c r="LPG4" s="3469"/>
      <c r="LPH4" s="3469"/>
      <c r="LPI4" s="3469"/>
      <c r="LPJ4" s="3469"/>
      <c r="LPK4" s="3469"/>
      <c r="LPL4" s="3469"/>
      <c r="LPM4" s="3469"/>
      <c r="LPN4" s="3469"/>
      <c r="LPO4" s="3469"/>
      <c r="LPP4" s="3469"/>
      <c r="LPQ4" s="3469"/>
      <c r="LPR4" s="3469"/>
      <c r="LPS4" s="3469"/>
      <c r="LPT4" s="3469"/>
      <c r="LPU4" s="3469"/>
      <c r="LPV4" s="3469"/>
      <c r="LPW4" s="3469"/>
      <c r="LPX4" s="3469"/>
      <c r="LPY4" s="3469"/>
      <c r="LPZ4" s="3469"/>
      <c r="LQA4" s="3469"/>
      <c r="LQB4" s="3469"/>
      <c r="LQC4" s="3469"/>
      <c r="LQD4" s="3469"/>
      <c r="LQE4" s="3469"/>
      <c r="LQF4" s="3469"/>
      <c r="LQG4" s="3469"/>
      <c r="LQH4" s="3469"/>
      <c r="LQI4" s="3469"/>
      <c r="LQJ4" s="3469"/>
      <c r="LQK4" s="3469"/>
      <c r="LQL4" s="3469"/>
      <c r="LQM4" s="3469"/>
      <c r="LQN4" s="3469"/>
      <c r="LQO4" s="3469"/>
      <c r="LQP4" s="3469"/>
      <c r="LQQ4" s="3469"/>
      <c r="LQR4" s="3469"/>
      <c r="LQS4" s="3469"/>
      <c r="LQT4" s="3469"/>
      <c r="LQU4" s="3469"/>
      <c r="LQV4" s="3469"/>
      <c r="LQW4" s="3469"/>
      <c r="LQX4" s="3469"/>
      <c r="LQY4" s="3469"/>
      <c r="LQZ4" s="3469"/>
      <c r="LRA4" s="3469"/>
      <c r="LRB4" s="3469"/>
      <c r="LRC4" s="3469"/>
      <c r="LRD4" s="3469"/>
      <c r="LRE4" s="3469"/>
      <c r="LRF4" s="3469"/>
      <c r="LRG4" s="3469"/>
      <c r="LRH4" s="3469"/>
      <c r="LRI4" s="3469"/>
      <c r="LRJ4" s="3469"/>
      <c r="LRK4" s="3469"/>
      <c r="LRL4" s="3469"/>
      <c r="LRM4" s="3469"/>
      <c r="LRN4" s="3469"/>
      <c r="LRO4" s="3469"/>
      <c r="LRP4" s="3469"/>
      <c r="LRQ4" s="3469"/>
      <c r="LRR4" s="3469"/>
      <c r="LRS4" s="3469"/>
      <c r="LRT4" s="3469"/>
      <c r="LRU4" s="3469"/>
      <c r="LRV4" s="3469"/>
      <c r="LRW4" s="3469"/>
      <c r="LRX4" s="3469"/>
      <c r="LRY4" s="3469"/>
      <c r="LRZ4" s="3469"/>
      <c r="LSA4" s="3469"/>
      <c r="LSB4" s="3469"/>
      <c r="LSC4" s="3469"/>
      <c r="LSD4" s="3469"/>
      <c r="LSE4" s="3469"/>
      <c r="LSF4" s="3469"/>
      <c r="LSG4" s="3469"/>
      <c r="LSH4" s="3469"/>
      <c r="LSI4" s="3469"/>
      <c r="LSJ4" s="3469"/>
      <c r="LSK4" s="3469"/>
      <c r="LSL4" s="3469"/>
      <c r="LSM4" s="3469"/>
      <c r="LSN4" s="3469"/>
      <c r="LSO4" s="3469"/>
      <c r="LSP4" s="3469"/>
      <c r="LSQ4" s="3469"/>
      <c r="LSR4" s="3469"/>
      <c r="LSS4" s="3469"/>
      <c r="LST4" s="3469"/>
      <c r="LSU4" s="3469"/>
      <c r="LSV4" s="3469"/>
      <c r="LSW4" s="3469"/>
      <c r="LSX4" s="3469"/>
      <c r="LSY4" s="3469"/>
      <c r="LSZ4" s="3469"/>
      <c r="LTA4" s="3469"/>
      <c r="LTB4" s="3469"/>
      <c r="LTC4" s="3469"/>
      <c r="LTD4" s="3469"/>
      <c r="LTE4" s="3469"/>
      <c r="LTF4" s="3469"/>
      <c r="LTG4" s="3469"/>
      <c r="LTH4" s="3469"/>
      <c r="LTI4" s="3469"/>
      <c r="LTJ4" s="3469"/>
      <c r="LTK4" s="3469"/>
      <c r="LTL4" s="3469"/>
      <c r="LTM4" s="3469"/>
      <c r="LTN4" s="3469"/>
      <c r="LTO4" s="3469"/>
      <c r="LTP4" s="3469"/>
      <c r="LTQ4" s="3469"/>
      <c r="LTR4" s="3469"/>
      <c r="LTS4" s="3469"/>
      <c r="LTT4" s="3469"/>
      <c r="LTU4" s="3469"/>
      <c r="LTV4" s="3469"/>
      <c r="LTW4" s="3469"/>
      <c r="LTX4" s="3469"/>
      <c r="LTY4" s="3469"/>
      <c r="LTZ4" s="3469"/>
      <c r="LUA4" s="3469"/>
      <c r="LUB4" s="3469"/>
      <c r="LUC4" s="3469"/>
      <c r="LUD4" s="3469"/>
      <c r="LUE4" s="3469"/>
      <c r="LUF4" s="3469"/>
      <c r="LUG4" s="3469"/>
      <c r="LUH4" s="3469"/>
      <c r="LUI4" s="3469"/>
      <c r="LUJ4" s="3469"/>
      <c r="LUK4" s="3469"/>
      <c r="LUL4" s="3469"/>
      <c r="LUM4" s="3469"/>
      <c r="LUN4" s="3469"/>
      <c r="LUO4" s="3469"/>
      <c r="LUP4" s="3469"/>
      <c r="LUQ4" s="3469"/>
      <c r="LUR4" s="3469"/>
      <c r="LUS4" s="3469"/>
      <c r="LUT4" s="3469"/>
      <c r="LUU4" s="3469"/>
      <c r="LUV4" s="3469"/>
      <c r="LUW4" s="3469"/>
      <c r="LUX4" s="3469"/>
      <c r="LUY4" s="3469"/>
      <c r="LUZ4" s="3469"/>
      <c r="LVA4" s="3469"/>
      <c r="LVB4" s="3469"/>
      <c r="LVC4" s="3469"/>
      <c r="LVD4" s="3469"/>
      <c r="LVE4" s="3469"/>
      <c r="LVF4" s="3469"/>
      <c r="LVG4" s="3469"/>
      <c r="LVH4" s="3469"/>
      <c r="LVI4" s="3469"/>
      <c r="LVJ4" s="3469"/>
      <c r="LVK4" s="3469"/>
      <c r="LVL4" s="3469"/>
      <c r="LVM4" s="3469"/>
      <c r="LVN4" s="3469"/>
      <c r="LVO4" s="3469"/>
      <c r="LVP4" s="3469"/>
      <c r="LVQ4" s="3469"/>
      <c r="LVR4" s="3469"/>
      <c r="LVS4" s="3469"/>
      <c r="LVT4" s="3469"/>
      <c r="LVU4" s="3469"/>
      <c r="LVV4" s="3469"/>
      <c r="LVW4" s="3469"/>
      <c r="LVX4" s="3469"/>
      <c r="LVY4" s="3469"/>
      <c r="LVZ4" s="3469"/>
      <c r="LWA4" s="3469"/>
      <c r="LWB4" s="3469"/>
      <c r="LWC4" s="3469"/>
      <c r="LWD4" s="3469"/>
      <c r="LWE4" s="3469"/>
      <c r="LWF4" s="3469"/>
      <c r="LWG4" s="3469"/>
      <c r="LWH4" s="3469"/>
      <c r="LWI4" s="3469"/>
      <c r="LWJ4" s="3469"/>
      <c r="LWK4" s="3469"/>
      <c r="LWL4" s="3469"/>
      <c r="LWM4" s="3469"/>
      <c r="LWN4" s="3469"/>
      <c r="LWO4" s="3469"/>
      <c r="LWP4" s="3469"/>
      <c r="LWQ4" s="3469"/>
      <c r="LWR4" s="3469"/>
      <c r="LWS4" s="3469"/>
      <c r="LWT4" s="3469"/>
      <c r="LWU4" s="3469"/>
      <c r="LWV4" s="3469"/>
      <c r="LWW4" s="3469"/>
      <c r="LWX4" s="3469"/>
      <c r="LWY4" s="3469"/>
      <c r="LWZ4" s="3469"/>
      <c r="LXA4" s="3469"/>
      <c r="LXB4" s="3469"/>
      <c r="LXC4" s="3469"/>
      <c r="LXD4" s="3469"/>
      <c r="LXE4" s="3469"/>
      <c r="LXF4" s="3469"/>
      <c r="LXG4" s="3469"/>
      <c r="LXH4" s="3469"/>
      <c r="LXI4" s="3469"/>
      <c r="LXJ4" s="3469"/>
      <c r="LXK4" s="3469"/>
      <c r="LXL4" s="3469"/>
      <c r="LXM4" s="3469"/>
      <c r="LXN4" s="3469"/>
      <c r="LXO4" s="3469"/>
      <c r="LXP4" s="3469"/>
      <c r="LXQ4" s="3469"/>
      <c r="LXR4" s="3469"/>
      <c r="LXS4" s="3469"/>
      <c r="LXT4" s="3469"/>
      <c r="LXU4" s="3469"/>
      <c r="LXV4" s="3469"/>
      <c r="LXW4" s="3469"/>
      <c r="LXX4" s="3469"/>
      <c r="LXY4" s="3469"/>
      <c r="LXZ4" s="3469"/>
      <c r="LYA4" s="3469"/>
      <c r="LYB4" s="3469"/>
      <c r="LYC4" s="3469"/>
      <c r="LYD4" s="3469"/>
      <c r="LYE4" s="3469"/>
      <c r="LYF4" s="3469"/>
      <c r="LYG4" s="3469"/>
      <c r="LYH4" s="3469"/>
      <c r="LYI4" s="3469"/>
      <c r="LYJ4" s="3469"/>
      <c r="LYK4" s="3469"/>
      <c r="LYL4" s="3469"/>
      <c r="LYM4" s="3469"/>
      <c r="LYN4" s="3469"/>
      <c r="LYO4" s="3469"/>
      <c r="LYP4" s="3469"/>
      <c r="LYQ4" s="3469"/>
      <c r="LYR4" s="3469"/>
      <c r="LYS4" s="3469"/>
      <c r="LYT4" s="3469"/>
      <c r="LYU4" s="3469"/>
      <c r="LYV4" s="3469"/>
      <c r="LYW4" s="3469"/>
      <c r="LYX4" s="3469"/>
      <c r="LYY4" s="3469"/>
      <c r="LYZ4" s="3469"/>
      <c r="LZA4" s="3469"/>
      <c r="LZB4" s="3469"/>
      <c r="LZC4" s="3469"/>
      <c r="LZD4" s="3469"/>
      <c r="LZE4" s="3469"/>
      <c r="LZF4" s="3469"/>
      <c r="LZG4" s="3469"/>
      <c r="LZH4" s="3469"/>
      <c r="LZI4" s="3469"/>
      <c r="LZJ4" s="3469"/>
      <c r="LZK4" s="3469"/>
      <c r="LZL4" s="3469"/>
      <c r="LZM4" s="3469"/>
      <c r="LZN4" s="3469"/>
      <c r="LZO4" s="3469"/>
      <c r="LZP4" s="3469"/>
      <c r="LZQ4" s="3469"/>
      <c r="LZR4" s="3469"/>
      <c r="LZS4" s="3469"/>
      <c r="LZT4" s="3469"/>
      <c r="LZU4" s="3469"/>
      <c r="LZV4" s="3469"/>
      <c r="LZW4" s="3469"/>
      <c r="LZX4" s="3469"/>
      <c r="LZY4" s="3469"/>
      <c r="LZZ4" s="3469"/>
      <c r="MAA4" s="3469"/>
      <c r="MAB4" s="3469"/>
      <c r="MAC4" s="3469"/>
      <c r="MAD4" s="3469"/>
      <c r="MAE4" s="3469"/>
      <c r="MAF4" s="3469"/>
      <c r="MAG4" s="3469"/>
      <c r="MAH4" s="3469"/>
      <c r="MAI4" s="3469"/>
      <c r="MAJ4" s="3469"/>
      <c r="MAK4" s="3469"/>
      <c r="MAL4" s="3469"/>
      <c r="MAM4" s="3469"/>
      <c r="MAN4" s="3469"/>
      <c r="MAO4" s="3469"/>
      <c r="MAP4" s="3469"/>
      <c r="MAQ4" s="3469"/>
      <c r="MAR4" s="3469"/>
      <c r="MAS4" s="3469"/>
      <c r="MAT4" s="3469"/>
      <c r="MAU4" s="3469"/>
      <c r="MAV4" s="3469"/>
      <c r="MAW4" s="3469"/>
      <c r="MAX4" s="3469"/>
      <c r="MAY4" s="3469"/>
      <c r="MAZ4" s="3469"/>
      <c r="MBA4" s="3469"/>
      <c r="MBB4" s="3469"/>
      <c r="MBC4" s="3469"/>
      <c r="MBD4" s="3469"/>
      <c r="MBE4" s="3469"/>
      <c r="MBF4" s="3469"/>
      <c r="MBG4" s="3469"/>
      <c r="MBH4" s="3469"/>
      <c r="MBI4" s="3469"/>
      <c r="MBJ4" s="3469"/>
      <c r="MBK4" s="3469"/>
      <c r="MBL4" s="3469"/>
      <c r="MBM4" s="3469"/>
      <c r="MBN4" s="3469"/>
      <c r="MBO4" s="3469"/>
      <c r="MBP4" s="3469"/>
      <c r="MBQ4" s="3469"/>
      <c r="MBR4" s="3469"/>
      <c r="MBS4" s="3469"/>
      <c r="MBT4" s="3469"/>
      <c r="MBU4" s="3469"/>
      <c r="MBV4" s="3469"/>
      <c r="MBW4" s="3469"/>
      <c r="MBX4" s="3469"/>
      <c r="MBY4" s="3469"/>
      <c r="MBZ4" s="3469"/>
      <c r="MCA4" s="3469"/>
      <c r="MCB4" s="3469"/>
      <c r="MCC4" s="3469"/>
      <c r="MCD4" s="3469"/>
      <c r="MCE4" s="3469"/>
      <c r="MCF4" s="3469"/>
      <c r="MCG4" s="3469"/>
      <c r="MCH4" s="3469"/>
      <c r="MCI4" s="3469"/>
      <c r="MCJ4" s="3469"/>
      <c r="MCK4" s="3469"/>
      <c r="MCL4" s="3469"/>
      <c r="MCM4" s="3469"/>
      <c r="MCN4" s="3469"/>
      <c r="MCO4" s="3469"/>
      <c r="MCP4" s="3469"/>
      <c r="MCQ4" s="3469"/>
      <c r="MCR4" s="3469"/>
      <c r="MCS4" s="3469"/>
      <c r="MCT4" s="3469"/>
      <c r="MCU4" s="3469"/>
      <c r="MCV4" s="3469"/>
      <c r="MCW4" s="3469"/>
      <c r="MCX4" s="3469"/>
      <c r="MCY4" s="3469"/>
      <c r="MCZ4" s="3469"/>
      <c r="MDA4" s="3469"/>
      <c r="MDB4" s="3469"/>
      <c r="MDC4" s="3469"/>
      <c r="MDD4" s="3469"/>
      <c r="MDE4" s="3469"/>
      <c r="MDF4" s="3469"/>
      <c r="MDG4" s="3469"/>
      <c r="MDH4" s="3469"/>
      <c r="MDI4" s="3469"/>
      <c r="MDJ4" s="3469"/>
      <c r="MDK4" s="3469"/>
      <c r="MDL4" s="3469"/>
      <c r="MDM4" s="3469"/>
      <c r="MDN4" s="3469"/>
      <c r="MDO4" s="3469"/>
      <c r="MDP4" s="3469"/>
      <c r="MDQ4" s="3469"/>
      <c r="MDR4" s="3469"/>
      <c r="MDS4" s="3469"/>
      <c r="MDT4" s="3469"/>
      <c r="MDU4" s="3469"/>
      <c r="MDV4" s="3469"/>
      <c r="MDW4" s="3469"/>
      <c r="MDX4" s="3469"/>
      <c r="MDY4" s="3469"/>
      <c r="MDZ4" s="3469"/>
      <c r="MEA4" s="3469"/>
      <c r="MEB4" s="3469"/>
      <c r="MEC4" s="3469"/>
      <c r="MED4" s="3469"/>
      <c r="MEE4" s="3469"/>
      <c r="MEF4" s="3469"/>
      <c r="MEG4" s="3469"/>
      <c r="MEH4" s="3469"/>
      <c r="MEI4" s="3469"/>
      <c r="MEJ4" s="3469"/>
      <c r="MEK4" s="3469"/>
      <c r="MEL4" s="3469"/>
      <c r="MEM4" s="3469"/>
      <c r="MEN4" s="3469"/>
      <c r="MEO4" s="3469"/>
      <c r="MEP4" s="3469"/>
      <c r="MEQ4" s="3469"/>
      <c r="MER4" s="3469"/>
      <c r="MES4" s="3469"/>
      <c r="MET4" s="3469"/>
      <c r="MEU4" s="3469"/>
      <c r="MEV4" s="3469"/>
      <c r="MEW4" s="3469"/>
      <c r="MEX4" s="3469"/>
      <c r="MEY4" s="3469"/>
      <c r="MEZ4" s="3469"/>
      <c r="MFA4" s="3469"/>
      <c r="MFB4" s="3469"/>
      <c r="MFC4" s="3469"/>
      <c r="MFD4" s="3469"/>
      <c r="MFE4" s="3469"/>
      <c r="MFF4" s="3469"/>
      <c r="MFG4" s="3469"/>
      <c r="MFH4" s="3469"/>
      <c r="MFI4" s="3469"/>
      <c r="MFJ4" s="3469"/>
      <c r="MFK4" s="3469"/>
      <c r="MFL4" s="3469"/>
      <c r="MFM4" s="3469"/>
      <c r="MFN4" s="3469"/>
      <c r="MFO4" s="3469"/>
      <c r="MFP4" s="3469"/>
      <c r="MFQ4" s="3469"/>
      <c r="MFR4" s="3469"/>
      <c r="MFS4" s="3469"/>
      <c r="MFT4" s="3469"/>
      <c r="MFU4" s="3469"/>
      <c r="MFV4" s="3469"/>
      <c r="MFW4" s="3469"/>
      <c r="MFX4" s="3469"/>
      <c r="MFY4" s="3469"/>
      <c r="MFZ4" s="3469"/>
      <c r="MGA4" s="3469"/>
      <c r="MGB4" s="3469"/>
      <c r="MGC4" s="3469"/>
      <c r="MGD4" s="3469"/>
      <c r="MGE4" s="3469"/>
      <c r="MGF4" s="3469"/>
      <c r="MGG4" s="3469"/>
      <c r="MGH4" s="3469"/>
      <c r="MGI4" s="3469"/>
      <c r="MGJ4" s="3469"/>
      <c r="MGK4" s="3469"/>
      <c r="MGL4" s="3469"/>
      <c r="MGM4" s="3469"/>
      <c r="MGN4" s="3469"/>
      <c r="MGO4" s="3469"/>
      <c r="MGP4" s="3469"/>
      <c r="MGQ4" s="3469"/>
      <c r="MGR4" s="3469"/>
      <c r="MGS4" s="3469"/>
      <c r="MGT4" s="3469"/>
      <c r="MGU4" s="3469"/>
      <c r="MGV4" s="3469"/>
      <c r="MGW4" s="3469"/>
      <c r="MGX4" s="3469"/>
      <c r="MGY4" s="3469"/>
      <c r="MGZ4" s="3469"/>
      <c r="MHA4" s="3469"/>
      <c r="MHB4" s="3469"/>
      <c r="MHC4" s="3469"/>
      <c r="MHD4" s="3469"/>
      <c r="MHE4" s="3469"/>
      <c r="MHF4" s="3469"/>
      <c r="MHG4" s="3469"/>
      <c r="MHH4" s="3469"/>
      <c r="MHI4" s="3469"/>
      <c r="MHJ4" s="3469"/>
      <c r="MHK4" s="3469"/>
      <c r="MHL4" s="3469"/>
      <c r="MHM4" s="3469"/>
      <c r="MHN4" s="3469"/>
      <c r="MHO4" s="3469"/>
      <c r="MHP4" s="3469"/>
      <c r="MHQ4" s="3469"/>
      <c r="MHR4" s="3469"/>
      <c r="MHS4" s="3469"/>
      <c r="MHT4" s="3469"/>
      <c r="MHU4" s="3469"/>
      <c r="MHV4" s="3469"/>
      <c r="MHW4" s="3469"/>
      <c r="MHX4" s="3469"/>
      <c r="MHY4" s="3469"/>
      <c r="MHZ4" s="3469"/>
      <c r="MIA4" s="3469"/>
      <c r="MIB4" s="3469"/>
      <c r="MIC4" s="3469"/>
      <c r="MID4" s="3469"/>
      <c r="MIE4" s="3469"/>
      <c r="MIF4" s="3469"/>
      <c r="MIG4" s="3469"/>
      <c r="MIH4" s="3469"/>
      <c r="MII4" s="3469"/>
      <c r="MIJ4" s="3469"/>
      <c r="MIK4" s="3469"/>
      <c r="MIL4" s="3469"/>
      <c r="MIM4" s="3469"/>
      <c r="MIN4" s="3469"/>
      <c r="MIO4" s="3469"/>
      <c r="MIP4" s="3469"/>
      <c r="MIQ4" s="3469"/>
      <c r="MIR4" s="3469"/>
      <c r="MIS4" s="3469"/>
      <c r="MIT4" s="3469"/>
      <c r="MIU4" s="3469"/>
      <c r="MIV4" s="3469"/>
      <c r="MIW4" s="3469"/>
      <c r="MIX4" s="3469"/>
      <c r="MIY4" s="3469"/>
      <c r="MIZ4" s="3469"/>
      <c r="MJA4" s="3469"/>
      <c r="MJB4" s="3469"/>
      <c r="MJC4" s="3469"/>
      <c r="MJD4" s="3469"/>
      <c r="MJE4" s="3469"/>
      <c r="MJF4" s="3469"/>
      <c r="MJG4" s="3469"/>
      <c r="MJH4" s="3469"/>
      <c r="MJI4" s="3469"/>
      <c r="MJJ4" s="3469"/>
      <c r="MJK4" s="3469"/>
      <c r="MJL4" s="3469"/>
      <c r="MJM4" s="3469"/>
      <c r="MJN4" s="3469"/>
      <c r="MJO4" s="3469"/>
      <c r="MJP4" s="3469"/>
      <c r="MJQ4" s="3469"/>
      <c r="MJR4" s="3469"/>
      <c r="MJS4" s="3469"/>
      <c r="MJT4" s="3469"/>
      <c r="MJU4" s="3469"/>
      <c r="MJV4" s="3469"/>
      <c r="MJW4" s="3469"/>
      <c r="MJX4" s="3469"/>
      <c r="MJY4" s="3469"/>
      <c r="MJZ4" s="3469"/>
      <c r="MKA4" s="3469"/>
      <c r="MKB4" s="3469"/>
      <c r="MKC4" s="3469"/>
      <c r="MKD4" s="3469"/>
      <c r="MKE4" s="3469"/>
      <c r="MKF4" s="3469"/>
      <c r="MKG4" s="3469"/>
      <c r="MKH4" s="3469"/>
      <c r="MKI4" s="3469"/>
      <c r="MKJ4" s="3469"/>
      <c r="MKK4" s="3469"/>
      <c r="MKL4" s="3469"/>
      <c r="MKM4" s="3469"/>
      <c r="MKN4" s="3469"/>
      <c r="MKO4" s="3469"/>
      <c r="MKP4" s="3469"/>
      <c r="MKQ4" s="3469"/>
      <c r="MKR4" s="3469"/>
      <c r="MKS4" s="3469"/>
      <c r="MKT4" s="3469"/>
      <c r="MKU4" s="3469"/>
      <c r="MKV4" s="3469"/>
      <c r="MKW4" s="3469"/>
      <c r="MKX4" s="3469"/>
      <c r="MKY4" s="3469"/>
      <c r="MKZ4" s="3469"/>
      <c r="MLA4" s="3469"/>
      <c r="MLB4" s="3469"/>
      <c r="MLC4" s="3469"/>
      <c r="MLD4" s="3469"/>
      <c r="MLE4" s="3469"/>
      <c r="MLF4" s="3469"/>
      <c r="MLG4" s="3469"/>
      <c r="MLH4" s="3469"/>
      <c r="MLI4" s="3469"/>
      <c r="MLJ4" s="3469"/>
      <c r="MLK4" s="3469"/>
      <c r="MLL4" s="3469"/>
      <c r="MLM4" s="3469"/>
      <c r="MLN4" s="3469"/>
      <c r="MLO4" s="3469"/>
      <c r="MLP4" s="3469"/>
      <c r="MLQ4" s="3469"/>
      <c r="MLR4" s="3469"/>
      <c r="MLS4" s="3469"/>
      <c r="MLT4" s="3469"/>
      <c r="MLU4" s="3469"/>
      <c r="MLV4" s="3469"/>
      <c r="MLW4" s="3469"/>
      <c r="MLX4" s="3469"/>
      <c r="MLY4" s="3469"/>
      <c r="MLZ4" s="3469"/>
      <c r="MMA4" s="3469"/>
      <c r="MMB4" s="3469"/>
      <c r="MMC4" s="3469"/>
      <c r="MMD4" s="3469"/>
      <c r="MME4" s="3469"/>
      <c r="MMF4" s="3469"/>
      <c r="MMG4" s="3469"/>
      <c r="MMH4" s="3469"/>
      <c r="MMI4" s="3469"/>
      <c r="MMJ4" s="3469"/>
      <c r="MMK4" s="3469"/>
      <c r="MML4" s="3469"/>
      <c r="MMM4" s="3469"/>
      <c r="MMN4" s="3469"/>
      <c r="MMO4" s="3469"/>
      <c r="MMP4" s="3469"/>
      <c r="MMQ4" s="3469"/>
      <c r="MMR4" s="3469"/>
      <c r="MMS4" s="3469"/>
      <c r="MMT4" s="3469"/>
      <c r="MMU4" s="3469"/>
      <c r="MMV4" s="3469"/>
      <c r="MMW4" s="3469"/>
      <c r="MMX4" s="3469"/>
      <c r="MMY4" s="3469"/>
      <c r="MMZ4" s="3469"/>
      <c r="MNA4" s="3469"/>
      <c r="MNB4" s="3469"/>
      <c r="MNC4" s="3469"/>
      <c r="MND4" s="3469"/>
      <c r="MNE4" s="3469"/>
      <c r="MNF4" s="3469"/>
      <c r="MNG4" s="3469"/>
      <c r="MNH4" s="3469"/>
      <c r="MNI4" s="3469"/>
      <c r="MNJ4" s="3469"/>
      <c r="MNK4" s="3469"/>
      <c r="MNL4" s="3469"/>
      <c r="MNM4" s="3469"/>
      <c r="MNN4" s="3469"/>
      <c r="MNO4" s="3469"/>
      <c r="MNP4" s="3469"/>
      <c r="MNQ4" s="3469"/>
      <c r="MNR4" s="3469"/>
      <c r="MNS4" s="3469"/>
      <c r="MNT4" s="3469"/>
      <c r="MNU4" s="3469"/>
      <c r="MNV4" s="3469"/>
      <c r="MNW4" s="3469"/>
      <c r="MNX4" s="3469"/>
      <c r="MNY4" s="3469"/>
      <c r="MNZ4" s="3469"/>
      <c r="MOA4" s="3469"/>
      <c r="MOB4" s="3469"/>
      <c r="MOC4" s="3469"/>
      <c r="MOD4" s="3469"/>
      <c r="MOE4" s="3469"/>
      <c r="MOF4" s="3469"/>
      <c r="MOG4" s="3469"/>
      <c r="MOH4" s="3469"/>
      <c r="MOI4" s="3469"/>
      <c r="MOJ4" s="3469"/>
      <c r="MOK4" s="3469"/>
      <c r="MOL4" s="3469"/>
      <c r="MOM4" s="3469"/>
      <c r="MON4" s="3469"/>
      <c r="MOO4" s="3469"/>
      <c r="MOP4" s="3469"/>
      <c r="MOQ4" s="3469"/>
      <c r="MOR4" s="3469"/>
      <c r="MOS4" s="3469"/>
      <c r="MOT4" s="3469"/>
      <c r="MOU4" s="3469"/>
      <c r="MOV4" s="3469"/>
      <c r="MOW4" s="3469"/>
      <c r="MOX4" s="3469"/>
      <c r="MOY4" s="3469"/>
      <c r="MOZ4" s="3469"/>
      <c r="MPA4" s="3469"/>
      <c r="MPB4" s="3469"/>
      <c r="MPC4" s="3469"/>
      <c r="MPD4" s="3469"/>
      <c r="MPE4" s="3469"/>
      <c r="MPF4" s="3469"/>
      <c r="MPG4" s="3469"/>
      <c r="MPH4" s="3469"/>
      <c r="MPI4" s="3469"/>
      <c r="MPJ4" s="3469"/>
      <c r="MPK4" s="3469"/>
      <c r="MPL4" s="3469"/>
      <c r="MPM4" s="3469"/>
      <c r="MPN4" s="3469"/>
      <c r="MPO4" s="3469"/>
      <c r="MPP4" s="3469"/>
      <c r="MPQ4" s="3469"/>
      <c r="MPR4" s="3469"/>
      <c r="MPS4" s="3469"/>
      <c r="MPT4" s="3469"/>
      <c r="MPU4" s="3469"/>
      <c r="MPV4" s="3469"/>
      <c r="MPW4" s="3469"/>
      <c r="MPX4" s="3469"/>
      <c r="MPY4" s="3469"/>
      <c r="MPZ4" s="3469"/>
      <c r="MQA4" s="3469"/>
      <c r="MQB4" s="3469"/>
      <c r="MQC4" s="3469"/>
      <c r="MQD4" s="3469"/>
      <c r="MQE4" s="3469"/>
      <c r="MQF4" s="3469"/>
      <c r="MQG4" s="3469"/>
      <c r="MQH4" s="3469"/>
      <c r="MQI4" s="3469"/>
      <c r="MQJ4" s="3469"/>
      <c r="MQK4" s="3469"/>
      <c r="MQL4" s="3469"/>
      <c r="MQM4" s="3469"/>
      <c r="MQN4" s="3469"/>
      <c r="MQO4" s="3469"/>
      <c r="MQP4" s="3469"/>
      <c r="MQQ4" s="3469"/>
      <c r="MQR4" s="3469"/>
      <c r="MQS4" s="3469"/>
      <c r="MQT4" s="3469"/>
      <c r="MQU4" s="3469"/>
      <c r="MQV4" s="3469"/>
      <c r="MQW4" s="3469"/>
      <c r="MQX4" s="3469"/>
      <c r="MQY4" s="3469"/>
      <c r="MQZ4" s="3469"/>
      <c r="MRA4" s="3469"/>
      <c r="MRB4" s="3469"/>
      <c r="MRC4" s="3469"/>
      <c r="MRD4" s="3469"/>
      <c r="MRE4" s="3469"/>
      <c r="MRF4" s="3469"/>
      <c r="MRG4" s="3469"/>
      <c r="MRH4" s="3469"/>
      <c r="MRI4" s="3469"/>
      <c r="MRJ4" s="3469"/>
      <c r="MRK4" s="3469"/>
      <c r="MRL4" s="3469"/>
      <c r="MRM4" s="3469"/>
      <c r="MRN4" s="3469"/>
      <c r="MRO4" s="3469"/>
      <c r="MRP4" s="3469"/>
      <c r="MRQ4" s="3469"/>
      <c r="MRR4" s="3469"/>
      <c r="MRS4" s="3469"/>
      <c r="MRT4" s="3469"/>
      <c r="MRU4" s="3469"/>
      <c r="MRV4" s="3469"/>
      <c r="MRW4" s="3469"/>
      <c r="MRX4" s="3469"/>
      <c r="MRY4" s="3469"/>
      <c r="MRZ4" s="3469"/>
      <c r="MSA4" s="3469"/>
      <c r="MSB4" s="3469"/>
      <c r="MSC4" s="3469"/>
      <c r="MSD4" s="3469"/>
      <c r="MSE4" s="3469"/>
      <c r="MSF4" s="3469"/>
      <c r="MSG4" s="3469"/>
      <c r="MSH4" s="3469"/>
      <c r="MSI4" s="3469"/>
      <c r="MSJ4" s="3469"/>
      <c r="MSK4" s="3469"/>
      <c r="MSL4" s="3469"/>
      <c r="MSM4" s="3469"/>
      <c r="MSN4" s="3469"/>
      <c r="MSO4" s="3469"/>
      <c r="MSP4" s="3469"/>
      <c r="MSQ4" s="3469"/>
      <c r="MSR4" s="3469"/>
      <c r="MSS4" s="3469"/>
      <c r="MST4" s="3469"/>
      <c r="MSU4" s="3469"/>
      <c r="MSV4" s="3469"/>
      <c r="MSW4" s="3469"/>
      <c r="MSX4" s="3469"/>
      <c r="MSY4" s="3469"/>
      <c r="MSZ4" s="3469"/>
      <c r="MTA4" s="3469"/>
      <c r="MTB4" s="3469"/>
      <c r="MTC4" s="3469"/>
      <c r="MTD4" s="3469"/>
      <c r="MTE4" s="3469"/>
      <c r="MTF4" s="3469"/>
      <c r="MTG4" s="3469"/>
      <c r="MTH4" s="3469"/>
      <c r="MTI4" s="3469"/>
      <c r="MTJ4" s="3469"/>
      <c r="MTK4" s="3469"/>
      <c r="MTL4" s="3469"/>
      <c r="MTM4" s="3469"/>
      <c r="MTN4" s="3469"/>
      <c r="MTO4" s="3469"/>
      <c r="MTP4" s="3469"/>
      <c r="MTQ4" s="3469"/>
      <c r="MTR4" s="3469"/>
      <c r="MTS4" s="3469"/>
      <c r="MTT4" s="3469"/>
      <c r="MTU4" s="3469"/>
      <c r="MTV4" s="3469"/>
      <c r="MTW4" s="3469"/>
      <c r="MTX4" s="3469"/>
      <c r="MTY4" s="3469"/>
      <c r="MTZ4" s="3469"/>
      <c r="MUA4" s="3469"/>
      <c r="MUB4" s="3469"/>
      <c r="MUC4" s="3469"/>
      <c r="MUD4" s="3469"/>
      <c r="MUE4" s="3469"/>
      <c r="MUF4" s="3469"/>
      <c r="MUG4" s="3469"/>
      <c r="MUH4" s="3469"/>
      <c r="MUI4" s="3469"/>
      <c r="MUJ4" s="3469"/>
      <c r="MUK4" s="3469"/>
      <c r="MUL4" s="3469"/>
      <c r="MUM4" s="3469"/>
      <c r="MUN4" s="3469"/>
      <c r="MUO4" s="3469"/>
      <c r="MUP4" s="3469"/>
      <c r="MUQ4" s="3469"/>
      <c r="MUR4" s="3469"/>
      <c r="MUS4" s="3469"/>
      <c r="MUT4" s="3469"/>
      <c r="MUU4" s="3469"/>
      <c r="MUV4" s="3469"/>
      <c r="MUW4" s="3469"/>
      <c r="MUX4" s="3469"/>
      <c r="MUY4" s="3469"/>
      <c r="MUZ4" s="3469"/>
      <c r="MVA4" s="3469"/>
      <c r="MVB4" s="3469"/>
      <c r="MVC4" s="3469"/>
      <c r="MVD4" s="3469"/>
      <c r="MVE4" s="3469"/>
      <c r="MVF4" s="3469"/>
      <c r="MVG4" s="3469"/>
      <c r="MVH4" s="3469"/>
      <c r="MVI4" s="3469"/>
      <c r="MVJ4" s="3469"/>
      <c r="MVK4" s="3469"/>
      <c r="MVL4" s="3469"/>
      <c r="MVM4" s="3469"/>
      <c r="MVN4" s="3469"/>
      <c r="MVO4" s="3469"/>
      <c r="MVP4" s="3469"/>
      <c r="MVQ4" s="3469"/>
      <c r="MVR4" s="3469"/>
      <c r="MVS4" s="3469"/>
      <c r="MVT4" s="3469"/>
      <c r="MVU4" s="3469"/>
      <c r="MVV4" s="3469"/>
      <c r="MVW4" s="3469"/>
      <c r="MVX4" s="3469"/>
      <c r="MVY4" s="3469"/>
      <c r="MVZ4" s="3469"/>
      <c r="MWA4" s="3469"/>
      <c r="MWB4" s="3469"/>
      <c r="MWC4" s="3469"/>
      <c r="MWD4" s="3469"/>
      <c r="MWE4" s="3469"/>
      <c r="MWF4" s="3469"/>
      <c r="MWG4" s="3469"/>
      <c r="MWH4" s="3469"/>
      <c r="MWI4" s="3469"/>
      <c r="MWJ4" s="3469"/>
      <c r="MWK4" s="3469"/>
      <c r="MWL4" s="3469"/>
      <c r="MWM4" s="3469"/>
      <c r="MWN4" s="3469"/>
      <c r="MWO4" s="3469"/>
      <c r="MWP4" s="3469"/>
      <c r="MWQ4" s="3469"/>
      <c r="MWR4" s="3469"/>
      <c r="MWS4" s="3469"/>
      <c r="MWT4" s="3469"/>
      <c r="MWU4" s="3469"/>
      <c r="MWV4" s="3469"/>
      <c r="MWW4" s="3469"/>
      <c r="MWX4" s="3469"/>
      <c r="MWY4" s="3469"/>
      <c r="MWZ4" s="3469"/>
      <c r="MXA4" s="3469"/>
      <c r="MXB4" s="3469"/>
      <c r="MXC4" s="3469"/>
      <c r="MXD4" s="3469"/>
      <c r="MXE4" s="3469"/>
      <c r="MXF4" s="3469"/>
      <c r="MXG4" s="3469"/>
      <c r="MXH4" s="3469"/>
      <c r="MXI4" s="3469"/>
      <c r="MXJ4" s="3469"/>
      <c r="MXK4" s="3469"/>
      <c r="MXL4" s="3469"/>
      <c r="MXM4" s="3469"/>
      <c r="MXN4" s="3469"/>
      <c r="MXO4" s="3469"/>
      <c r="MXP4" s="3469"/>
      <c r="MXQ4" s="3469"/>
      <c r="MXR4" s="3469"/>
      <c r="MXS4" s="3469"/>
      <c r="MXT4" s="3469"/>
      <c r="MXU4" s="3469"/>
      <c r="MXV4" s="3469"/>
      <c r="MXW4" s="3469"/>
      <c r="MXX4" s="3469"/>
      <c r="MXY4" s="3469"/>
      <c r="MXZ4" s="3469"/>
      <c r="MYA4" s="3469"/>
      <c r="MYB4" s="3469"/>
      <c r="MYC4" s="3469"/>
      <c r="MYD4" s="3469"/>
      <c r="MYE4" s="3469"/>
      <c r="MYF4" s="3469"/>
      <c r="MYG4" s="3469"/>
      <c r="MYH4" s="3469"/>
      <c r="MYI4" s="3469"/>
      <c r="MYJ4" s="3469"/>
      <c r="MYK4" s="3469"/>
      <c r="MYL4" s="3469"/>
      <c r="MYM4" s="3469"/>
      <c r="MYN4" s="3469"/>
      <c r="MYO4" s="3469"/>
      <c r="MYP4" s="3469"/>
      <c r="MYQ4" s="3469"/>
      <c r="MYR4" s="3469"/>
      <c r="MYS4" s="3469"/>
      <c r="MYT4" s="3469"/>
      <c r="MYU4" s="3469"/>
      <c r="MYV4" s="3469"/>
      <c r="MYW4" s="3469"/>
      <c r="MYX4" s="3469"/>
      <c r="MYY4" s="3469"/>
      <c r="MYZ4" s="3469"/>
      <c r="MZA4" s="3469"/>
      <c r="MZB4" s="3469"/>
      <c r="MZC4" s="3469"/>
      <c r="MZD4" s="3469"/>
      <c r="MZE4" s="3469"/>
      <c r="MZF4" s="3469"/>
      <c r="MZG4" s="3469"/>
      <c r="MZH4" s="3469"/>
      <c r="MZI4" s="3469"/>
      <c r="MZJ4" s="3469"/>
      <c r="MZK4" s="3469"/>
      <c r="MZL4" s="3469"/>
      <c r="MZM4" s="3469"/>
      <c r="MZN4" s="3469"/>
      <c r="MZO4" s="3469"/>
      <c r="MZP4" s="3469"/>
      <c r="MZQ4" s="3469"/>
      <c r="MZR4" s="3469"/>
      <c r="MZS4" s="3469"/>
      <c r="MZT4" s="3469"/>
      <c r="MZU4" s="3469"/>
      <c r="MZV4" s="3469"/>
      <c r="MZW4" s="3469"/>
      <c r="MZX4" s="3469"/>
      <c r="MZY4" s="3469"/>
      <c r="MZZ4" s="3469"/>
      <c r="NAA4" s="3469"/>
      <c r="NAB4" s="3469"/>
      <c r="NAC4" s="3469"/>
      <c r="NAD4" s="3469"/>
      <c r="NAE4" s="3469"/>
      <c r="NAF4" s="3469"/>
      <c r="NAG4" s="3469"/>
      <c r="NAH4" s="3469"/>
      <c r="NAI4" s="3469"/>
      <c r="NAJ4" s="3469"/>
      <c r="NAK4" s="3469"/>
      <c r="NAL4" s="3469"/>
      <c r="NAM4" s="3469"/>
      <c r="NAN4" s="3469"/>
      <c r="NAO4" s="3469"/>
      <c r="NAP4" s="3469"/>
      <c r="NAQ4" s="3469"/>
      <c r="NAR4" s="3469"/>
      <c r="NAS4" s="3469"/>
      <c r="NAT4" s="3469"/>
      <c r="NAU4" s="3469"/>
      <c r="NAV4" s="3469"/>
      <c r="NAW4" s="3469"/>
      <c r="NAX4" s="3469"/>
      <c r="NAY4" s="3469"/>
      <c r="NAZ4" s="3469"/>
      <c r="NBA4" s="3469"/>
      <c r="NBB4" s="3469"/>
      <c r="NBC4" s="3469"/>
      <c r="NBD4" s="3469"/>
      <c r="NBE4" s="3469"/>
      <c r="NBF4" s="3469"/>
      <c r="NBG4" s="3469"/>
      <c r="NBH4" s="3469"/>
      <c r="NBI4" s="3469"/>
      <c r="NBJ4" s="3469"/>
      <c r="NBK4" s="3469"/>
      <c r="NBL4" s="3469"/>
      <c r="NBM4" s="3469"/>
      <c r="NBN4" s="3469"/>
      <c r="NBO4" s="3469"/>
      <c r="NBP4" s="3469"/>
      <c r="NBQ4" s="3469"/>
      <c r="NBR4" s="3469"/>
      <c r="NBS4" s="3469"/>
      <c r="NBT4" s="3469"/>
      <c r="NBU4" s="3469"/>
      <c r="NBV4" s="3469"/>
      <c r="NBW4" s="3469"/>
      <c r="NBX4" s="3469"/>
      <c r="NBY4" s="3469"/>
      <c r="NBZ4" s="3469"/>
      <c r="NCA4" s="3469"/>
      <c r="NCB4" s="3469"/>
      <c r="NCC4" s="3469"/>
      <c r="NCD4" s="3469"/>
      <c r="NCE4" s="3469"/>
      <c r="NCF4" s="3469"/>
      <c r="NCG4" s="3469"/>
      <c r="NCH4" s="3469"/>
      <c r="NCI4" s="3469"/>
      <c r="NCJ4" s="3469"/>
      <c r="NCK4" s="3469"/>
      <c r="NCL4" s="3469"/>
      <c r="NCM4" s="3469"/>
      <c r="NCN4" s="3469"/>
      <c r="NCO4" s="3469"/>
      <c r="NCP4" s="3469"/>
      <c r="NCQ4" s="3469"/>
      <c r="NCR4" s="3469"/>
      <c r="NCS4" s="3469"/>
      <c r="NCT4" s="3469"/>
      <c r="NCU4" s="3469"/>
      <c r="NCV4" s="3469"/>
      <c r="NCW4" s="3469"/>
      <c r="NCX4" s="3469"/>
      <c r="NCY4" s="3469"/>
      <c r="NCZ4" s="3469"/>
      <c r="NDA4" s="3469"/>
      <c r="NDB4" s="3469"/>
      <c r="NDC4" s="3469"/>
      <c r="NDD4" s="3469"/>
      <c r="NDE4" s="3469"/>
      <c r="NDF4" s="3469"/>
      <c r="NDG4" s="3469"/>
      <c r="NDH4" s="3469"/>
      <c r="NDI4" s="3469"/>
      <c r="NDJ4" s="3469"/>
      <c r="NDK4" s="3469"/>
      <c r="NDL4" s="3469"/>
      <c r="NDM4" s="3469"/>
      <c r="NDN4" s="3469"/>
      <c r="NDO4" s="3469"/>
      <c r="NDP4" s="3469"/>
      <c r="NDQ4" s="3469"/>
      <c r="NDR4" s="3469"/>
      <c r="NDS4" s="3469"/>
      <c r="NDT4" s="3469"/>
      <c r="NDU4" s="3469"/>
      <c r="NDV4" s="3469"/>
      <c r="NDW4" s="3469"/>
      <c r="NDX4" s="3469"/>
      <c r="NDY4" s="3469"/>
      <c r="NDZ4" s="3469"/>
      <c r="NEA4" s="3469"/>
      <c r="NEB4" s="3469"/>
      <c r="NEC4" s="3469"/>
      <c r="NED4" s="3469"/>
      <c r="NEE4" s="3469"/>
      <c r="NEF4" s="3469"/>
      <c r="NEG4" s="3469"/>
      <c r="NEH4" s="3469"/>
      <c r="NEI4" s="3469"/>
      <c r="NEJ4" s="3469"/>
      <c r="NEK4" s="3469"/>
      <c r="NEL4" s="3469"/>
      <c r="NEM4" s="3469"/>
      <c r="NEN4" s="3469"/>
      <c r="NEO4" s="3469"/>
      <c r="NEP4" s="3469"/>
      <c r="NEQ4" s="3469"/>
      <c r="NER4" s="3469"/>
      <c r="NES4" s="3469"/>
      <c r="NET4" s="3469"/>
      <c r="NEU4" s="3469"/>
      <c r="NEV4" s="3469"/>
      <c r="NEW4" s="3469"/>
      <c r="NEX4" s="3469"/>
      <c r="NEY4" s="3469"/>
      <c r="NEZ4" s="3469"/>
      <c r="NFA4" s="3469"/>
      <c r="NFB4" s="3469"/>
      <c r="NFC4" s="3469"/>
      <c r="NFD4" s="3469"/>
      <c r="NFE4" s="3469"/>
      <c r="NFF4" s="3469"/>
      <c r="NFG4" s="3469"/>
      <c r="NFH4" s="3469"/>
      <c r="NFI4" s="3469"/>
      <c r="NFJ4" s="3469"/>
      <c r="NFK4" s="3469"/>
      <c r="NFL4" s="3469"/>
      <c r="NFM4" s="3469"/>
      <c r="NFN4" s="3469"/>
      <c r="NFO4" s="3469"/>
      <c r="NFP4" s="3469"/>
      <c r="NFQ4" s="3469"/>
      <c r="NFR4" s="3469"/>
      <c r="NFS4" s="3469"/>
      <c r="NFT4" s="3469"/>
      <c r="NFU4" s="3469"/>
      <c r="NFV4" s="3469"/>
      <c r="NFW4" s="3469"/>
      <c r="NFX4" s="3469"/>
      <c r="NFY4" s="3469"/>
      <c r="NFZ4" s="3469"/>
      <c r="NGA4" s="3469"/>
      <c r="NGB4" s="3469"/>
      <c r="NGC4" s="3469"/>
      <c r="NGD4" s="3469"/>
      <c r="NGE4" s="3469"/>
      <c r="NGF4" s="3469"/>
      <c r="NGG4" s="3469"/>
      <c r="NGH4" s="3469"/>
      <c r="NGI4" s="3469"/>
      <c r="NGJ4" s="3469"/>
      <c r="NGK4" s="3469"/>
      <c r="NGL4" s="3469"/>
      <c r="NGM4" s="3469"/>
      <c r="NGN4" s="3469"/>
      <c r="NGO4" s="3469"/>
      <c r="NGP4" s="3469"/>
      <c r="NGQ4" s="3469"/>
      <c r="NGR4" s="3469"/>
      <c r="NGS4" s="3469"/>
      <c r="NGT4" s="3469"/>
      <c r="NGU4" s="3469"/>
      <c r="NGV4" s="3469"/>
      <c r="NGW4" s="3469"/>
      <c r="NGX4" s="3469"/>
      <c r="NGY4" s="3469"/>
      <c r="NGZ4" s="3469"/>
      <c r="NHA4" s="3469"/>
      <c r="NHB4" s="3469"/>
      <c r="NHC4" s="3469"/>
      <c r="NHD4" s="3469"/>
      <c r="NHE4" s="3469"/>
      <c r="NHF4" s="3469"/>
      <c r="NHG4" s="3469"/>
      <c r="NHH4" s="3469"/>
      <c r="NHI4" s="3469"/>
      <c r="NHJ4" s="3469"/>
      <c r="NHK4" s="3469"/>
      <c r="NHL4" s="3469"/>
      <c r="NHM4" s="3469"/>
      <c r="NHN4" s="3469"/>
      <c r="NHO4" s="3469"/>
      <c r="NHP4" s="3469"/>
      <c r="NHQ4" s="3469"/>
      <c r="NHR4" s="3469"/>
      <c r="NHS4" s="3469"/>
      <c r="NHT4" s="3469"/>
      <c r="NHU4" s="3469"/>
      <c r="NHV4" s="3469"/>
      <c r="NHW4" s="3469"/>
      <c r="NHX4" s="3469"/>
      <c r="NHY4" s="3469"/>
      <c r="NHZ4" s="3469"/>
      <c r="NIA4" s="3469"/>
      <c r="NIB4" s="3469"/>
      <c r="NIC4" s="3469"/>
      <c r="NID4" s="3469"/>
      <c r="NIE4" s="3469"/>
      <c r="NIF4" s="3469"/>
      <c r="NIG4" s="3469"/>
      <c r="NIH4" s="3469"/>
      <c r="NII4" s="3469"/>
      <c r="NIJ4" s="3469"/>
      <c r="NIK4" s="3469"/>
      <c r="NIL4" s="3469"/>
      <c r="NIM4" s="3469"/>
      <c r="NIN4" s="3469"/>
      <c r="NIO4" s="3469"/>
      <c r="NIP4" s="3469"/>
      <c r="NIQ4" s="3469"/>
      <c r="NIR4" s="3469"/>
      <c r="NIS4" s="3469"/>
      <c r="NIT4" s="3469"/>
      <c r="NIU4" s="3469"/>
      <c r="NIV4" s="3469"/>
      <c r="NIW4" s="3469"/>
      <c r="NIX4" s="3469"/>
      <c r="NIY4" s="3469"/>
      <c r="NIZ4" s="3469"/>
      <c r="NJA4" s="3469"/>
      <c r="NJB4" s="3469"/>
      <c r="NJC4" s="3469"/>
      <c r="NJD4" s="3469"/>
      <c r="NJE4" s="3469"/>
      <c r="NJF4" s="3469"/>
      <c r="NJG4" s="3469"/>
      <c r="NJH4" s="3469"/>
      <c r="NJI4" s="3469"/>
      <c r="NJJ4" s="3469"/>
      <c r="NJK4" s="3469"/>
      <c r="NJL4" s="3469"/>
      <c r="NJM4" s="3469"/>
      <c r="NJN4" s="3469"/>
      <c r="NJO4" s="3469"/>
      <c r="NJP4" s="3469"/>
      <c r="NJQ4" s="3469"/>
      <c r="NJR4" s="3469"/>
      <c r="NJS4" s="3469"/>
      <c r="NJT4" s="3469"/>
      <c r="NJU4" s="3469"/>
      <c r="NJV4" s="3469"/>
      <c r="NJW4" s="3469"/>
      <c r="NJX4" s="3469"/>
      <c r="NJY4" s="3469"/>
      <c r="NJZ4" s="3469"/>
      <c r="NKA4" s="3469"/>
      <c r="NKB4" s="3469"/>
      <c r="NKC4" s="3469"/>
      <c r="NKD4" s="3469"/>
      <c r="NKE4" s="3469"/>
      <c r="NKF4" s="3469"/>
      <c r="NKG4" s="3469"/>
      <c r="NKH4" s="3469"/>
      <c r="NKI4" s="3469"/>
      <c r="NKJ4" s="3469"/>
      <c r="NKK4" s="3469"/>
      <c r="NKL4" s="3469"/>
      <c r="NKM4" s="3469"/>
      <c r="NKN4" s="3469"/>
      <c r="NKO4" s="3469"/>
      <c r="NKP4" s="3469"/>
      <c r="NKQ4" s="3469"/>
      <c r="NKR4" s="3469"/>
      <c r="NKS4" s="3469"/>
      <c r="NKT4" s="3469"/>
      <c r="NKU4" s="3469"/>
      <c r="NKV4" s="3469"/>
      <c r="NKW4" s="3469"/>
      <c r="NKX4" s="3469"/>
      <c r="NKY4" s="3469"/>
      <c r="NKZ4" s="3469"/>
      <c r="NLA4" s="3469"/>
      <c r="NLB4" s="3469"/>
      <c r="NLC4" s="3469"/>
      <c r="NLD4" s="3469"/>
      <c r="NLE4" s="3469"/>
      <c r="NLF4" s="3469"/>
      <c r="NLG4" s="3469"/>
      <c r="NLH4" s="3469"/>
      <c r="NLI4" s="3469"/>
      <c r="NLJ4" s="3469"/>
      <c r="NLK4" s="3469"/>
      <c r="NLL4" s="3469"/>
      <c r="NLM4" s="3469"/>
      <c r="NLN4" s="3469"/>
      <c r="NLO4" s="3469"/>
      <c r="NLP4" s="3469"/>
      <c r="NLQ4" s="3469"/>
      <c r="NLR4" s="3469"/>
      <c r="NLS4" s="3469"/>
      <c r="NLT4" s="3469"/>
      <c r="NLU4" s="3469"/>
      <c r="NLV4" s="3469"/>
      <c r="NLW4" s="3469"/>
      <c r="NLX4" s="3469"/>
      <c r="NLY4" s="3469"/>
      <c r="NLZ4" s="3469"/>
      <c r="NMA4" s="3469"/>
      <c r="NMB4" s="3469"/>
      <c r="NMC4" s="3469"/>
      <c r="NMD4" s="3469"/>
      <c r="NME4" s="3469"/>
      <c r="NMF4" s="3469"/>
      <c r="NMG4" s="3469"/>
      <c r="NMH4" s="3469"/>
      <c r="NMI4" s="3469"/>
      <c r="NMJ4" s="3469"/>
      <c r="NMK4" s="3469"/>
      <c r="NML4" s="3469"/>
      <c r="NMM4" s="3469"/>
      <c r="NMN4" s="3469"/>
      <c r="NMO4" s="3469"/>
      <c r="NMP4" s="3469"/>
      <c r="NMQ4" s="3469"/>
      <c r="NMR4" s="3469"/>
      <c r="NMS4" s="3469"/>
      <c r="NMT4" s="3469"/>
      <c r="NMU4" s="3469"/>
      <c r="NMV4" s="3469"/>
      <c r="NMW4" s="3469"/>
      <c r="NMX4" s="3469"/>
      <c r="NMY4" s="3469"/>
      <c r="NMZ4" s="3469"/>
      <c r="NNA4" s="3469"/>
      <c r="NNB4" s="3469"/>
      <c r="NNC4" s="3469"/>
      <c r="NND4" s="3469"/>
      <c r="NNE4" s="3469"/>
      <c r="NNF4" s="3469"/>
      <c r="NNG4" s="3469"/>
      <c r="NNH4" s="3469"/>
      <c r="NNI4" s="3469"/>
      <c r="NNJ4" s="3469"/>
      <c r="NNK4" s="3469"/>
      <c r="NNL4" s="3469"/>
      <c r="NNM4" s="3469"/>
      <c r="NNN4" s="3469"/>
      <c r="NNO4" s="3469"/>
      <c r="NNP4" s="3469"/>
      <c r="NNQ4" s="3469"/>
      <c r="NNR4" s="3469"/>
      <c r="NNS4" s="3469"/>
      <c r="NNT4" s="3469"/>
      <c r="NNU4" s="3469"/>
      <c r="NNV4" s="3469"/>
      <c r="NNW4" s="3469"/>
      <c r="NNX4" s="3469"/>
      <c r="NNY4" s="3469"/>
      <c r="NNZ4" s="3469"/>
      <c r="NOA4" s="3469"/>
      <c r="NOB4" s="3469"/>
      <c r="NOC4" s="3469"/>
      <c r="NOD4" s="3469"/>
      <c r="NOE4" s="3469"/>
      <c r="NOF4" s="3469"/>
      <c r="NOG4" s="3469"/>
      <c r="NOH4" s="3469"/>
      <c r="NOI4" s="3469"/>
      <c r="NOJ4" s="3469"/>
      <c r="NOK4" s="3469"/>
      <c r="NOL4" s="3469"/>
      <c r="NOM4" s="3469"/>
      <c r="NON4" s="3469"/>
      <c r="NOO4" s="3469"/>
      <c r="NOP4" s="3469"/>
      <c r="NOQ4" s="3469"/>
      <c r="NOR4" s="3469"/>
      <c r="NOS4" s="3469"/>
      <c r="NOT4" s="3469"/>
      <c r="NOU4" s="3469"/>
      <c r="NOV4" s="3469"/>
      <c r="NOW4" s="3469"/>
      <c r="NOX4" s="3469"/>
      <c r="NOY4" s="3469"/>
      <c r="NOZ4" s="3469"/>
      <c r="NPA4" s="3469"/>
      <c r="NPB4" s="3469"/>
      <c r="NPC4" s="3469"/>
      <c r="NPD4" s="3469"/>
      <c r="NPE4" s="3469"/>
      <c r="NPF4" s="3469"/>
      <c r="NPG4" s="3469"/>
      <c r="NPH4" s="3469"/>
      <c r="NPI4" s="3469"/>
      <c r="NPJ4" s="3469"/>
      <c r="NPK4" s="3469"/>
      <c r="NPL4" s="3469"/>
      <c r="NPM4" s="3469"/>
      <c r="NPN4" s="3469"/>
      <c r="NPO4" s="3469"/>
      <c r="NPP4" s="3469"/>
      <c r="NPQ4" s="3469"/>
      <c r="NPR4" s="3469"/>
      <c r="NPS4" s="3469"/>
      <c r="NPT4" s="3469"/>
      <c r="NPU4" s="3469"/>
      <c r="NPV4" s="3469"/>
      <c r="NPW4" s="3469"/>
      <c r="NPX4" s="3469"/>
      <c r="NPY4" s="3469"/>
      <c r="NPZ4" s="3469"/>
      <c r="NQA4" s="3469"/>
      <c r="NQB4" s="3469"/>
      <c r="NQC4" s="3469"/>
      <c r="NQD4" s="3469"/>
      <c r="NQE4" s="3469"/>
      <c r="NQF4" s="3469"/>
      <c r="NQG4" s="3469"/>
      <c r="NQH4" s="3469"/>
      <c r="NQI4" s="3469"/>
      <c r="NQJ4" s="3469"/>
      <c r="NQK4" s="3469"/>
      <c r="NQL4" s="3469"/>
      <c r="NQM4" s="3469"/>
      <c r="NQN4" s="3469"/>
      <c r="NQO4" s="3469"/>
      <c r="NQP4" s="3469"/>
      <c r="NQQ4" s="3469"/>
      <c r="NQR4" s="3469"/>
      <c r="NQS4" s="3469"/>
      <c r="NQT4" s="3469"/>
      <c r="NQU4" s="3469"/>
      <c r="NQV4" s="3469"/>
      <c r="NQW4" s="3469"/>
      <c r="NQX4" s="3469"/>
      <c r="NQY4" s="3469"/>
      <c r="NQZ4" s="3469"/>
      <c r="NRA4" s="3469"/>
      <c r="NRB4" s="3469"/>
      <c r="NRC4" s="3469"/>
      <c r="NRD4" s="3469"/>
      <c r="NRE4" s="3469"/>
      <c r="NRF4" s="3469"/>
      <c r="NRG4" s="3469"/>
      <c r="NRH4" s="3469"/>
      <c r="NRI4" s="3469"/>
      <c r="NRJ4" s="3469"/>
      <c r="NRK4" s="3469"/>
      <c r="NRL4" s="3469"/>
      <c r="NRM4" s="3469"/>
      <c r="NRN4" s="3469"/>
      <c r="NRO4" s="3469"/>
      <c r="NRP4" s="3469"/>
      <c r="NRQ4" s="3469"/>
      <c r="NRR4" s="3469"/>
      <c r="NRS4" s="3469"/>
      <c r="NRT4" s="3469"/>
      <c r="NRU4" s="3469"/>
      <c r="NRV4" s="3469"/>
      <c r="NRW4" s="3469"/>
      <c r="NRX4" s="3469"/>
      <c r="NRY4" s="3469"/>
      <c r="NRZ4" s="3469"/>
      <c r="NSA4" s="3469"/>
      <c r="NSB4" s="3469"/>
      <c r="NSC4" s="3469"/>
      <c r="NSD4" s="3469"/>
      <c r="NSE4" s="3469"/>
      <c r="NSF4" s="3469"/>
      <c r="NSG4" s="3469"/>
      <c r="NSH4" s="3469"/>
      <c r="NSI4" s="3469"/>
      <c r="NSJ4" s="3469"/>
      <c r="NSK4" s="3469"/>
      <c r="NSL4" s="3469"/>
      <c r="NSM4" s="3469"/>
      <c r="NSN4" s="3469"/>
      <c r="NSO4" s="3469"/>
      <c r="NSP4" s="3469"/>
      <c r="NSQ4" s="3469"/>
      <c r="NSR4" s="3469"/>
      <c r="NSS4" s="3469"/>
      <c r="NST4" s="3469"/>
      <c r="NSU4" s="3469"/>
      <c r="NSV4" s="3469"/>
      <c r="NSW4" s="3469"/>
      <c r="NSX4" s="3469"/>
      <c r="NSY4" s="3469"/>
      <c r="NSZ4" s="3469"/>
      <c r="NTA4" s="3469"/>
      <c r="NTB4" s="3469"/>
      <c r="NTC4" s="3469"/>
      <c r="NTD4" s="3469"/>
      <c r="NTE4" s="3469"/>
      <c r="NTF4" s="3469"/>
      <c r="NTG4" s="3469"/>
      <c r="NTH4" s="3469"/>
      <c r="NTI4" s="3469"/>
      <c r="NTJ4" s="3469"/>
      <c r="NTK4" s="3469"/>
      <c r="NTL4" s="3469"/>
      <c r="NTM4" s="3469"/>
      <c r="NTN4" s="3469"/>
      <c r="NTO4" s="3469"/>
      <c r="NTP4" s="3469"/>
      <c r="NTQ4" s="3469"/>
      <c r="NTR4" s="3469"/>
      <c r="NTS4" s="3469"/>
      <c r="NTT4" s="3469"/>
      <c r="NTU4" s="3469"/>
      <c r="NTV4" s="3469"/>
      <c r="NTW4" s="3469"/>
      <c r="NTX4" s="3469"/>
      <c r="NTY4" s="3469"/>
      <c r="NTZ4" s="3469"/>
      <c r="NUA4" s="3469"/>
      <c r="NUB4" s="3469"/>
      <c r="NUC4" s="3469"/>
      <c r="NUD4" s="3469"/>
      <c r="NUE4" s="3469"/>
      <c r="NUF4" s="3469"/>
      <c r="NUG4" s="3469"/>
      <c r="NUH4" s="3469"/>
      <c r="NUI4" s="3469"/>
      <c r="NUJ4" s="3469"/>
      <c r="NUK4" s="3469"/>
      <c r="NUL4" s="3469"/>
      <c r="NUM4" s="3469"/>
      <c r="NUN4" s="3469"/>
      <c r="NUO4" s="3469"/>
      <c r="NUP4" s="3469"/>
      <c r="NUQ4" s="3469"/>
      <c r="NUR4" s="3469"/>
      <c r="NUS4" s="3469"/>
      <c r="NUT4" s="3469"/>
      <c r="NUU4" s="3469"/>
      <c r="NUV4" s="3469"/>
      <c r="NUW4" s="3469"/>
      <c r="NUX4" s="3469"/>
      <c r="NUY4" s="3469"/>
      <c r="NUZ4" s="3469"/>
      <c r="NVA4" s="3469"/>
      <c r="NVB4" s="3469"/>
      <c r="NVC4" s="3469"/>
      <c r="NVD4" s="3469"/>
      <c r="NVE4" s="3469"/>
      <c r="NVF4" s="3469"/>
      <c r="NVG4" s="3469"/>
      <c r="NVH4" s="3469"/>
      <c r="NVI4" s="3469"/>
      <c r="NVJ4" s="3469"/>
      <c r="NVK4" s="3469"/>
      <c r="NVL4" s="3469"/>
      <c r="NVM4" s="3469"/>
      <c r="NVN4" s="3469"/>
      <c r="NVO4" s="3469"/>
      <c r="NVP4" s="3469"/>
      <c r="NVQ4" s="3469"/>
      <c r="NVR4" s="3469"/>
      <c r="NVS4" s="3469"/>
      <c r="NVT4" s="3469"/>
      <c r="NVU4" s="3469"/>
      <c r="NVV4" s="3469"/>
      <c r="NVW4" s="3469"/>
      <c r="NVX4" s="3469"/>
      <c r="NVY4" s="3469"/>
      <c r="NVZ4" s="3469"/>
      <c r="NWA4" s="3469"/>
      <c r="NWB4" s="3469"/>
      <c r="NWC4" s="3469"/>
      <c r="NWD4" s="3469"/>
      <c r="NWE4" s="3469"/>
      <c r="NWF4" s="3469"/>
      <c r="NWG4" s="3469"/>
      <c r="NWH4" s="3469"/>
      <c r="NWI4" s="3469"/>
      <c r="NWJ4" s="3469"/>
      <c r="NWK4" s="3469"/>
      <c r="NWL4" s="3469"/>
      <c r="NWM4" s="3469"/>
      <c r="NWN4" s="3469"/>
      <c r="NWO4" s="3469"/>
      <c r="NWP4" s="3469"/>
      <c r="NWQ4" s="3469"/>
      <c r="NWR4" s="3469"/>
      <c r="NWS4" s="3469"/>
      <c r="NWT4" s="3469"/>
      <c r="NWU4" s="3469"/>
      <c r="NWV4" s="3469"/>
      <c r="NWW4" s="3469"/>
      <c r="NWX4" s="3469"/>
      <c r="NWY4" s="3469"/>
      <c r="NWZ4" s="3469"/>
      <c r="NXA4" s="3469"/>
      <c r="NXB4" s="3469"/>
      <c r="NXC4" s="3469"/>
      <c r="NXD4" s="3469"/>
      <c r="NXE4" s="3469"/>
      <c r="NXF4" s="3469"/>
      <c r="NXG4" s="3469"/>
      <c r="NXH4" s="3469"/>
      <c r="NXI4" s="3469"/>
      <c r="NXJ4" s="3469"/>
      <c r="NXK4" s="3469"/>
      <c r="NXL4" s="3469"/>
      <c r="NXM4" s="3469"/>
      <c r="NXN4" s="3469"/>
      <c r="NXO4" s="3469"/>
      <c r="NXP4" s="3469"/>
      <c r="NXQ4" s="3469"/>
      <c r="NXR4" s="3469"/>
      <c r="NXS4" s="3469"/>
      <c r="NXT4" s="3469"/>
      <c r="NXU4" s="3469"/>
      <c r="NXV4" s="3469"/>
      <c r="NXW4" s="3469"/>
      <c r="NXX4" s="3469"/>
      <c r="NXY4" s="3469"/>
      <c r="NXZ4" s="3469"/>
      <c r="NYA4" s="3469"/>
      <c r="NYB4" s="3469"/>
      <c r="NYC4" s="3469"/>
      <c r="NYD4" s="3469"/>
      <c r="NYE4" s="3469"/>
      <c r="NYF4" s="3469"/>
      <c r="NYG4" s="3469"/>
      <c r="NYH4" s="3469"/>
      <c r="NYI4" s="3469"/>
      <c r="NYJ4" s="3469"/>
      <c r="NYK4" s="3469"/>
      <c r="NYL4" s="3469"/>
      <c r="NYM4" s="3469"/>
      <c r="NYN4" s="3469"/>
      <c r="NYO4" s="3469"/>
      <c r="NYP4" s="3469"/>
      <c r="NYQ4" s="3469"/>
      <c r="NYR4" s="3469"/>
      <c r="NYS4" s="3469"/>
      <c r="NYT4" s="3469"/>
      <c r="NYU4" s="3469"/>
      <c r="NYV4" s="3469"/>
      <c r="NYW4" s="3469"/>
      <c r="NYX4" s="3469"/>
      <c r="NYY4" s="3469"/>
      <c r="NYZ4" s="3469"/>
      <c r="NZA4" s="3469"/>
      <c r="NZB4" s="3469"/>
      <c r="NZC4" s="3469"/>
      <c r="NZD4" s="3469"/>
      <c r="NZE4" s="3469"/>
      <c r="NZF4" s="3469"/>
      <c r="NZG4" s="3469"/>
      <c r="NZH4" s="3469"/>
      <c r="NZI4" s="3469"/>
      <c r="NZJ4" s="3469"/>
      <c r="NZK4" s="3469"/>
      <c r="NZL4" s="3469"/>
      <c r="NZM4" s="3469"/>
      <c r="NZN4" s="3469"/>
      <c r="NZO4" s="3469"/>
      <c r="NZP4" s="3469"/>
      <c r="NZQ4" s="3469"/>
      <c r="NZR4" s="3469"/>
      <c r="NZS4" s="3469"/>
      <c r="NZT4" s="3469"/>
      <c r="NZU4" s="3469"/>
      <c r="NZV4" s="3469"/>
      <c r="NZW4" s="3469"/>
      <c r="NZX4" s="3469"/>
      <c r="NZY4" s="3469"/>
      <c r="NZZ4" s="3469"/>
      <c r="OAA4" s="3469"/>
      <c r="OAB4" s="3469"/>
      <c r="OAC4" s="3469"/>
      <c r="OAD4" s="3469"/>
      <c r="OAE4" s="3469"/>
      <c r="OAF4" s="3469"/>
      <c r="OAG4" s="3469"/>
      <c r="OAH4" s="3469"/>
      <c r="OAI4" s="3469"/>
      <c r="OAJ4" s="3469"/>
      <c r="OAK4" s="3469"/>
      <c r="OAL4" s="3469"/>
      <c r="OAM4" s="3469"/>
      <c r="OAN4" s="3469"/>
      <c r="OAO4" s="3469"/>
      <c r="OAP4" s="3469"/>
      <c r="OAQ4" s="3469"/>
      <c r="OAR4" s="3469"/>
      <c r="OAS4" s="3469"/>
      <c r="OAT4" s="3469"/>
      <c r="OAU4" s="3469"/>
      <c r="OAV4" s="3469"/>
      <c r="OAW4" s="3469"/>
      <c r="OAX4" s="3469"/>
      <c r="OAY4" s="3469"/>
      <c r="OAZ4" s="3469"/>
      <c r="OBA4" s="3469"/>
      <c r="OBB4" s="3469"/>
      <c r="OBC4" s="3469"/>
      <c r="OBD4" s="3469"/>
      <c r="OBE4" s="3469"/>
      <c r="OBF4" s="3469"/>
      <c r="OBG4" s="3469"/>
      <c r="OBH4" s="3469"/>
      <c r="OBI4" s="3469"/>
      <c r="OBJ4" s="3469"/>
      <c r="OBK4" s="3469"/>
      <c r="OBL4" s="3469"/>
      <c r="OBM4" s="3469"/>
      <c r="OBN4" s="3469"/>
      <c r="OBO4" s="3469"/>
      <c r="OBP4" s="3469"/>
      <c r="OBQ4" s="3469"/>
      <c r="OBR4" s="3469"/>
      <c r="OBS4" s="3469"/>
      <c r="OBT4" s="3469"/>
      <c r="OBU4" s="3469"/>
      <c r="OBV4" s="3469"/>
      <c r="OBW4" s="3469"/>
      <c r="OBX4" s="3469"/>
      <c r="OBY4" s="3469"/>
      <c r="OBZ4" s="3469"/>
      <c r="OCA4" s="3469"/>
      <c r="OCB4" s="3469"/>
      <c r="OCC4" s="3469"/>
      <c r="OCD4" s="3469"/>
      <c r="OCE4" s="3469"/>
      <c r="OCF4" s="3469"/>
      <c r="OCG4" s="3469"/>
      <c r="OCH4" s="3469"/>
      <c r="OCI4" s="3469"/>
      <c r="OCJ4" s="3469"/>
      <c r="OCK4" s="3469"/>
      <c r="OCL4" s="3469"/>
      <c r="OCM4" s="3469"/>
      <c r="OCN4" s="3469"/>
      <c r="OCO4" s="3469"/>
      <c r="OCP4" s="3469"/>
      <c r="OCQ4" s="3469"/>
      <c r="OCR4" s="3469"/>
      <c r="OCS4" s="3469"/>
      <c r="OCT4" s="3469"/>
      <c r="OCU4" s="3469"/>
      <c r="OCV4" s="3469"/>
      <c r="OCW4" s="3469"/>
      <c r="OCX4" s="3469"/>
      <c r="OCY4" s="3469"/>
      <c r="OCZ4" s="3469"/>
      <c r="ODA4" s="3469"/>
      <c r="ODB4" s="3469"/>
      <c r="ODC4" s="3469"/>
      <c r="ODD4" s="3469"/>
      <c r="ODE4" s="3469"/>
      <c r="ODF4" s="3469"/>
      <c r="ODG4" s="3469"/>
      <c r="ODH4" s="3469"/>
      <c r="ODI4" s="3469"/>
      <c r="ODJ4" s="3469"/>
      <c r="ODK4" s="3469"/>
      <c r="ODL4" s="3469"/>
      <c r="ODM4" s="3469"/>
      <c r="ODN4" s="3469"/>
      <c r="ODO4" s="3469"/>
      <c r="ODP4" s="3469"/>
      <c r="ODQ4" s="3469"/>
      <c r="ODR4" s="3469"/>
      <c r="ODS4" s="3469"/>
      <c r="ODT4" s="3469"/>
      <c r="ODU4" s="3469"/>
      <c r="ODV4" s="3469"/>
      <c r="ODW4" s="3469"/>
      <c r="ODX4" s="3469"/>
      <c r="ODY4" s="3469"/>
      <c r="ODZ4" s="3469"/>
      <c r="OEA4" s="3469"/>
      <c r="OEB4" s="3469"/>
      <c r="OEC4" s="3469"/>
      <c r="OED4" s="3469"/>
      <c r="OEE4" s="3469"/>
      <c r="OEF4" s="3469"/>
      <c r="OEG4" s="3469"/>
      <c r="OEH4" s="3469"/>
      <c r="OEI4" s="3469"/>
      <c r="OEJ4" s="3469"/>
      <c r="OEK4" s="3469"/>
      <c r="OEL4" s="3469"/>
      <c r="OEM4" s="3469"/>
      <c r="OEN4" s="3469"/>
      <c r="OEO4" s="3469"/>
      <c r="OEP4" s="3469"/>
      <c r="OEQ4" s="3469"/>
      <c r="OER4" s="3469"/>
      <c r="OES4" s="3469"/>
      <c r="OET4" s="3469"/>
      <c r="OEU4" s="3469"/>
      <c r="OEV4" s="3469"/>
      <c r="OEW4" s="3469"/>
      <c r="OEX4" s="3469"/>
      <c r="OEY4" s="3469"/>
      <c r="OEZ4" s="3469"/>
      <c r="OFA4" s="3469"/>
      <c r="OFB4" s="3469"/>
      <c r="OFC4" s="3469"/>
      <c r="OFD4" s="3469"/>
      <c r="OFE4" s="3469"/>
      <c r="OFF4" s="3469"/>
      <c r="OFG4" s="3469"/>
      <c r="OFH4" s="3469"/>
      <c r="OFI4" s="3469"/>
      <c r="OFJ4" s="3469"/>
      <c r="OFK4" s="3469"/>
      <c r="OFL4" s="3469"/>
      <c r="OFM4" s="3469"/>
      <c r="OFN4" s="3469"/>
      <c r="OFO4" s="3469"/>
      <c r="OFP4" s="3469"/>
      <c r="OFQ4" s="3469"/>
      <c r="OFR4" s="3469"/>
      <c r="OFS4" s="3469"/>
      <c r="OFT4" s="3469"/>
      <c r="OFU4" s="3469"/>
      <c r="OFV4" s="3469"/>
      <c r="OFW4" s="3469"/>
      <c r="OFX4" s="3469"/>
      <c r="OFY4" s="3469"/>
      <c r="OFZ4" s="3469"/>
      <c r="OGA4" s="3469"/>
      <c r="OGB4" s="3469"/>
      <c r="OGC4" s="3469"/>
      <c r="OGD4" s="3469"/>
      <c r="OGE4" s="3469"/>
      <c r="OGF4" s="3469"/>
      <c r="OGG4" s="3469"/>
      <c r="OGH4" s="3469"/>
      <c r="OGI4" s="3469"/>
      <c r="OGJ4" s="3469"/>
      <c r="OGK4" s="3469"/>
      <c r="OGL4" s="3469"/>
      <c r="OGM4" s="3469"/>
      <c r="OGN4" s="3469"/>
      <c r="OGO4" s="3469"/>
      <c r="OGP4" s="3469"/>
      <c r="OGQ4" s="3469"/>
      <c r="OGR4" s="3469"/>
      <c r="OGS4" s="3469"/>
      <c r="OGT4" s="3469"/>
      <c r="OGU4" s="3469"/>
      <c r="OGV4" s="3469"/>
      <c r="OGW4" s="3469"/>
      <c r="OGX4" s="3469"/>
      <c r="OGY4" s="3469"/>
      <c r="OGZ4" s="3469"/>
      <c r="OHA4" s="3469"/>
      <c r="OHB4" s="3469"/>
      <c r="OHC4" s="3469"/>
      <c r="OHD4" s="3469"/>
      <c r="OHE4" s="3469"/>
      <c r="OHF4" s="3469"/>
      <c r="OHG4" s="3469"/>
      <c r="OHH4" s="3469"/>
      <c r="OHI4" s="3469"/>
      <c r="OHJ4" s="3469"/>
      <c r="OHK4" s="3469"/>
      <c r="OHL4" s="3469"/>
      <c r="OHM4" s="3469"/>
      <c r="OHN4" s="3469"/>
      <c r="OHO4" s="3469"/>
      <c r="OHP4" s="3469"/>
      <c r="OHQ4" s="3469"/>
      <c r="OHR4" s="3469"/>
      <c r="OHS4" s="3469"/>
      <c r="OHT4" s="3469"/>
      <c r="OHU4" s="3469"/>
      <c r="OHV4" s="3469"/>
      <c r="OHW4" s="3469"/>
      <c r="OHX4" s="3469"/>
      <c r="OHY4" s="3469"/>
      <c r="OHZ4" s="3469"/>
      <c r="OIA4" s="3469"/>
      <c r="OIB4" s="3469"/>
      <c r="OIC4" s="3469"/>
      <c r="OID4" s="3469"/>
      <c r="OIE4" s="3469"/>
      <c r="OIF4" s="3469"/>
      <c r="OIG4" s="3469"/>
      <c r="OIH4" s="3469"/>
      <c r="OII4" s="3469"/>
      <c r="OIJ4" s="3469"/>
      <c r="OIK4" s="3469"/>
      <c r="OIL4" s="3469"/>
      <c r="OIM4" s="3469"/>
      <c r="OIN4" s="3469"/>
      <c r="OIO4" s="3469"/>
      <c r="OIP4" s="3469"/>
      <c r="OIQ4" s="3469"/>
      <c r="OIR4" s="3469"/>
      <c r="OIS4" s="3469"/>
      <c r="OIT4" s="3469"/>
      <c r="OIU4" s="3469"/>
      <c r="OIV4" s="3469"/>
      <c r="OIW4" s="3469"/>
      <c r="OIX4" s="3469"/>
      <c r="OIY4" s="3469"/>
      <c r="OIZ4" s="3469"/>
      <c r="OJA4" s="3469"/>
      <c r="OJB4" s="3469"/>
      <c r="OJC4" s="3469"/>
      <c r="OJD4" s="3469"/>
      <c r="OJE4" s="3469"/>
      <c r="OJF4" s="3469"/>
      <c r="OJG4" s="3469"/>
      <c r="OJH4" s="3469"/>
      <c r="OJI4" s="3469"/>
      <c r="OJJ4" s="3469"/>
      <c r="OJK4" s="3469"/>
      <c r="OJL4" s="3469"/>
      <c r="OJM4" s="3469"/>
      <c r="OJN4" s="3469"/>
      <c r="OJO4" s="3469"/>
      <c r="OJP4" s="3469"/>
      <c r="OJQ4" s="3469"/>
      <c r="OJR4" s="3469"/>
      <c r="OJS4" s="3469"/>
      <c r="OJT4" s="3469"/>
      <c r="OJU4" s="3469"/>
      <c r="OJV4" s="3469"/>
      <c r="OJW4" s="3469"/>
      <c r="OJX4" s="3469"/>
      <c r="OJY4" s="3469"/>
      <c r="OJZ4" s="3469"/>
      <c r="OKA4" s="3469"/>
      <c r="OKB4" s="3469"/>
      <c r="OKC4" s="3469"/>
      <c r="OKD4" s="3469"/>
      <c r="OKE4" s="3469"/>
      <c r="OKF4" s="3469"/>
      <c r="OKG4" s="3469"/>
      <c r="OKH4" s="3469"/>
      <c r="OKI4" s="3469"/>
      <c r="OKJ4" s="3469"/>
      <c r="OKK4" s="3469"/>
      <c r="OKL4" s="3469"/>
      <c r="OKM4" s="3469"/>
      <c r="OKN4" s="3469"/>
      <c r="OKO4" s="3469"/>
      <c r="OKP4" s="3469"/>
      <c r="OKQ4" s="3469"/>
      <c r="OKR4" s="3469"/>
      <c r="OKS4" s="3469"/>
      <c r="OKT4" s="3469"/>
      <c r="OKU4" s="3469"/>
      <c r="OKV4" s="3469"/>
      <c r="OKW4" s="3469"/>
      <c r="OKX4" s="3469"/>
      <c r="OKY4" s="3469"/>
      <c r="OKZ4" s="3469"/>
      <c r="OLA4" s="3469"/>
      <c r="OLB4" s="3469"/>
      <c r="OLC4" s="3469"/>
      <c r="OLD4" s="3469"/>
      <c r="OLE4" s="3469"/>
      <c r="OLF4" s="3469"/>
      <c r="OLG4" s="3469"/>
      <c r="OLH4" s="3469"/>
      <c r="OLI4" s="3469"/>
      <c r="OLJ4" s="3469"/>
      <c r="OLK4" s="3469"/>
      <c r="OLL4" s="3469"/>
      <c r="OLM4" s="3469"/>
      <c r="OLN4" s="3469"/>
      <c r="OLO4" s="3469"/>
      <c r="OLP4" s="3469"/>
      <c r="OLQ4" s="3469"/>
      <c r="OLR4" s="3469"/>
      <c r="OLS4" s="3469"/>
      <c r="OLT4" s="3469"/>
      <c r="OLU4" s="3469"/>
      <c r="OLV4" s="3469"/>
      <c r="OLW4" s="3469"/>
      <c r="OLX4" s="3469"/>
      <c r="OLY4" s="3469"/>
      <c r="OLZ4" s="3469"/>
      <c r="OMA4" s="3469"/>
      <c r="OMB4" s="3469"/>
      <c r="OMC4" s="3469"/>
      <c r="OMD4" s="3469"/>
      <c r="OME4" s="3469"/>
      <c r="OMF4" s="3469"/>
      <c r="OMG4" s="3469"/>
      <c r="OMH4" s="3469"/>
      <c r="OMI4" s="3469"/>
      <c r="OMJ4" s="3469"/>
      <c r="OMK4" s="3469"/>
      <c r="OML4" s="3469"/>
      <c r="OMM4" s="3469"/>
      <c r="OMN4" s="3469"/>
      <c r="OMO4" s="3469"/>
      <c r="OMP4" s="3469"/>
      <c r="OMQ4" s="3469"/>
      <c r="OMR4" s="3469"/>
      <c r="OMS4" s="3469"/>
      <c r="OMT4" s="3469"/>
      <c r="OMU4" s="3469"/>
      <c r="OMV4" s="3469"/>
      <c r="OMW4" s="3469"/>
      <c r="OMX4" s="3469"/>
      <c r="OMY4" s="3469"/>
      <c r="OMZ4" s="3469"/>
      <c r="ONA4" s="3469"/>
      <c r="ONB4" s="3469"/>
      <c r="ONC4" s="3469"/>
      <c r="OND4" s="3469"/>
      <c r="ONE4" s="3469"/>
      <c r="ONF4" s="3469"/>
      <c r="ONG4" s="3469"/>
      <c r="ONH4" s="3469"/>
      <c r="ONI4" s="3469"/>
      <c r="ONJ4" s="3469"/>
      <c r="ONK4" s="3469"/>
      <c r="ONL4" s="3469"/>
      <c r="ONM4" s="3469"/>
      <c r="ONN4" s="3469"/>
      <c r="ONO4" s="3469"/>
      <c r="ONP4" s="3469"/>
      <c r="ONQ4" s="3469"/>
      <c r="ONR4" s="3469"/>
      <c r="ONS4" s="3469"/>
      <c r="ONT4" s="3469"/>
      <c r="ONU4" s="3469"/>
      <c r="ONV4" s="3469"/>
      <c r="ONW4" s="3469"/>
      <c r="ONX4" s="3469"/>
      <c r="ONY4" s="3469"/>
      <c r="ONZ4" s="3469"/>
      <c r="OOA4" s="3469"/>
      <c r="OOB4" s="3469"/>
      <c r="OOC4" s="3469"/>
      <c r="OOD4" s="3469"/>
      <c r="OOE4" s="3469"/>
      <c r="OOF4" s="3469"/>
      <c r="OOG4" s="3469"/>
      <c r="OOH4" s="3469"/>
      <c r="OOI4" s="3469"/>
      <c r="OOJ4" s="3469"/>
      <c r="OOK4" s="3469"/>
      <c r="OOL4" s="3469"/>
      <c r="OOM4" s="3469"/>
      <c r="OON4" s="3469"/>
      <c r="OOO4" s="3469"/>
      <c r="OOP4" s="3469"/>
      <c r="OOQ4" s="3469"/>
      <c r="OOR4" s="3469"/>
      <c r="OOS4" s="3469"/>
      <c r="OOT4" s="3469"/>
      <c r="OOU4" s="3469"/>
      <c r="OOV4" s="3469"/>
      <c r="OOW4" s="3469"/>
      <c r="OOX4" s="3469"/>
      <c r="OOY4" s="3469"/>
      <c r="OOZ4" s="3469"/>
      <c r="OPA4" s="3469"/>
      <c r="OPB4" s="3469"/>
      <c r="OPC4" s="3469"/>
      <c r="OPD4" s="3469"/>
      <c r="OPE4" s="3469"/>
      <c r="OPF4" s="3469"/>
      <c r="OPG4" s="3469"/>
      <c r="OPH4" s="3469"/>
      <c r="OPI4" s="3469"/>
      <c r="OPJ4" s="3469"/>
      <c r="OPK4" s="3469"/>
      <c r="OPL4" s="3469"/>
      <c r="OPM4" s="3469"/>
      <c r="OPN4" s="3469"/>
      <c r="OPO4" s="3469"/>
      <c r="OPP4" s="3469"/>
      <c r="OPQ4" s="3469"/>
      <c r="OPR4" s="3469"/>
      <c r="OPS4" s="3469"/>
      <c r="OPT4" s="3469"/>
      <c r="OPU4" s="3469"/>
      <c r="OPV4" s="3469"/>
      <c r="OPW4" s="3469"/>
      <c r="OPX4" s="3469"/>
      <c r="OPY4" s="3469"/>
      <c r="OPZ4" s="3469"/>
      <c r="OQA4" s="3469"/>
      <c r="OQB4" s="3469"/>
      <c r="OQC4" s="3469"/>
      <c r="OQD4" s="3469"/>
      <c r="OQE4" s="3469"/>
      <c r="OQF4" s="3469"/>
      <c r="OQG4" s="3469"/>
      <c r="OQH4" s="3469"/>
      <c r="OQI4" s="3469"/>
      <c r="OQJ4" s="3469"/>
      <c r="OQK4" s="3469"/>
      <c r="OQL4" s="3469"/>
      <c r="OQM4" s="3469"/>
      <c r="OQN4" s="3469"/>
      <c r="OQO4" s="3469"/>
      <c r="OQP4" s="3469"/>
      <c r="OQQ4" s="3469"/>
      <c r="OQR4" s="3469"/>
      <c r="OQS4" s="3469"/>
      <c r="OQT4" s="3469"/>
      <c r="OQU4" s="3469"/>
      <c r="OQV4" s="3469"/>
      <c r="OQW4" s="3469"/>
      <c r="OQX4" s="3469"/>
      <c r="OQY4" s="3469"/>
      <c r="OQZ4" s="3469"/>
      <c r="ORA4" s="3469"/>
      <c r="ORB4" s="3469"/>
      <c r="ORC4" s="3469"/>
      <c r="ORD4" s="3469"/>
      <c r="ORE4" s="3469"/>
      <c r="ORF4" s="3469"/>
      <c r="ORG4" s="3469"/>
      <c r="ORH4" s="3469"/>
      <c r="ORI4" s="3469"/>
      <c r="ORJ4" s="3469"/>
      <c r="ORK4" s="3469"/>
      <c r="ORL4" s="3469"/>
      <c r="ORM4" s="3469"/>
      <c r="ORN4" s="3469"/>
      <c r="ORO4" s="3469"/>
      <c r="ORP4" s="3469"/>
      <c r="ORQ4" s="3469"/>
      <c r="ORR4" s="3469"/>
      <c r="ORS4" s="3469"/>
      <c r="ORT4" s="3469"/>
      <c r="ORU4" s="3469"/>
      <c r="ORV4" s="3469"/>
      <c r="ORW4" s="3469"/>
      <c r="ORX4" s="3469"/>
      <c r="ORY4" s="3469"/>
      <c r="ORZ4" s="3469"/>
      <c r="OSA4" s="3469"/>
      <c r="OSB4" s="3469"/>
      <c r="OSC4" s="3469"/>
      <c r="OSD4" s="3469"/>
      <c r="OSE4" s="3469"/>
      <c r="OSF4" s="3469"/>
      <c r="OSG4" s="3469"/>
      <c r="OSH4" s="3469"/>
      <c r="OSI4" s="3469"/>
      <c r="OSJ4" s="3469"/>
      <c r="OSK4" s="3469"/>
      <c r="OSL4" s="3469"/>
      <c r="OSM4" s="3469"/>
      <c r="OSN4" s="3469"/>
      <c r="OSO4" s="3469"/>
      <c r="OSP4" s="3469"/>
      <c r="OSQ4" s="3469"/>
      <c r="OSR4" s="3469"/>
      <c r="OSS4" s="3469"/>
      <c r="OST4" s="3469"/>
      <c r="OSU4" s="3469"/>
      <c r="OSV4" s="3469"/>
      <c r="OSW4" s="3469"/>
      <c r="OSX4" s="3469"/>
      <c r="OSY4" s="3469"/>
      <c r="OSZ4" s="3469"/>
      <c r="OTA4" s="3469"/>
      <c r="OTB4" s="3469"/>
      <c r="OTC4" s="3469"/>
      <c r="OTD4" s="3469"/>
      <c r="OTE4" s="3469"/>
      <c r="OTF4" s="3469"/>
      <c r="OTG4" s="3469"/>
      <c r="OTH4" s="3469"/>
      <c r="OTI4" s="3469"/>
      <c r="OTJ4" s="3469"/>
      <c r="OTK4" s="3469"/>
      <c r="OTL4" s="3469"/>
      <c r="OTM4" s="3469"/>
      <c r="OTN4" s="3469"/>
      <c r="OTO4" s="3469"/>
      <c r="OTP4" s="3469"/>
      <c r="OTQ4" s="3469"/>
      <c r="OTR4" s="3469"/>
      <c r="OTS4" s="3469"/>
      <c r="OTT4" s="3469"/>
      <c r="OTU4" s="3469"/>
      <c r="OTV4" s="3469"/>
      <c r="OTW4" s="3469"/>
      <c r="OTX4" s="3469"/>
      <c r="OTY4" s="3469"/>
      <c r="OTZ4" s="3469"/>
      <c r="OUA4" s="3469"/>
      <c r="OUB4" s="3469"/>
      <c r="OUC4" s="3469"/>
      <c r="OUD4" s="3469"/>
      <c r="OUE4" s="3469"/>
      <c r="OUF4" s="3469"/>
      <c r="OUG4" s="3469"/>
      <c r="OUH4" s="3469"/>
      <c r="OUI4" s="3469"/>
      <c r="OUJ4" s="3469"/>
      <c r="OUK4" s="3469"/>
      <c r="OUL4" s="3469"/>
      <c r="OUM4" s="3469"/>
      <c r="OUN4" s="3469"/>
      <c r="OUO4" s="3469"/>
      <c r="OUP4" s="3469"/>
      <c r="OUQ4" s="3469"/>
      <c r="OUR4" s="3469"/>
      <c r="OUS4" s="3469"/>
      <c r="OUT4" s="3469"/>
      <c r="OUU4" s="3469"/>
      <c r="OUV4" s="3469"/>
      <c r="OUW4" s="3469"/>
      <c r="OUX4" s="3469"/>
      <c r="OUY4" s="3469"/>
      <c r="OUZ4" s="3469"/>
      <c r="OVA4" s="3469"/>
      <c r="OVB4" s="3469"/>
      <c r="OVC4" s="3469"/>
      <c r="OVD4" s="3469"/>
      <c r="OVE4" s="3469"/>
      <c r="OVF4" s="3469"/>
      <c r="OVG4" s="3469"/>
      <c r="OVH4" s="3469"/>
      <c r="OVI4" s="3469"/>
      <c r="OVJ4" s="3469"/>
      <c r="OVK4" s="3469"/>
      <c r="OVL4" s="3469"/>
      <c r="OVM4" s="3469"/>
      <c r="OVN4" s="3469"/>
      <c r="OVO4" s="3469"/>
      <c r="OVP4" s="3469"/>
      <c r="OVQ4" s="3469"/>
      <c r="OVR4" s="3469"/>
      <c r="OVS4" s="3469"/>
      <c r="OVT4" s="3469"/>
      <c r="OVU4" s="3469"/>
      <c r="OVV4" s="3469"/>
      <c r="OVW4" s="3469"/>
      <c r="OVX4" s="3469"/>
      <c r="OVY4" s="3469"/>
      <c r="OVZ4" s="3469"/>
      <c r="OWA4" s="3469"/>
      <c r="OWB4" s="3469"/>
      <c r="OWC4" s="3469"/>
      <c r="OWD4" s="3469"/>
      <c r="OWE4" s="3469"/>
      <c r="OWF4" s="3469"/>
      <c r="OWG4" s="3469"/>
      <c r="OWH4" s="3469"/>
      <c r="OWI4" s="3469"/>
      <c r="OWJ4" s="3469"/>
      <c r="OWK4" s="3469"/>
      <c r="OWL4" s="3469"/>
      <c r="OWM4" s="3469"/>
      <c r="OWN4" s="3469"/>
      <c r="OWO4" s="3469"/>
      <c r="OWP4" s="3469"/>
      <c r="OWQ4" s="3469"/>
      <c r="OWR4" s="3469"/>
      <c r="OWS4" s="3469"/>
      <c r="OWT4" s="3469"/>
      <c r="OWU4" s="3469"/>
      <c r="OWV4" s="3469"/>
      <c r="OWW4" s="3469"/>
      <c r="OWX4" s="3469"/>
      <c r="OWY4" s="3469"/>
      <c r="OWZ4" s="3469"/>
      <c r="OXA4" s="3469"/>
      <c r="OXB4" s="3469"/>
      <c r="OXC4" s="3469"/>
      <c r="OXD4" s="3469"/>
      <c r="OXE4" s="3469"/>
      <c r="OXF4" s="3469"/>
      <c r="OXG4" s="3469"/>
      <c r="OXH4" s="3469"/>
      <c r="OXI4" s="3469"/>
      <c r="OXJ4" s="3469"/>
      <c r="OXK4" s="3469"/>
      <c r="OXL4" s="3469"/>
      <c r="OXM4" s="3469"/>
      <c r="OXN4" s="3469"/>
      <c r="OXO4" s="3469"/>
      <c r="OXP4" s="3469"/>
      <c r="OXQ4" s="3469"/>
      <c r="OXR4" s="3469"/>
      <c r="OXS4" s="3469"/>
      <c r="OXT4" s="3469"/>
      <c r="OXU4" s="3469"/>
      <c r="OXV4" s="3469"/>
      <c r="OXW4" s="3469"/>
      <c r="OXX4" s="3469"/>
      <c r="OXY4" s="3469"/>
      <c r="OXZ4" s="3469"/>
      <c r="OYA4" s="3469"/>
      <c r="OYB4" s="3469"/>
      <c r="OYC4" s="3469"/>
      <c r="OYD4" s="3469"/>
      <c r="OYE4" s="3469"/>
      <c r="OYF4" s="3469"/>
      <c r="OYG4" s="3469"/>
      <c r="OYH4" s="3469"/>
      <c r="OYI4" s="3469"/>
      <c r="OYJ4" s="3469"/>
      <c r="OYK4" s="3469"/>
      <c r="OYL4" s="3469"/>
      <c r="OYM4" s="3469"/>
      <c r="OYN4" s="3469"/>
      <c r="OYO4" s="3469"/>
      <c r="OYP4" s="3469"/>
      <c r="OYQ4" s="3469"/>
      <c r="OYR4" s="3469"/>
      <c r="OYS4" s="3469"/>
      <c r="OYT4" s="3469"/>
      <c r="OYU4" s="3469"/>
      <c r="OYV4" s="3469"/>
      <c r="OYW4" s="3469"/>
      <c r="OYX4" s="3469"/>
      <c r="OYY4" s="3469"/>
      <c r="OYZ4" s="3469"/>
      <c r="OZA4" s="3469"/>
      <c r="OZB4" s="3469"/>
      <c r="OZC4" s="3469"/>
      <c r="OZD4" s="3469"/>
      <c r="OZE4" s="3469"/>
      <c r="OZF4" s="3469"/>
      <c r="OZG4" s="3469"/>
      <c r="OZH4" s="3469"/>
      <c r="OZI4" s="3469"/>
      <c r="OZJ4" s="3469"/>
      <c r="OZK4" s="3469"/>
      <c r="OZL4" s="3469"/>
      <c r="OZM4" s="3469"/>
      <c r="OZN4" s="3469"/>
      <c r="OZO4" s="3469"/>
      <c r="OZP4" s="3469"/>
      <c r="OZQ4" s="3469"/>
      <c r="OZR4" s="3469"/>
      <c r="OZS4" s="3469"/>
      <c r="OZT4" s="3469"/>
      <c r="OZU4" s="3469"/>
      <c r="OZV4" s="3469"/>
      <c r="OZW4" s="3469"/>
      <c r="OZX4" s="3469"/>
      <c r="OZY4" s="3469"/>
      <c r="OZZ4" s="3469"/>
      <c r="PAA4" s="3469"/>
      <c r="PAB4" s="3469"/>
      <c r="PAC4" s="3469"/>
      <c r="PAD4" s="3469"/>
      <c r="PAE4" s="3469"/>
      <c r="PAF4" s="3469"/>
      <c r="PAG4" s="3469"/>
      <c r="PAH4" s="3469"/>
      <c r="PAI4" s="3469"/>
      <c r="PAJ4" s="3469"/>
      <c r="PAK4" s="3469"/>
      <c r="PAL4" s="3469"/>
      <c r="PAM4" s="3469"/>
      <c r="PAN4" s="3469"/>
      <c r="PAO4" s="3469"/>
      <c r="PAP4" s="3469"/>
      <c r="PAQ4" s="3469"/>
      <c r="PAR4" s="3469"/>
      <c r="PAS4" s="3469"/>
      <c r="PAT4" s="3469"/>
      <c r="PAU4" s="3469"/>
      <c r="PAV4" s="3469"/>
      <c r="PAW4" s="3469"/>
      <c r="PAX4" s="3469"/>
      <c r="PAY4" s="3469"/>
      <c r="PAZ4" s="3469"/>
      <c r="PBA4" s="3469"/>
      <c r="PBB4" s="3469"/>
      <c r="PBC4" s="3469"/>
      <c r="PBD4" s="3469"/>
      <c r="PBE4" s="3469"/>
      <c r="PBF4" s="3469"/>
      <c r="PBG4" s="3469"/>
      <c r="PBH4" s="3469"/>
      <c r="PBI4" s="3469"/>
      <c r="PBJ4" s="3469"/>
      <c r="PBK4" s="3469"/>
      <c r="PBL4" s="3469"/>
      <c r="PBM4" s="3469"/>
      <c r="PBN4" s="3469"/>
      <c r="PBO4" s="3469"/>
      <c r="PBP4" s="3469"/>
      <c r="PBQ4" s="3469"/>
      <c r="PBR4" s="3469"/>
      <c r="PBS4" s="3469"/>
      <c r="PBT4" s="3469"/>
      <c r="PBU4" s="3469"/>
      <c r="PBV4" s="3469"/>
      <c r="PBW4" s="3469"/>
      <c r="PBX4" s="3469"/>
      <c r="PBY4" s="3469"/>
      <c r="PBZ4" s="3469"/>
      <c r="PCA4" s="3469"/>
      <c r="PCB4" s="3469"/>
      <c r="PCC4" s="3469"/>
      <c r="PCD4" s="3469"/>
      <c r="PCE4" s="3469"/>
      <c r="PCF4" s="3469"/>
      <c r="PCG4" s="3469"/>
      <c r="PCH4" s="3469"/>
      <c r="PCI4" s="3469"/>
      <c r="PCJ4" s="3469"/>
      <c r="PCK4" s="3469"/>
      <c r="PCL4" s="3469"/>
      <c r="PCM4" s="3469"/>
      <c r="PCN4" s="3469"/>
      <c r="PCO4" s="3469"/>
      <c r="PCP4" s="3469"/>
      <c r="PCQ4" s="3469"/>
      <c r="PCR4" s="3469"/>
      <c r="PCS4" s="3469"/>
      <c r="PCT4" s="3469"/>
      <c r="PCU4" s="3469"/>
      <c r="PCV4" s="3469"/>
      <c r="PCW4" s="3469"/>
      <c r="PCX4" s="3469"/>
      <c r="PCY4" s="3469"/>
      <c r="PCZ4" s="3469"/>
      <c r="PDA4" s="3469"/>
      <c r="PDB4" s="3469"/>
      <c r="PDC4" s="3469"/>
      <c r="PDD4" s="3469"/>
      <c r="PDE4" s="3469"/>
      <c r="PDF4" s="3469"/>
      <c r="PDG4" s="3469"/>
      <c r="PDH4" s="3469"/>
      <c r="PDI4" s="3469"/>
      <c r="PDJ4" s="3469"/>
      <c r="PDK4" s="3469"/>
      <c r="PDL4" s="3469"/>
      <c r="PDM4" s="3469"/>
      <c r="PDN4" s="3469"/>
      <c r="PDO4" s="3469"/>
      <c r="PDP4" s="3469"/>
      <c r="PDQ4" s="3469"/>
      <c r="PDR4" s="3469"/>
      <c r="PDS4" s="3469"/>
      <c r="PDT4" s="3469"/>
      <c r="PDU4" s="3469"/>
      <c r="PDV4" s="3469"/>
      <c r="PDW4" s="3469"/>
      <c r="PDX4" s="3469"/>
      <c r="PDY4" s="3469"/>
      <c r="PDZ4" s="3469"/>
      <c r="PEA4" s="3469"/>
      <c r="PEB4" s="3469"/>
      <c r="PEC4" s="3469"/>
      <c r="PED4" s="3469"/>
      <c r="PEE4" s="3469"/>
      <c r="PEF4" s="3469"/>
      <c r="PEG4" s="3469"/>
      <c r="PEH4" s="3469"/>
      <c r="PEI4" s="3469"/>
      <c r="PEJ4" s="3469"/>
      <c r="PEK4" s="3469"/>
      <c r="PEL4" s="3469"/>
      <c r="PEM4" s="3469"/>
      <c r="PEN4" s="3469"/>
      <c r="PEO4" s="3469"/>
      <c r="PEP4" s="3469"/>
      <c r="PEQ4" s="3469"/>
      <c r="PER4" s="3469"/>
      <c r="PES4" s="3469"/>
      <c r="PET4" s="3469"/>
      <c r="PEU4" s="3469"/>
      <c r="PEV4" s="3469"/>
      <c r="PEW4" s="3469"/>
      <c r="PEX4" s="3469"/>
      <c r="PEY4" s="3469"/>
      <c r="PEZ4" s="3469"/>
      <c r="PFA4" s="3469"/>
      <c r="PFB4" s="3469"/>
      <c r="PFC4" s="3469"/>
      <c r="PFD4" s="3469"/>
      <c r="PFE4" s="3469"/>
      <c r="PFF4" s="3469"/>
      <c r="PFG4" s="3469"/>
      <c r="PFH4" s="3469"/>
      <c r="PFI4" s="3469"/>
      <c r="PFJ4" s="3469"/>
      <c r="PFK4" s="3469"/>
      <c r="PFL4" s="3469"/>
      <c r="PFM4" s="3469"/>
      <c r="PFN4" s="3469"/>
      <c r="PFO4" s="3469"/>
      <c r="PFP4" s="3469"/>
      <c r="PFQ4" s="3469"/>
      <c r="PFR4" s="3469"/>
      <c r="PFS4" s="3469"/>
      <c r="PFT4" s="3469"/>
      <c r="PFU4" s="3469"/>
      <c r="PFV4" s="3469"/>
      <c r="PFW4" s="3469"/>
      <c r="PFX4" s="3469"/>
      <c r="PFY4" s="3469"/>
      <c r="PFZ4" s="3469"/>
      <c r="PGA4" s="3469"/>
      <c r="PGB4" s="3469"/>
      <c r="PGC4" s="3469"/>
      <c r="PGD4" s="3469"/>
      <c r="PGE4" s="3469"/>
      <c r="PGF4" s="3469"/>
      <c r="PGG4" s="3469"/>
      <c r="PGH4" s="3469"/>
      <c r="PGI4" s="3469"/>
      <c r="PGJ4" s="3469"/>
      <c r="PGK4" s="3469"/>
      <c r="PGL4" s="3469"/>
      <c r="PGM4" s="3469"/>
      <c r="PGN4" s="3469"/>
      <c r="PGO4" s="3469"/>
      <c r="PGP4" s="3469"/>
      <c r="PGQ4" s="3469"/>
      <c r="PGR4" s="3469"/>
      <c r="PGS4" s="3469"/>
      <c r="PGT4" s="3469"/>
      <c r="PGU4" s="3469"/>
      <c r="PGV4" s="3469"/>
      <c r="PGW4" s="3469"/>
      <c r="PGX4" s="3469"/>
      <c r="PGY4" s="3469"/>
      <c r="PGZ4" s="3469"/>
      <c r="PHA4" s="3469"/>
      <c r="PHB4" s="3469"/>
      <c r="PHC4" s="3469"/>
      <c r="PHD4" s="3469"/>
      <c r="PHE4" s="3469"/>
      <c r="PHF4" s="3469"/>
      <c r="PHG4" s="3469"/>
      <c r="PHH4" s="3469"/>
      <c r="PHI4" s="3469"/>
      <c r="PHJ4" s="3469"/>
      <c r="PHK4" s="3469"/>
      <c r="PHL4" s="3469"/>
      <c r="PHM4" s="3469"/>
      <c r="PHN4" s="3469"/>
      <c r="PHO4" s="3469"/>
      <c r="PHP4" s="3469"/>
      <c r="PHQ4" s="3469"/>
      <c r="PHR4" s="3469"/>
      <c r="PHS4" s="3469"/>
      <c r="PHT4" s="3469"/>
      <c r="PHU4" s="3469"/>
      <c r="PHV4" s="3469"/>
      <c r="PHW4" s="3469"/>
      <c r="PHX4" s="3469"/>
      <c r="PHY4" s="3469"/>
      <c r="PHZ4" s="3469"/>
      <c r="PIA4" s="3469"/>
      <c r="PIB4" s="3469"/>
      <c r="PIC4" s="3469"/>
      <c r="PID4" s="3469"/>
      <c r="PIE4" s="3469"/>
      <c r="PIF4" s="3469"/>
      <c r="PIG4" s="3469"/>
      <c r="PIH4" s="3469"/>
      <c r="PII4" s="3469"/>
      <c r="PIJ4" s="3469"/>
      <c r="PIK4" s="3469"/>
      <c r="PIL4" s="3469"/>
      <c r="PIM4" s="3469"/>
      <c r="PIN4" s="3469"/>
      <c r="PIO4" s="3469"/>
      <c r="PIP4" s="3469"/>
      <c r="PIQ4" s="3469"/>
      <c r="PIR4" s="3469"/>
      <c r="PIS4" s="3469"/>
      <c r="PIT4" s="3469"/>
      <c r="PIU4" s="3469"/>
      <c r="PIV4" s="3469"/>
      <c r="PIW4" s="3469"/>
      <c r="PIX4" s="3469"/>
      <c r="PIY4" s="3469"/>
      <c r="PIZ4" s="3469"/>
      <c r="PJA4" s="3469"/>
      <c r="PJB4" s="3469"/>
      <c r="PJC4" s="3469"/>
      <c r="PJD4" s="3469"/>
      <c r="PJE4" s="3469"/>
      <c r="PJF4" s="3469"/>
      <c r="PJG4" s="3469"/>
      <c r="PJH4" s="3469"/>
      <c r="PJI4" s="3469"/>
      <c r="PJJ4" s="3469"/>
      <c r="PJK4" s="3469"/>
      <c r="PJL4" s="3469"/>
      <c r="PJM4" s="3469"/>
      <c r="PJN4" s="3469"/>
      <c r="PJO4" s="3469"/>
      <c r="PJP4" s="3469"/>
      <c r="PJQ4" s="3469"/>
      <c r="PJR4" s="3469"/>
      <c r="PJS4" s="3469"/>
      <c r="PJT4" s="3469"/>
      <c r="PJU4" s="3469"/>
      <c r="PJV4" s="3469"/>
      <c r="PJW4" s="3469"/>
      <c r="PJX4" s="3469"/>
      <c r="PJY4" s="3469"/>
      <c r="PJZ4" s="3469"/>
      <c r="PKA4" s="3469"/>
      <c r="PKB4" s="3469"/>
      <c r="PKC4" s="3469"/>
      <c r="PKD4" s="3469"/>
      <c r="PKE4" s="3469"/>
      <c r="PKF4" s="3469"/>
      <c r="PKG4" s="3469"/>
      <c r="PKH4" s="3469"/>
      <c r="PKI4" s="3469"/>
      <c r="PKJ4" s="3469"/>
      <c r="PKK4" s="3469"/>
      <c r="PKL4" s="3469"/>
      <c r="PKM4" s="3469"/>
      <c r="PKN4" s="3469"/>
      <c r="PKO4" s="3469"/>
      <c r="PKP4" s="3469"/>
      <c r="PKQ4" s="3469"/>
      <c r="PKR4" s="3469"/>
      <c r="PKS4" s="3469"/>
      <c r="PKT4" s="3469"/>
      <c r="PKU4" s="3469"/>
      <c r="PKV4" s="3469"/>
      <c r="PKW4" s="3469"/>
      <c r="PKX4" s="3469"/>
      <c r="PKY4" s="3469"/>
      <c r="PKZ4" s="3469"/>
      <c r="PLA4" s="3469"/>
      <c r="PLB4" s="3469"/>
      <c r="PLC4" s="3469"/>
      <c r="PLD4" s="3469"/>
      <c r="PLE4" s="3469"/>
      <c r="PLF4" s="3469"/>
      <c r="PLG4" s="3469"/>
      <c r="PLH4" s="3469"/>
      <c r="PLI4" s="3469"/>
      <c r="PLJ4" s="3469"/>
      <c r="PLK4" s="3469"/>
      <c r="PLL4" s="3469"/>
      <c r="PLM4" s="3469"/>
      <c r="PLN4" s="3469"/>
      <c r="PLO4" s="3469"/>
      <c r="PLP4" s="3469"/>
      <c r="PLQ4" s="3469"/>
      <c r="PLR4" s="3469"/>
      <c r="PLS4" s="3469"/>
      <c r="PLT4" s="3469"/>
      <c r="PLU4" s="3469"/>
      <c r="PLV4" s="3469"/>
      <c r="PLW4" s="3469"/>
      <c r="PLX4" s="3469"/>
      <c r="PLY4" s="3469"/>
      <c r="PLZ4" s="3469"/>
      <c r="PMA4" s="3469"/>
      <c r="PMB4" s="3469"/>
      <c r="PMC4" s="3469"/>
      <c r="PMD4" s="3469"/>
      <c r="PME4" s="3469"/>
      <c r="PMF4" s="3469"/>
      <c r="PMG4" s="3469"/>
      <c r="PMH4" s="3469"/>
      <c r="PMI4" s="3469"/>
      <c r="PMJ4" s="3469"/>
      <c r="PMK4" s="3469"/>
      <c r="PML4" s="3469"/>
      <c r="PMM4" s="3469"/>
      <c r="PMN4" s="3469"/>
      <c r="PMO4" s="3469"/>
      <c r="PMP4" s="3469"/>
      <c r="PMQ4" s="3469"/>
      <c r="PMR4" s="3469"/>
      <c r="PMS4" s="3469"/>
      <c r="PMT4" s="3469"/>
      <c r="PMU4" s="3469"/>
      <c r="PMV4" s="3469"/>
      <c r="PMW4" s="3469"/>
      <c r="PMX4" s="3469"/>
      <c r="PMY4" s="3469"/>
      <c r="PMZ4" s="3469"/>
      <c r="PNA4" s="3469"/>
      <c r="PNB4" s="3469"/>
      <c r="PNC4" s="3469"/>
      <c r="PND4" s="3469"/>
      <c r="PNE4" s="3469"/>
      <c r="PNF4" s="3469"/>
      <c r="PNG4" s="3469"/>
      <c r="PNH4" s="3469"/>
      <c r="PNI4" s="3469"/>
      <c r="PNJ4" s="3469"/>
      <c r="PNK4" s="3469"/>
      <c r="PNL4" s="3469"/>
      <c r="PNM4" s="3469"/>
      <c r="PNN4" s="3469"/>
      <c r="PNO4" s="3469"/>
      <c r="PNP4" s="3469"/>
      <c r="PNQ4" s="3469"/>
      <c r="PNR4" s="3469"/>
      <c r="PNS4" s="3469"/>
      <c r="PNT4" s="3469"/>
      <c r="PNU4" s="3469"/>
      <c r="PNV4" s="3469"/>
      <c r="PNW4" s="3469"/>
      <c r="PNX4" s="3469"/>
      <c r="PNY4" s="3469"/>
      <c r="PNZ4" s="3469"/>
      <c r="POA4" s="3469"/>
      <c r="POB4" s="3469"/>
      <c r="POC4" s="3469"/>
      <c r="POD4" s="3469"/>
      <c r="POE4" s="3469"/>
      <c r="POF4" s="3469"/>
      <c r="POG4" s="3469"/>
      <c r="POH4" s="3469"/>
      <c r="POI4" s="3469"/>
      <c r="POJ4" s="3469"/>
      <c r="POK4" s="3469"/>
      <c r="POL4" s="3469"/>
      <c r="POM4" s="3469"/>
      <c r="PON4" s="3469"/>
      <c r="POO4" s="3469"/>
      <c r="POP4" s="3469"/>
      <c r="POQ4" s="3469"/>
      <c r="POR4" s="3469"/>
      <c r="POS4" s="3469"/>
      <c r="POT4" s="3469"/>
      <c r="POU4" s="3469"/>
      <c r="POV4" s="3469"/>
      <c r="POW4" s="3469"/>
      <c r="POX4" s="3469"/>
      <c r="POY4" s="3469"/>
      <c r="POZ4" s="3469"/>
      <c r="PPA4" s="3469"/>
      <c r="PPB4" s="3469"/>
      <c r="PPC4" s="3469"/>
      <c r="PPD4" s="3469"/>
      <c r="PPE4" s="3469"/>
      <c r="PPF4" s="3469"/>
      <c r="PPG4" s="3469"/>
      <c r="PPH4" s="3469"/>
      <c r="PPI4" s="3469"/>
      <c r="PPJ4" s="3469"/>
      <c r="PPK4" s="3469"/>
      <c r="PPL4" s="3469"/>
      <c r="PPM4" s="3469"/>
      <c r="PPN4" s="3469"/>
      <c r="PPO4" s="3469"/>
      <c r="PPP4" s="3469"/>
      <c r="PPQ4" s="3469"/>
      <c r="PPR4" s="3469"/>
      <c r="PPS4" s="3469"/>
      <c r="PPT4" s="3469"/>
      <c r="PPU4" s="3469"/>
      <c r="PPV4" s="3469"/>
      <c r="PPW4" s="3469"/>
      <c r="PPX4" s="3469"/>
      <c r="PPY4" s="3469"/>
      <c r="PPZ4" s="3469"/>
      <c r="PQA4" s="3469"/>
      <c r="PQB4" s="3469"/>
      <c r="PQC4" s="3469"/>
      <c r="PQD4" s="3469"/>
      <c r="PQE4" s="3469"/>
      <c r="PQF4" s="3469"/>
      <c r="PQG4" s="3469"/>
      <c r="PQH4" s="3469"/>
      <c r="PQI4" s="3469"/>
      <c r="PQJ4" s="3469"/>
      <c r="PQK4" s="3469"/>
      <c r="PQL4" s="3469"/>
      <c r="PQM4" s="3469"/>
      <c r="PQN4" s="3469"/>
      <c r="PQO4" s="3469"/>
      <c r="PQP4" s="3469"/>
      <c r="PQQ4" s="3469"/>
      <c r="PQR4" s="3469"/>
      <c r="PQS4" s="3469"/>
      <c r="PQT4" s="3469"/>
      <c r="PQU4" s="3469"/>
      <c r="PQV4" s="3469"/>
      <c r="PQW4" s="3469"/>
      <c r="PQX4" s="3469"/>
      <c r="PQY4" s="3469"/>
      <c r="PQZ4" s="3469"/>
      <c r="PRA4" s="3469"/>
      <c r="PRB4" s="3469"/>
      <c r="PRC4" s="3469"/>
      <c r="PRD4" s="3469"/>
      <c r="PRE4" s="3469"/>
      <c r="PRF4" s="3469"/>
      <c r="PRG4" s="3469"/>
      <c r="PRH4" s="3469"/>
      <c r="PRI4" s="3469"/>
      <c r="PRJ4" s="3469"/>
      <c r="PRK4" s="3469"/>
      <c r="PRL4" s="3469"/>
      <c r="PRM4" s="3469"/>
      <c r="PRN4" s="3469"/>
      <c r="PRO4" s="3469"/>
      <c r="PRP4" s="3469"/>
      <c r="PRQ4" s="3469"/>
      <c r="PRR4" s="3469"/>
      <c r="PRS4" s="3469"/>
      <c r="PRT4" s="3469"/>
      <c r="PRU4" s="3469"/>
      <c r="PRV4" s="3469"/>
      <c r="PRW4" s="3469"/>
      <c r="PRX4" s="3469"/>
      <c r="PRY4" s="3469"/>
      <c r="PRZ4" s="3469"/>
      <c r="PSA4" s="3469"/>
      <c r="PSB4" s="3469"/>
      <c r="PSC4" s="3469"/>
      <c r="PSD4" s="3469"/>
      <c r="PSE4" s="3469"/>
      <c r="PSF4" s="3469"/>
      <c r="PSG4" s="3469"/>
      <c r="PSH4" s="3469"/>
      <c r="PSI4" s="3469"/>
      <c r="PSJ4" s="3469"/>
      <c r="PSK4" s="3469"/>
      <c r="PSL4" s="3469"/>
      <c r="PSM4" s="3469"/>
      <c r="PSN4" s="3469"/>
      <c r="PSO4" s="3469"/>
      <c r="PSP4" s="3469"/>
      <c r="PSQ4" s="3469"/>
      <c r="PSR4" s="3469"/>
      <c r="PSS4" s="3469"/>
      <c r="PST4" s="3469"/>
      <c r="PSU4" s="3469"/>
      <c r="PSV4" s="3469"/>
      <c r="PSW4" s="3469"/>
      <c r="PSX4" s="3469"/>
      <c r="PSY4" s="3469"/>
      <c r="PSZ4" s="3469"/>
      <c r="PTA4" s="3469"/>
      <c r="PTB4" s="3469"/>
      <c r="PTC4" s="3469"/>
      <c r="PTD4" s="3469"/>
      <c r="PTE4" s="3469"/>
      <c r="PTF4" s="3469"/>
      <c r="PTG4" s="3469"/>
      <c r="PTH4" s="3469"/>
      <c r="PTI4" s="3469"/>
      <c r="PTJ4" s="3469"/>
      <c r="PTK4" s="3469"/>
      <c r="PTL4" s="3469"/>
      <c r="PTM4" s="3469"/>
      <c r="PTN4" s="3469"/>
      <c r="PTO4" s="3469"/>
      <c r="PTP4" s="3469"/>
      <c r="PTQ4" s="3469"/>
      <c r="PTR4" s="3469"/>
      <c r="PTS4" s="3469"/>
      <c r="PTT4" s="3469"/>
      <c r="PTU4" s="3469"/>
      <c r="PTV4" s="3469"/>
      <c r="PTW4" s="3469"/>
      <c r="PTX4" s="3469"/>
      <c r="PTY4" s="3469"/>
      <c r="PTZ4" s="3469"/>
      <c r="PUA4" s="3469"/>
      <c r="PUB4" s="3469"/>
      <c r="PUC4" s="3469"/>
      <c r="PUD4" s="3469"/>
      <c r="PUE4" s="3469"/>
      <c r="PUF4" s="3469"/>
      <c r="PUG4" s="3469"/>
      <c r="PUH4" s="3469"/>
      <c r="PUI4" s="3469"/>
      <c r="PUJ4" s="3469"/>
      <c r="PUK4" s="3469"/>
      <c r="PUL4" s="3469"/>
      <c r="PUM4" s="3469"/>
      <c r="PUN4" s="3469"/>
      <c r="PUO4" s="3469"/>
      <c r="PUP4" s="3469"/>
      <c r="PUQ4" s="3469"/>
      <c r="PUR4" s="3469"/>
      <c r="PUS4" s="3469"/>
      <c r="PUT4" s="3469"/>
      <c r="PUU4" s="3469"/>
      <c r="PUV4" s="3469"/>
      <c r="PUW4" s="3469"/>
      <c r="PUX4" s="3469"/>
      <c r="PUY4" s="3469"/>
      <c r="PUZ4" s="3469"/>
      <c r="PVA4" s="3469"/>
      <c r="PVB4" s="3469"/>
      <c r="PVC4" s="3469"/>
      <c r="PVD4" s="3469"/>
      <c r="PVE4" s="3469"/>
      <c r="PVF4" s="3469"/>
      <c r="PVG4" s="3469"/>
      <c r="PVH4" s="3469"/>
      <c r="PVI4" s="3469"/>
      <c r="PVJ4" s="3469"/>
      <c r="PVK4" s="3469"/>
      <c r="PVL4" s="3469"/>
      <c r="PVM4" s="3469"/>
      <c r="PVN4" s="3469"/>
      <c r="PVO4" s="3469"/>
      <c r="PVP4" s="3469"/>
      <c r="PVQ4" s="3469"/>
      <c r="PVR4" s="3469"/>
      <c r="PVS4" s="3469"/>
      <c r="PVT4" s="3469"/>
      <c r="PVU4" s="3469"/>
      <c r="PVV4" s="3469"/>
      <c r="PVW4" s="3469"/>
      <c r="PVX4" s="3469"/>
      <c r="PVY4" s="3469"/>
      <c r="PVZ4" s="3469"/>
      <c r="PWA4" s="3469"/>
      <c r="PWB4" s="3469"/>
      <c r="PWC4" s="3469"/>
      <c r="PWD4" s="3469"/>
      <c r="PWE4" s="3469"/>
      <c r="PWF4" s="3469"/>
      <c r="PWG4" s="3469"/>
      <c r="PWH4" s="3469"/>
      <c r="PWI4" s="3469"/>
      <c r="PWJ4" s="3469"/>
      <c r="PWK4" s="3469"/>
      <c r="PWL4" s="3469"/>
      <c r="PWM4" s="3469"/>
      <c r="PWN4" s="3469"/>
      <c r="PWO4" s="3469"/>
      <c r="PWP4" s="3469"/>
      <c r="PWQ4" s="3469"/>
      <c r="PWR4" s="3469"/>
      <c r="PWS4" s="3469"/>
      <c r="PWT4" s="3469"/>
      <c r="PWU4" s="3469"/>
      <c r="PWV4" s="3469"/>
      <c r="PWW4" s="3469"/>
      <c r="PWX4" s="3469"/>
      <c r="PWY4" s="3469"/>
      <c r="PWZ4" s="3469"/>
      <c r="PXA4" s="3469"/>
      <c r="PXB4" s="3469"/>
      <c r="PXC4" s="3469"/>
      <c r="PXD4" s="3469"/>
      <c r="PXE4" s="3469"/>
      <c r="PXF4" s="3469"/>
      <c r="PXG4" s="3469"/>
      <c r="PXH4" s="3469"/>
      <c r="PXI4" s="3469"/>
      <c r="PXJ4" s="3469"/>
      <c r="PXK4" s="3469"/>
      <c r="PXL4" s="3469"/>
      <c r="PXM4" s="3469"/>
      <c r="PXN4" s="3469"/>
      <c r="PXO4" s="3469"/>
      <c r="PXP4" s="3469"/>
      <c r="PXQ4" s="3469"/>
      <c r="PXR4" s="3469"/>
      <c r="PXS4" s="3469"/>
      <c r="PXT4" s="3469"/>
      <c r="PXU4" s="3469"/>
      <c r="PXV4" s="3469"/>
      <c r="PXW4" s="3469"/>
      <c r="PXX4" s="3469"/>
      <c r="PXY4" s="3469"/>
      <c r="PXZ4" s="3469"/>
      <c r="PYA4" s="3469"/>
      <c r="PYB4" s="3469"/>
      <c r="PYC4" s="3469"/>
      <c r="PYD4" s="3469"/>
      <c r="PYE4" s="3469"/>
      <c r="PYF4" s="3469"/>
      <c r="PYG4" s="3469"/>
      <c r="PYH4" s="3469"/>
      <c r="PYI4" s="3469"/>
      <c r="PYJ4" s="3469"/>
      <c r="PYK4" s="3469"/>
      <c r="PYL4" s="3469"/>
      <c r="PYM4" s="3469"/>
      <c r="PYN4" s="3469"/>
      <c r="PYO4" s="3469"/>
      <c r="PYP4" s="3469"/>
      <c r="PYQ4" s="3469"/>
      <c r="PYR4" s="3469"/>
      <c r="PYS4" s="3469"/>
      <c r="PYT4" s="3469"/>
      <c r="PYU4" s="3469"/>
      <c r="PYV4" s="3469"/>
      <c r="PYW4" s="3469"/>
      <c r="PYX4" s="3469"/>
      <c r="PYY4" s="3469"/>
      <c r="PYZ4" s="3469"/>
      <c r="PZA4" s="3469"/>
      <c r="PZB4" s="3469"/>
      <c r="PZC4" s="3469"/>
      <c r="PZD4" s="3469"/>
      <c r="PZE4" s="3469"/>
      <c r="PZF4" s="3469"/>
      <c r="PZG4" s="3469"/>
      <c r="PZH4" s="3469"/>
      <c r="PZI4" s="3469"/>
      <c r="PZJ4" s="3469"/>
      <c r="PZK4" s="3469"/>
      <c r="PZL4" s="3469"/>
      <c r="PZM4" s="3469"/>
      <c r="PZN4" s="3469"/>
      <c r="PZO4" s="3469"/>
      <c r="PZP4" s="3469"/>
      <c r="PZQ4" s="3469"/>
      <c r="PZR4" s="3469"/>
      <c r="PZS4" s="3469"/>
      <c r="PZT4" s="3469"/>
      <c r="PZU4" s="3469"/>
      <c r="PZV4" s="3469"/>
      <c r="PZW4" s="3469"/>
      <c r="PZX4" s="3469"/>
      <c r="PZY4" s="3469"/>
      <c r="PZZ4" s="3469"/>
      <c r="QAA4" s="3469"/>
      <c r="QAB4" s="3469"/>
      <c r="QAC4" s="3469"/>
      <c r="QAD4" s="3469"/>
      <c r="QAE4" s="3469"/>
      <c r="QAF4" s="3469"/>
      <c r="QAG4" s="3469"/>
      <c r="QAH4" s="3469"/>
      <c r="QAI4" s="3469"/>
      <c r="QAJ4" s="3469"/>
      <c r="QAK4" s="3469"/>
      <c r="QAL4" s="3469"/>
      <c r="QAM4" s="3469"/>
      <c r="QAN4" s="3469"/>
      <c r="QAO4" s="3469"/>
      <c r="QAP4" s="3469"/>
      <c r="QAQ4" s="3469"/>
      <c r="QAR4" s="3469"/>
      <c r="QAS4" s="3469"/>
      <c r="QAT4" s="3469"/>
      <c r="QAU4" s="3469"/>
      <c r="QAV4" s="3469"/>
      <c r="QAW4" s="3469"/>
      <c r="QAX4" s="3469"/>
      <c r="QAY4" s="3469"/>
      <c r="QAZ4" s="3469"/>
      <c r="QBA4" s="3469"/>
      <c r="QBB4" s="3469"/>
      <c r="QBC4" s="3469"/>
      <c r="QBD4" s="3469"/>
      <c r="QBE4" s="3469"/>
      <c r="QBF4" s="3469"/>
      <c r="QBG4" s="3469"/>
      <c r="QBH4" s="3469"/>
      <c r="QBI4" s="3469"/>
      <c r="QBJ4" s="3469"/>
      <c r="QBK4" s="3469"/>
      <c r="QBL4" s="3469"/>
      <c r="QBM4" s="3469"/>
      <c r="QBN4" s="3469"/>
      <c r="QBO4" s="3469"/>
      <c r="QBP4" s="3469"/>
      <c r="QBQ4" s="3469"/>
      <c r="QBR4" s="3469"/>
      <c r="QBS4" s="3469"/>
      <c r="QBT4" s="3469"/>
      <c r="QBU4" s="3469"/>
      <c r="QBV4" s="3469"/>
      <c r="QBW4" s="3469"/>
      <c r="QBX4" s="3469"/>
      <c r="QBY4" s="3469"/>
      <c r="QBZ4" s="3469"/>
      <c r="QCA4" s="3469"/>
      <c r="QCB4" s="3469"/>
      <c r="QCC4" s="3469"/>
      <c r="QCD4" s="3469"/>
      <c r="QCE4" s="3469"/>
      <c r="QCF4" s="3469"/>
      <c r="QCG4" s="3469"/>
      <c r="QCH4" s="3469"/>
      <c r="QCI4" s="3469"/>
      <c r="QCJ4" s="3469"/>
      <c r="QCK4" s="3469"/>
      <c r="QCL4" s="3469"/>
      <c r="QCM4" s="3469"/>
      <c r="QCN4" s="3469"/>
      <c r="QCO4" s="3469"/>
      <c r="QCP4" s="3469"/>
      <c r="QCQ4" s="3469"/>
      <c r="QCR4" s="3469"/>
      <c r="QCS4" s="3469"/>
      <c r="QCT4" s="3469"/>
      <c r="QCU4" s="3469"/>
      <c r="QCV4" s="3469"/>
      <c r="QCW4" s="3469"/>
      <c r="QCX4" s="3469"/>
      <c r="QCY4" s="3469"/>
      <c r="QCZ4" s="3469"/>
      <c r="QDA4" s="3469"/>
      <c r="QDB4" s="3469"/>
      <c r="QDC4" s="3469"/>
      <c r="QDD4" s="3469"/>
      <c r="QDE4" s="3469"/>
      <c r="QDF4" s="3469"/>
      <c r="QDG4" s="3469"/>
      <c r="QDH4" s="3469"/>
      <c r="QDI4" s="3469"/>
      <c r="QDJ4" s="3469"/>
      <c r="QDK4" s="3469"/>
      <c r="QDL4" s="3469"/>
      <c r="QDM4" s="3469"/>
      <c r="QDN4" s="3469"/>
      <c r="QDO4" s="3469"/>
      <c r="QDP4" s="3469"/>
      <c r="QDQ4" s="3469"/>
      <c r="QDR4" s="3469"/>
      <c r="QDS4" s="3469"/>
      <c r="QDT4" s="3469"/>
      <c r="QDU4" s="3469"/>
      <c r="QDV4" s="3469"/>
      <c r="QDW4" s="3469"/>
      <c r="QDX4" s="3469"/>
      <c r="QDY4" s="3469"/>
      <c r="QDZ4" s="3469"/>
      <c r="QEA4" s="3469"/>
      <c r="QEB4" s="3469"/>
      <c r="QEC4" s="3469"/>
      <c r="QED4" s="3469"/>
      <c r="QEE4" s="3469"/>
      <c r="QEF4" s="3469"/>
      <c r="QEG4" s="3469"/>
      <c r="QEH4" s="3469"/>
      <c r="QEI4" s="3469"/>
      <c r="QEJ4" s="3469"/>
      <c r="QEK4" s="3469"/>
      <c r="QEL4" s="3469"/>
      <c r="QEM4" s="3469"/>
      <c r="QEN4" s="3469"/>
      <c r="QEO4" s="3469"/>
      <c r="QEP4" s="3469"/>
      <c r="QEQ4" s="3469"/>
      <c r="QER4" s="3469"/>
      <c r="QES4" s="3469"/>
      <c r="QET4" s="3469"/>
      <c r="QEU4" s="3469"/>
      <c r="QEV4" s="3469"/>
      <c r="QEW4" s="3469"/>
      <c r="QEX4" s="3469"/>
      <c r="QEY4" s="3469"/>
      <c r="QEZ4" s="3469"/>
      <c r="QFA4" s="3469"/>
      <c r="QFB4" s="3469"/>
      <c r="QFC4" s="3469"/>
      <c r="QFD4" s="3469"/>
      <c r="QFE4" s="3469"/>
      <c r="QFF4" s="3469"/>
      <c r="QFG4" s="3469"/>
      <c r="QFH4" s="3469"/>
      <c r="QFI4" s="3469"/>
      <c r="QFJ4" s="3469"/>
      <c r="QFK4" s="3469"/>
      <c r="QFL4" s="3469"/>
      <c r="QFM4" s="3469"/>
      <c r="QFN4" s="3469"/>
      <c r="QFO4" s="3469"/>
      <c r="QFP4" s="3469"/>
      <c r="QFQ4" s="3469"/>
      <c r="QFR4" s="3469"/>
      <c r="QFS4" s="3469"/>
      <c r="QFT4" s="3469"/>
      <c r="QFU4" s="3469"/>
      <c r="QFV4" s="3469"/>
      <c r="QFW4" s="3469"/>
      <c r="QFX4" s="3469"/>
      <c r="QFY4" s="3469"/>
      <c r="QFZ4" s="3469"/>
      <c r="QGA4" s="3469"/>
      <c r="QGB4" s="3469"/>
      <c r="QGC4" s="3469"/>
      <c r="QGD4" s="3469"/>
      <c r="QGE4" s="3469"/>
      <c r="QGF4" s="3469"/>
      <c r="QGG4" s="3469"/>
      <c r="QGH4" s="3469"/>
      <c r="QGI4" s="3469"/>
      <c r="QGJ4" s="3469"/>
      <c r="QGK4" s="3469"/>
      <c r="QGL4" s="3469"/>
      <c r="QGM4" s="3469"/>
      <c r="QGN4" s="3469"/>
      <c r="QGO4" s="3469"/>
      <c r="QGP4" s="3469"/>
      <c r="QGQ4" s="3469"/>
      <c r="QGR4" s="3469"/>
      <c r="QGS4" s="3469"/>
      <c r="QGT4" s="3469"/>
      <c r="QGU4" s="3469"/>
      <c r="QGV4" s="3469"/>
      <c r="QGW4" s="3469"/>
      <c r="QGX4" s="3469"/>
      <c r="QGY4" s="3469"/>
      <c r="QGZ4" s="3469"/>
      <c r="QHA4" s="3469"/>
      <c r="QHB4" s="3469"/>
      <c r="QHC4" s="3469"/>
      <c r="QHD4" s="3469"/>
      <c r="QHE4" s="3469"/>
      <c r="QHF4" s="3469"/>
      <c r="QHG4" s="3469"/>
      <c r="QHH4" s="3469"/>
      <c r="QHI4" s="3469"/>
      <c r="QHJ4" s="3469"/>
      <c r="QHK4" s="3469"/>
      <c r="QHL4" s="3469"/>
      <c r="QHM4" s="3469"/>
      <c r="QHN4" s="3469"/>
      <c r="QHO4" s="3469"/>
      <c r="QHP4" s="3469"/>
      <c r="QHQ4" s="3469"/>
      <c r="QHR4" s="3469"/>
      <c r="QHS4" s="3469"/>
      <c r="QHT4" s="3469"/>
      <c r="QHU4" s="3469"/>
      <c r="QHV4" s="3469"/>
      <c r="QHW4" s="3469"/>
      <c r="QHX4" s="3469"/>
      <c r="QHY4" s="3469"/>
      <c r="QHZ4" s="3469"/>
      <c r="QIA4" s="3469"/>
      <c r="QIB4" s="3469"/>
      <c r="QIC4" s="3469"/>
      <c r="QID4" s="3469"/>
      <c r="QIE4" s="3469"/>
      <c r="QIF4" s="3469"/>
      <c r="QIG4" s="3469"/>
      <c r="QIH4" s="3469"/>
      <c r="QII4" s="3469"/>
      <c r="QIJ4" s="3469"/>
      <c r="QIK4" s="3469"/>
      <c r="QIL4" s="3469"/>
      <c r="QIM4" s="3469"/>
      <c r="QIN4" s="3469"/>
      <c r="QIO4" s="3469"/>
      <c r="QIP4" s="3469"/>
      <c r="QIQ4" s="3469"/>
      <c r="QIR4" s="3469"/>
      <c r="QIS4" s="3469"/>
      <c r="QIT4" s="3469"/>
      <c r="QIU4" s="3469"/>
      <c r="QIV4" s="3469"/>
      <c r="QIW4" s="3469"/>
      <c r="QIX4" s="3469"/>
      <c r="QIY4" s="3469"/>
      <c r="QIZ4" s="3469"/>
      <c r="QJA4" s="3469"/>
      <c r="QJB4" s="3469"/>
      <c r="QJC4" s="3469"/>
      <c r="QJD4" s="3469"/>
      <c r="QJE4" s="3469"/>
      <c r="QJF4" s="3469"/>
      <c r="QJG4" s="3469"/>
      <c r="QJH4" s="3469"/>
      <c r="QJI4" s="3469"/>
      <c r="QJJ4" s="3469"/>
      <c r="QJK4" s="3469"/>
      <c r="QJL4" s="3469"/>
      <c r="QJM4" s="3469"/>
      <c r="QJN4" s="3469"/>
      <c r="QJO4" s="3469"/>
      <c r="QJP4" s="3469"/>
      <c r="QJQ4" s="3469"/>
      <c r="QJR4" s="3469"/>
      <c r="QJS4" s="3469"/>
      <c r="QJT4" s="3469"/>
      <c r="QJU4" s="3469"/>
      <c r="QJV4" s="3469"/>
      <c r="QJW4" s="3469"/>
      <c r="QJX4" s="3469"/>
      <c r="QJY4" s="3469"/>
      <c r="QJZ4" s="3469"/>
      <c r="QKA4" s="3469"/>
      <c r="QKB4" s="3469"/>
      <c r="QKC4" s="3469"/>
      <c r="QKD4" s="3469"/>
      <c r="QKE4" s="3469"/>
      <c r="QKF4" s="3469"/>
      <c r="QKG4" s="3469"/>
      <c r="QKH4" s="3469"/>
      <c r="QKI4" s="3469"/>
      <c r="QKJ4" s="3469"/>
      <c r="QKK4" s="3469"/>
      <c r="QKL4" s="3469"/>
      <c r="QKM4" s="3469"/>
      <c r="QKN4" s="3469"/>
      <c r="QKO4" s="3469"/>
      <c r="QKP4" s="3469"/>
      <c r="QKQ4" s="3469"/>
      <c r="QKR4" s="3469"/>
      <c r="QKS4" s="3469"/>
      <c r="QKT4" s="3469"/>
      <c r="QKU4" s="3469"/>
      <c r="QKV4" s="3469"/>
      <c r="QKW4" s="3469"/>
      <c r="QKX4" s="3469"/>
      <c r="QKY4" s="3469"/>
      <c r="QKZ4" s="3469"/>
      <c r="QLA4" s="3469"/>
      <c r="QLB4" s="3469"/>
      <c r="QLC4" s="3469"/>
      <c r="QLD4" s="3469"/>
      <c r="QLE4" s="3469"/>
      <c r="QLF4" s="3469"/>
      <c r="QLG4" s="3469"/>
      <c r="QLH4" s="3469"/>
      <c r="QLI4" s="3469"/>
      <c r="QLJ4" s="3469"/>
      <c r="QLK4" s="3469"/>
      <c r="QLL4" s="3469"/>
      <c r="QLM4" s="3469"/>
      <c r="QLN4" s="3469"/>
      <c r="QLO4" s="3469"/>
      <c r="QLP4" s="3469"/>
      <c r="QLQ4" s="3469"/>
      <c r="QLR4" s="3469"/>
      <c r="QLS4" s="3469"/>
      <c r="QLT4" s="3469"/>
      <c r="QLU4" s="3469"/>
      <c r="QLV4" s="3469"/>
      <c r="QLW4" s="3469"/>
      <c r="QLX4" s="3469"/>
      <c r="QLY4" s="3469"/>
      <c r="QLZ4" s="3469"/>
      <c r="QMA4" s="3469"/>
      <c r="QMB4" s="3469"/>
      <c r="QMC4" s="3469"/>
      <c r="QMD4" s="3469"/>
      <c r="QME4" s="3469"/>
      <c r="QMF4" s="3469"/>
      <c r="QMG4" s="3469"/>
      <c r="QMH4" s="3469"/>
      <c r="QMI4" s="3469"/>
      <c r="QMJ4" s="3469"/>
      <c r="QMK4" s="3469"/>
      <c r="QML4" s="3469"/>
      <c r="QMM4" s="3469"/>
      <c r="QMN4" s="3469"/>
      <c r="QMO4" s="3469"/>
      <c r="QMP4" s="3469"/>
      <c r="QMQ4" s="3469"/>
      <c r="QMR4" s="3469"/>
      <c r="QMS4" s="3469"/>
      <c r="QMT4" s="3469"/>
      <c r="QMU4" s="3469"/>
      <c r="QMV4" s="3469"/>
      <c r="QMW4" s="3469"/>
      <c r="QMX4" s="3469"/>
      <c r="QMY4" s="3469"/>
      <c r="QMZ4" s="3469"/>
      <c r="QNA4" s="3469"/>
      <c r="QNB4" s="3469"/>
      <c r="QNC4" s="3469"/>
      <c r="QND4" s="3469"/>
      <c r="QNE4" s="3469"/>
      <c r="QNF4" s="3469"/>
      <c r="QNG4" s="3469"/>
      <c r="QNH4" s="3469"/>
      <c r="QNI4" s="3469"/>
      <c r="QNJ4" s="3469"/>
      <c r="QNK4" s="3469"/>
      <c r="QNL4" s="3469"/>
      <c r="QNM4" s="3469"/>
      <c r="QNN4" s="3469"/>
      <c r="QNO4" s="3469"/>
      <c r="QNP4" s="3469"/>
      <c r="QNQ4" s="3469"/>
      <c r="QNR4" s="3469"/>
      <c r="QNS4" s="3469"/>
      <c r="QNT4" s="3469"/>
      <c r="QNU4" s="3469"/>
      <c r="QNV4" s="3469"/>
      <c r="QNW4" s="3469"/>
      <c r="QNX4" s="3469"/>
      <c r="QNY4" s="3469"/>
      <c r="QNZ4" s="3469"/>
      <c r="QOA4" s="3469"/>
      <c r="QOB4" s="3469"/>
      <c r="QOC4" s="3469"/>
      <c r="QOD4" s="3469"/>
      <c r="QOE4" s="3469"/>
      <c r="QOF4" s="3469"/>
      <c r="QOG4" s="3469"/>
      <c r="QOH4" s="3469"/>
      <c r="QOI4" s="3469"/>
      <c r="QOJ4" s="3469"/>
      <c r="QOK4" s="3469"/>
      <c r="QOL4" s="3469"/>
      <c r="QOM4" s="3469"/>
      <c r="QON4" s="3469"/>
      <c r="QOO4" s="3469"/>
      <c r="QOP4" s="3469"/>
      <c r="QOQ4" s="3469"/>
      <c r="QOR4" s="3469"/>
      <c r="QOS4" s="3469"/>
      <c r="QOT4" s="3469"/>
      <c r="QOU4" s="3469"/>
      <c r="QOV4" s="3469"/>
      <c r="QOW4" s="3469"/>
      <c r="QOX4" s="3469"/>
      <c r="QOY4" s="3469"/>
      <c r="QOZ4" s="3469"/>
      <c r="QPA4" s="3469"/>
      <c r="QPB4" s="3469"/>
      <c r="QPC4" s="3469"/>
      <c r="QPD4" s="3469"/>
      <c r="QPE4" s="3469"/>
      <c r="QPF4" s="3469"/>
      <c r="QPG4" s="3469"/>
      <c r="QPH4" s="3469"/>
      <c r="QPI4" s="3469"/>
      <c r="QPJ4" s="3469"/>
      <c r="QPK4" s="3469"/>
      <c r="QPL4" s="3469"/>
      <c r="QPM4" s="3469"/>
      <c r="QPN4" s="3469"/>
      <c r="QPO4" s="3469"/>
      <c r="QPP4" s="3469"/>
      <c r="QPQ4" s="3469"/>
      <c r="QPR4" s="3469"/>
      <c r="QPS4" s="3469"/>
      <c r="QPT4" s="3469"/>
      <c r="QPU4" s="3469"/>
      <c r="QPV4" s="3469"/>
      <c r="QPW4" s="3469"/>
      <c r="QPX4" s="3469"/>
      <c r="QPY4" s="3469"/>
      <c r="QPZ4" s="3469"/>
      <c r="QQA4" s="3469"/>
      <c r="QQB4" s="3469"/>
      <c r="QQC4" s="3469"/>
      <c r="QQD4" s="3469"/>
      <c r="QQE4" s="3469"/>
      <c r="QQF4" s="3469"/>
      <c r="QQG4" s="3469"/>
      <c r="QQH4" s="3469"/>
      <c r="QQI4" s="3469"/>
      <c r="QQJ4" s="3469"/>
      <c r="QQK4" s="3469"/>
      <c r="QQL4" s="3469"/>
      <c r="QQM4" s="3469"/>
      <c r="QQN4" s="3469"/>
      <c r="QQO4" s="3469"/>
      <c r="QQP4" s="3469"/>
      <c r="QQQ4" s="3469"/>
      <c r="QQR4" s="3469"/>
      <c r="QQS4" s="3469"/>
      <c r="QQT4" s="3469"/>
      <c r="QQU4" s="3469"/>
      <c r="QQV4" s="3469"/>
      <c r="QQW4" s="3469"/>
      <c r="QQX4" s="3469"/>
      <c r="QQY4" s="3469"/>
      <c r="QQZ4" s="3469"/>
      <c r="QRA4" s="3469"/>
      <c r="QRB4" s="3469"/>
      <c r="QRC4" s="3469"/>
      <c r="QRD4" s="3469"/>
      <c r="QRE4" s="3469"/>
      <c r="QRF4" s="3469"/>
      <c r="QRG4" s="3469"/>
      <c r="QRH4" s="3469"/>
      <c r="QRI4" s="3469"/>
      <c r="QRJ4" s="3469"/>
      <c r="QRK4" s="3469"/>
      <c r="QRL4" s="3469"/>
      <c r="QRM4" s="3469"/>
      <c r="QRN4" s="3469"/>
      <c r="QRO4" s="3469"/>
      <c r="QRP4" s="3469"/>
      <c r="QRQ4" s="3469"/>
      <c r="QRR4" s="3469"/>
      <c r="QRS4" s="3469"/>
      <c r="QRT4" s="3469"/>
      <c r="QRU4" s="3469"/>
      <c r="QRV4" s="3469"/>
      <c r="QRW4" s="3469"/>
      <c r="QRX4" s="3469"/>
      <c r="QRY4" s="3469"/>
      <c r="QRZ4" s="3469"/>
      <c r="QSA4" s="3469"/>
      <c r="QSB4" s="3469"/>
      <c r="QSC4" s="3469"/>
      <c r="QSD4" s="3469"/>
      <c r="QSE4" s="3469"/>
      <c r="QSF4" s="3469"/>
      <c r="QSG4" s="3469"/>
      <c r="QSH4" s="3469"/>
      <c r="QSI4" s="3469"/>
      <c r="QSJ4" s="3469"/>
      <c r="QSK4" s="3469"/>
      <c r="QSL4" s="3469"/>
      <c r="QSM4" s="3469"/>
      <c r="QSN4" s="3469"/>
      <c r="QSO4" s="3469"/>
      <c r="QSP4" s="3469"/>
      <c r="QSQ4" s="3469"/>
      <c r="QSR4" s="3469"/>
      <c r="QSS4" s="3469"/>
      <c r="QST4" s="3469"/>
      <c r="QSU4" s="3469"/>
      <c r="QSV4" s="3469"/>
      <c r="QSW4" s="3469"/>
      <c r="QSX4" s="3469"/>
      <c r="QSY4" s="3469"/>
      <c r="QSZ4" s="3469"/>
      <c r="QTA4" s="3469"/>
      <c r="QTB4" s="3469"/>
      <c r="QTC4" s="3469"/>
      <c r="QTD4" s="3469"/>
      <c r="QTE4" s="3469"/>
      <c r="QTF4" s="3469"/>
      <c r="QTG4" s="3469"/>
      <c r="QTH4" s="3469"/>
      <c r="QTI4" s="3469"/>
      <c r="QTJ4" s="3469"/>
      <c r="QTK4" s="3469"/>
      <c r="QTL4" s="3469"/>
      <c r="QTM4" s="3469"/>
      <c r="QTN4" s="3469"/>
      <c r="QTO4" s="3469"/>
      <c r="QTP4" s="3469"/>
      <c r="QTQ4" s="3469"/>
      <c r="QTR4" s="3469"/>
      <c r="QTS4" s="3469"/>
      <c r="QTT4" s="3469"/>
      <c r="QTU4" s="3469"/>
      <c r="QTV4" s="3469"/>
      <c r="QTW4" s="3469"/>
      <c r="QTX4" s="3469"/>
      <c r="QTY4" s="3469"/>
      <c r="QTZ4" s="3469"/>
      <c r="QUA4" s="3469"/>
      <c r="QUB4" s="3469"/>
      <c r="QUC4" s="3469"/>
      <c r="QUD4" s="3469"/>
      <c r="QUE4" s="3469"/>
      <c r="QUF4" s="3469"/>
      <c r="QUG4" s="3469"/>
      <c r="QUH4" s="3469"/>
      <c r="QUI4" s="3469"/>
      <c r="QUJ4" s="3469"/>
      <c r="QUK4" s="3469"/>
      <c r="QUL4" s="3469"/>
      <c r="QUM4" s="3469"/>
      <c r="QUN4" s="3469"/>
      <c r="QUO4" s="3469"/>
      <c r="QUP4" s="3469"/>
      <c r="QUQ4" s="3469"/>
      <c r="QUR4" s="3469"/>
      <c r="QUS4" s="3469"/>
      <c r="QUT4" s="3469"/>
      <c r="QUU4" s="3469"/>
      <c r="QUV4" s="3469"/>
      <c r="QUW4" s="3469"/>
      <c r="QUX4" s="3469"/>
      <c r="QUY4" s="3469"/>
      <c r="QUZ4" s="3469"/>
      <c r="QVA4" s="3469"/>
      <c r="QVB4" s="3469"/>
      <c r="QVC4" s="3469"/>
      <c r="QVD4" s="3469"/>
      <c r="QVE4" s="3469"/>
      <c r="QVF4" s="3469"/>
      <c r="QVG4" s="3469"/>
      <c r="QVH4" s="3469"/>
      <c r="QVI4" s="3469"/>
      <c r="QVJ4" s="3469"/>
      <c r="QVK4" s="3469"/>
      <c r="QVL4" s="3469"/>
      <c r="QVM4" s="3469"/>
      <c r="QVN4" s="3469"/>
      <c r="QVO4" s="3469"/>
      <c r="QVP4" s="3469"/>
      <c r="QVQ4" s="3469"/>
      <c r="QVR4" s="3469"/>
      <c r="QVS4" s="3469"/>
      <c r="QVT4" s="3469"/>
      <c r="QVU4" s="3469"/>
      <c r="QVV4" s="3469"/>
      <c r="QVW4" s="3469"/>
      <c r="QVX4" s="3469"/>
      <c r="QVY4" s="3469"/>
      <c r="QVZ4" s="3469"/>
      <c r="QWA4" s="3469"/>
      <c r="QWB4" s="3469"/>
      <c r="QWC4" s="3469"/>
      <c r="QWD4" s="3469"/>
      <c r="QWE4" s="3469"/>
      <c r="QWF4" s="3469"/>
      <c r="QWG4" s="3469"/>
      <c r="QWH4" s="3469"/>
      <c r="QWI4" s="3469"/>
      <c r="QWJ4" s="3469"/>
      <c r="QWK4" s="3469"/>
      <c r="QWL4" s="3469"/>
      <c r="QWM4" s="3469"/>
      <c r="QWN4" s="3469"/>
      <c r="QWO4" s="3469"/>
      <c r="QWP4" s="3469"/>
      <c r="QWQ4" s="3469"/>
      <c r="QWR4" s="3469"/>
      <c r="QWS4" s="3469"/>
      <c r="QWT4" s="3469"/>
      <c r="QWU4" s="3469"/>
      <c r="QWV4" s="3469"/>
      <c r="QWW4" s="3469"/>
      <c r="QWX4" s="3469"/>
      <c r="QWY4" s="3469"/>
      <c r="QWZ4" s="3469"/>
      <c r="QXA4" s="3469"/>
      <c r="QXB4" s="3469"/>
      <c r="QXC4" s="3469"/>
      <c r="QXD4" s="3469"/>
      <c r="QXE4" s="3469"/>
      <c r="QXF4" s="3469"/>
      <c r="QXG4" s="3469"/>
      <c r="QXH4" s="3469"/>
      <c r="QXI4" s="3469"/>
      <c r="QXJ4" s="3469"/>
      <c r="QXK4" s="3469"/>
      <c r="QXL4" s="3469"/>
      <c r="QXM4" s="3469"/>
      <c r="QXN4" s="3469"/>
      <c r="QXO4" s="3469"/>
      <c r="QXP4" s="3469"/>
      <c r="QXQ4" s="3469"/>
      <c r="QXR4" s="3469"/>
      <c r="QXS4" s="3469"/>
      <c r="QXT4" s="3469"/>
      <c r="QXU4" s="3469"/>
      <c r="QXV4" s="3469"/>
      <c r="QXW4" s="3469"/>
      <c r="QXX4" s="3469"/>
      <c r="QXY4" s="3469"/>
      <c r="QXZ4" s="3469"/>
      <c r="QYA4" s="3469"/>
      <c r="QYB4" s="3469"/>
      <c r="QYC4" s="3469"/>
      <c r="QYD4" s="3469"/>
      <c r="QYE4" s="3469"/>
      <c r="QYF4" s="3469"/>
      <c r="QYG4" s="3469"/>
      <c r="QYH4" s="3469"/>
      <c r="QYI4" s="3469"/>
      <c r="QYJ4" s="3469"/>
      <c r="QYK4" s="3469"/>
      <c r="QYL4" s="3469"/>
      <c r="QYM4" s="3469"/>
      <c r="QYN4" s="3469"/>
      <c r="QYO4" s="3469"/>
      <c r="QYP4" s="3469"/>
      <c r="QYQ4" s="3469"/>
      <c r="QYR4" s="3469"/>
      <c r="QYS4" s="3469"/>
      <c r="QYT4" s="3469"/>
      <c r="QYU4" s="3469"/>
      <c r="QYV4" s="3469"/>
      <c r="QYW4" s="3469"/>
      <c r="QYX4" s="3469"/>
      <c r="QYY4" s="3469"/>
      <c r="QYZ4" s="3469"/>
      <c r="QZA4" s="3469"/>
      <c r="QZB4" s="3469"/>
      <c r="QZC4" s="3469"/>
      <c r="QZD4" s="3469"/>
      <c r="QZE4" s="3469"/>
      <c r="QZF4" s="3469"/>
      <c r="QZG4" s="3469"/>
      <c r="QZH4" s="3469"/>
      <c r="QZI4" s="3469"/>
      <c r="QZJ4" s="3469"/>
      <c r="QZK4" s="3469"/>
      <c r="QZL4" s="3469"/>
      <c r="QZM4" s="3469"/>
      <c r="QZN4" s="3469"/>
      <c r="QZO4" s="3469"/>
      <c r="QZP4" s="3469"/>
      <c r="QZQ4" s="3469"/>
      <c r="QZR4" s="3469"/>
      <c r="QZS4" s="3469"/>
      <c r="QZT4" s="3469"/>
      <c r="QZU4" s="3469"/>
      <c r="QZV4" s="3469"/>
      <c r="QZW4" s="3469"/>
      <c r="QZX4" s="3469"/>
      <c r="QZY4" s="3469"/>
      <c r="QZZ4" s="3469"/>
      <c r="RAA4" s="3469"/>
      <c r="RAB4" s="3469"/>
      <c r="RAC4" s="3469"/>
      <c r="RAD4" s="3469"/>
      <c r="RAE4" s="3469"/>
      <c r="RAF4" s="3469"/>
      <c r="RAG4" s="3469"/>
      <c r="RAH4" s="3469"/>
      <c r="RAI4" s="3469"/>
      <c r="RAJ4" s="3469"/>
      <c r="RAK4" s="3469"/>
      <c r="RAL4" s="3469"/>
      <c r="RAM4" s="3469"/>
      <c r="RAN4" s="3469"/>
      <c r="RAO4" s="3469"/>
      <c r="RAP4" s="3469"/>
      <c r="RAQ4" s="3469"/>
      <c r="RAR4" s="3469"/>
      <c r="RAS4" s="3469"/>
      <c r="RAT4" s="3469"/>
      <c r="RAU4" s="3469"/>
      <c r="RAV4" s="3469"/>
      <c r="RAW4" s="3469"/>
      <c r="RAX4" s="3469"/>
      <c r="RAY4" s="3469"/>
      <c r="RAZ4" s="3469"/>
      <c r="RBA4" s="3469"/>
      <c r="RBB4" s="3469"/>
      <c r="RBC4" s="3469"/>
      <c r="RBD4" s="3469"/>
      <c r="RBE4" s="3469"/>
      <c r="RBF4" s="3469"/>
      <c r="RBG4" s="3469"/>
      <c r="RBH4" s="3469"/>
      <c r="RBI4" s="3469"/>
      <c r="RBJ4" s="3469"/>
      <c r="RBK4" s="3469"/>
      <c r="RBL4" s="3469"/>
      <c r="RBM4" s="3469"/>
      <c r="RBN4" s="3469"/>
      <c r="RBO4" s="3469"/>
      <c r="RBP4" s="3469"/>
      <c r="RBQ4" s="3469"/>
      <c r="RBR4" s="3469"/>
      <c r="RBS4" s="3469"/>
      <c r="RBT4" s="3469"/>
      <c r="RBU4" s="3469"/>
      <c r="RBV4" s="3469"/>
      <c r="RBW4" s="3469"/>
      <c r="RBX4" s="3469"/>
      <c r="RBY4" s="3469"/>
      <c r="RBZ4" s="3469"/>
      <c r="RCA4" s="3469"/>
      <c r="RCB4" s="3469"/>
      <c r="RCC4" s="3469"/>
      <c r="RCD4" s="3469"/>
      <c r="RCE4" s="3469"/>
      <c r="RCF4" s="3469"/>
      <c r="RCG4" s="3469"/>
      <c r="RCH4" s="3469"/>
      <c r="RCI4" s="3469"/>
      <c r="RCJ4" s="3469"/>
      <c r="RCK4" s="3469"/>
      <c r="RCL4" s="3469"/>
      <c r="RCM4" s="3469"/>
      <c r="RCN4" s="3469"/>
      <c r="RCO4" s="3469"/>
      <c r="RCP4" s="3469"/>
      <c r="RCQ4" s="3469"/>
      <c r="RCR4" s="3469"/>
      <c r="RCS4" s="3469"/>
      <c r="RCT4" s="3469"/>
      <c r="RCU4" s="3469"/>
      <c r="RCV4" s="3469"/>
      <c r="RCW4" s="3469"/>
      <c r="RCX4" s="3469"/>
      <c r="RCY4" s="3469"/>
      <c r="RCZ4" s="3469"/>
      <c r="RDA4" s="3469"/>
      <c r="RDB4" s="3469"/>
      <c r="RDC4" s="3469"/>
      <c r="RDD4" s="3469"/>
      <c r="RDE4" s="3469"/>
      <c r="RDF4" s="3469"/>
      <c r="RDG4" s="3469"/>
      <c r="RDH4" s="3469"/>
      <c r="RDI4" s="3469"/>
      <c r="RDJ4" s="3469"/>
      <c r="RDK4" s="3469"/>
      <c r="RDL4" s="3469"/>
      <c r="RDM4" s="3469"/>
      <c r="RDN4" s="3469"/>
      <c r="RDO4" s="3469"/>
      <c r="RDP4" s="3469"/>
      <c r="RDQ4" s="3469"/>
      <c r="RDR4" s="3469"/>
      <c r="RDS4" s="3469"/>
      <c r="RDT4" s="3469"/>
      <c r="RDU4" s="3469"/>
      <c r="RDV4" s="3469"/>
      <c r="RDW4" s="3469"/>
      <c r="RDX4" s="3469"/>
      <c r="RDY4" s="3469"/>
      <c r="RDZ4" s="3469"/>
      <c r="REA4" s="3469"/>
      <c r="REB4" s="3469"/>
      <c r="REC4" s="3469"/>
      <c r="RED4" s="3469"/>
      <c r="REE4" s="3469"/>
      <c r="REF4" s="3469"/>
      <c r="REG4" s="3469"/>
      <c r="REH4" s="3469"/>
      <c r="REI4" s="3469"/>
      <c r="REJ4" s="3469"/>
      <c r="REK4" s="3469"/>
      <c r="REL4" s="3469"/>
      <c r="REM4" s="3469"/>
      <c r="REN4" s="3469"/>
      <c r="REO4" s="3469"/>
      <c r="REP4" s="3469"/>
      <c r="REQ4" s="3469"/>
      <c r="RER4" s="3469"/>
      <c r="RES4" s="3469"/>
      <c r="RET4" s="3469"/>
      <c r="REU4" s="3469"/>
      <c r="REV4" s="3469"/>
      <c r="REW4" s="3469"/>
      <c r="REX4" s="3469"/>
      <c r="REY4" s="3469"/>
      <c r="REZ4" s="3469"/>
      <c r="RFA4" s="3469"/>
      <c r="RFB4" s="3469"/>
      <c r="RFC4" s="3469"/>
      <c r="RFD4" s="3469"/>
      <c r="RFE4" s="3469"/>
      <c r="RFF4" s="3469"/>
      <c r="RFG4" s="3469"/>
      <c r="RFH4" s="3469"/>
      <c r="RFI4" s="3469"/>
      <c r="RFJ4" s="3469"/>
      <c r="RFK4" s="3469"/>
      <c r="RFL4" s="3469"/>
      <c r="RFM4" s="3469"/>
      <c r="RFN4" s="3469"/>
      <c r="RFO4" s="3469"/>
      <c r="RFP4" s="3469"/>
      <c r="RFQ4" s="3469"/>
      <c r="RFR4" s="3469"/>
      <c r="RFS4" s="3469"/>
      <c r="RFT4" s="3469"/>
      <c r="RFU4" s="3469"/>
      <c r="RFV4" s="3469"/>
      <c r="RFW4" s="3469"/>
      <c r="RFX4" s="3469"/>
      <c r="RFY4" s="3469"/>
      <c r="RFZ4" s="3469"/>
      <c r="RGA4" s="3469"/>
      <c r="RGB4" s="3469"/>
      <c r="RGC4" s="3469"/>
      <c r="RGD4" s="3469"/>
      <c r="RGE4" s="3469"/>
      <c r="RGF4" s="3469"/>
      <c r="RGG4" s="3469"/>
      <c r="RGH4" s="3469"/>
      <c r="RGI4" s="3469"/>
      <c r="RGJ4" s="3469"/>
      <c r="RGK4" s="3469"/>
      <c r="RGL4" s="3469"/>
      <c r="RGM4" s="3469"/>
      <c r="RGN4" s="3469"/>
      <c r="RGO4" s="3469"/>
      <c r="RGP4" s="3469"/>
      <c r="RGQ4" s="3469"/>
      <c r="RGR4" s="3469"/>
      <c r="RGS4" s="3469"/>
      <c r="RGT4" s="3469"/>
      <c r="RGU4" s="3469"/>
      <c r="RGV4" s="3469"/>
      <c r="RGW4" s="3469"/>
      <c r="RGX4" s="3469"/>
      <c r="RGY4" s="3469"/>
      <c r="RGZ4" s="3469"/>
      <c r="RHA4" s="3469"/>
      <c r="RHB4" s="3469"/>
      <c r="RHC4" s="3469"/>
      <c r="RHD4" s="3469"/>
      <c r="RHE4" s="3469"/>
      <c r="RHF4" s="3469"/>
      <c r="RHG4" s="3469"/>
      <c r="RHH4" s="3469"/>
      <c r="RHI4" s="3469"/>
      <c r="RHJ4" s="3469"/>
      <c r="RHK4" s="3469"/>
      <c r="RHL4" s="3469"/>
      <c r="RHM4" s="3469"/>
      <c r="RHN4" s="3469"/>
      <c r="RHO4" s="3469"/>
      <c r="RHP4" s="3469"/>
      <c r="RHQ4" s="3469"/>
      <c r="RHR4" s="3469"/>
      <c r="RHS4" s="3469"/>
      <c r="RHT4" s="3469"/>
      <c r="RHU4" s="3469"/>
      <c r="RHV4" s="3469"/>
      <c r="RHW4" s="3469"/>
      <c r="RHX4" s="3469"/>
      <c r="RHY4" s="3469"/>
      <c r="RHZ4" s="3469"/>
      <c r="RIA4" s="3469"/>
      <c r="RIB4" s="3469"/>
      <c r="RIC4" s="3469"/>
      <c r="RID4" s="3469"/>
      <c r="RIE4" s="3469"/>
      <c r="RIF4" s="3469"/>
      <c r="RIG4" s="3469"/>
      <c r="RIH4" s="3469"/>
      <c r="RII4" s="3469"/>
      <c r="RIJ4" s="3469"/>
      <c r="RIK4" s="3469"/>
      <c r="RIL4" s="3469"/>
      <c r="RIM4" s="3469"/>
      <c r="RIN4" s="3469"/>
      <c r="RIO4" s="3469"/>
      <c r="RIP4" s="3469"/>
      <c r="RIQ4" s="3469"/>
      <c r="RIR4" s="3469"/>
      <c r="RIS4" s="3469"/>
      <c r="RIT4" s="3469"/>
      <c r="RIU4" s="3469"/>
      <c r="RIV4" s="3469"/>
      <c r="RIW4" s="3469"/>
      <c r="RIX4" s="3469"/>
      <c r="RIY4" s="3469"/>
      <c r="RIZ4" s="3469"/>
      <c r="RJA4" s="3469"/>
      <c r="RJB4" s="3469"/>
      <c r="RJC4" s="3469"/>
      <c r="RJD4" s="3469"/>
      <c r="RJE4" s="3469"/>
      <c r="RJF4" s="3469"/>
      <c r="RJG4" s="3469"/>
      <c r="RJH4" s="3469"/>
      <c r="RJI4" s="3469"/>
      <c r="RJJ4" s="3469"/>
      <c r="RJK4" s="3469"/>
      <c r="RJL4" s="3469"/>
      <c r="RJM4" s="3469"/>
      <c r="RJN4" s="3469"/>
      <c r="RJO4" s="3469"/>
      <c r="RJP4" s="3469"/>
      <c r="RJQ4" s="3469"/>
      <c r="RJR4" s="3469"/>
      <c r="RJS4" s="3469"/>
      <c r="RJT4" s="3469"/>
      <c r="RJU4" s="3469"/>
      <c r="RJV4" s="3469"/>
      <c r="RJW4" s="3469"/>
      <c r="RJX4" s="3469"/>
      <c r="RJY4" s="3469"/>
      <c r="RJZ4" s="3469"/>
      <c r="RKA4" s="3469"/>
      <c r="RKB4" s="3469"/>
      <c r="RKC4" s="3469"/>
      <c r="RKD4" s="3469"/>
      <c r="RKE4" s="3469"/>
      <c r="RKF4" s="3469"/>
      <c r="RKG4" s="3469"/>
      <c r="RKH4" s="3469"/>
      <c r="RKI4" s="3469"/>
      <c r="RKJ4" s="3469"/>
      <c r="RKK4" s="3469"/>
      <c r="RKL4" s="3469"/>
      <c r="RKM4" s="3469"/>
      <c r="RKN4" s="3469"/>
      <c r="RKO4" s="3469"/>
      <c r="RKP4" s="3469"/>
      <c r="RKQ4" s="3469"/>
      <c r="RKR4" s="3469"/>
      <c r="RKS4" s="3469"/>
      <c r="RKT4" s="3469"/>
      <c r="RKU4" s="3469"/>
      <c r="RKV4" s="3469"/>
      <c r="RKW4" s="3469"/>
      <c r="RKX4" s="3469"/>
      <c r="RKY4" s="3469"/>
      <c r="RKZ4" s="3469"/>
      <c r="RLA4" s="3469"/>
      <c r="RLB4" s="3469"/>
      <c r="RLC4" s="3469"/>
      <c r="RLD4" s="3469"/>
      <c r="RLE4" s="3469"/>
      <c r="RLF4" s="3469"/>
      <c r="RLG4" s="3469"/>
      <c r="RLH4" s="3469"/>
      <c r="RLI4" s="3469"/>
      <c r="RLJ4" s="3469"/>
      <c r="RLK4" s="3469"/>
      <c r="RLL4" s="3469"/>
      <c r="RLM4" s="3469"/>
      <c r="RLN4" s="3469"/>
      <c r="RLO4" s="3469"/>
      <c r="RLP4" s="3469"/>
      <c r="RLQ4" s="3469"/>
      <c r="RLR4" s="3469"/>
      <c r="RLS4" s="3469"/>
      <c r="RLT4" s="3469"/>
      <c r="RLU4" s="3469"/>
      <c r="RLV4" s="3469"/>
      <c r="RLW4" s="3469"/>
      <c r="RLX4" s="3469"/>
      <c r="RLY4" s="3469"/>
      <c r="RLZ4" s="3469"/>
      <c r="RMA4" s="3469"/>
      <c r="RMB4" s="3469"/>
      <c r="RMC4" s="3469"/>
      <c r="RMD4" s="3469"/>
      <c r="RME4" s="3469"/>
      <c r="RMF4" s="3469"/>
      <c r="RMG4" s="3469"/>
      <c r="RMH4" s="3469"/>
      <c r="RMI4" s="3469"/>
      <c r="RMJ4" s="3469"/>
      <c r="RMK4" s="3469"/>
      <c r="RML4" s="3469"/>
      <c r="RMM4" s="3469"/>
      <c r="RMN4" s="3469"/>
      <c r="RMO4" s="3469"/>
      <c r="RMP4" s="3469"/>
      <c r="RMQ4" s="3469"/>
      <c r="RMR4" s="3469"/>
      <c r="RMS4" s="3469"/>
      <c r="RMT4" s="3469"/>
      <c r="RMU4" s="3469"/>
      <c r="RMV4" s="3469"/>
      <c r="RMW4" s="3469"/>
      <c r="RMX4" s="3469"/>
      <c r="RMY4" s="3469"/>
      <c r="RMZ4" s="3469"/>
      <c r="RNA4" s="3469"/>
      <c r="RNB4" s="3469"/>
      <c r="RNC4" s="3469"/>
      <c r="RND4" s="3469"/>
      <c r="RNE4" s="3469"/>
      <c r="RNF4" s="3469"/>
      <c r="RNG4" s="3469"/>
      <c r="RNH4" s="3469"/>
      <c r="RNI4" s="3469"/>
      <c r="RNJ4" s="3469"/>
      <c r="RNK4" s="3469"/>
      <c r="RNL4" s="3469"/>
      <c r="RNM4" s="3469"/>
      <c r="RNN4" s="3469"/>
      <c r="RNO4" s="3469"/>
      <c r="RNP4" s="3469"/>
      <c r="RNQ4" s="3469"/>
      <c r="RNR4" s="3469"/>
      <c r="RNS4" s="3469"/>
      <c r="RNT4" s="3469"/>
      <c r="RNU4" s="3469"/>
      <c r="RNV4" s="3469"/>
      <c r="RNW4" s="3469"/>
      <c r="RNX4" s="3469"/>
      <c r="RNY4" s="3469"/>
      <c r="RNZ4" s="3469"/>
      <c r="ROA4" s="3469"/>
      <c r="ROB4" s="3469"/>
      <c r="ROC4" s="3469"/>
      <c r="ROD4" s="3469"/>
      <c r="ROE4" s="3469"/>
      <c r="ROF4" s="3469"/>
      <c r="ROG4" s="3469"/>
      <c r="ROH4" s="3469"/>
      <c r="ROI4" s="3469"/>
      <c r="ROJ4" s="3469"/>
      <c r="ROK4" s="3469"/>
      <c r="ROL4" s="3469"/>
      <c r="ROM4" s="3469"/>
      <c r="RON4" s="3469"/>
      <c r="ROO4" s="3469"/>
      <c r="ROP4" s="3469"/>
      <c r="ROQ4" s="3469"/>
      <c r="ROR4" s="3469"/>
      <c r="ROS4" s="3469"/>
      <c r="ROT4" s="3469"/>
      <c r="ROU4" s="3469"/>
      <c r="ROV4" s="3469"/>
      <c r="ROW4" s="3469"/>
      <c r="ROX4" s="3469"/>
      <c r="ROY4" s="3469"/>
      <c r="ROZ4" s="3469"/>
      <c r="RPA4" s="3469"/>
      <c r="RPB4" s="3469"/>
      <c r="RPC4" s="3469"/>
      <c r="RPD4" s="3469"/>
      <c r="RPE4" s="3469"/>
      <c r="RPF4" s="3469"/>
      <c r="RPG4" s="3469"/>
      <c r="RPH4" s="3469"/>
      <c r="RPI4" s="3469"/>
      <c r="RPJ4" s="3469"/>
      <c r="RPK4" s="3469"/>
      <c r="RPL4" s="3469"/>
      <c r="RPM4" s="3469"/>
      <c r="RPN4" s="3469"/>
      <c r="RPO4" s="3469"/>
      <c r="RPP4" s="3469"/>
      <c r="RPQ4" s="3469"/>
      <c r="RPR4" s="3469"/>
      <c r="RPS4" s="3469"/>
      <c r="RPT4" s="3469"/>
      <c r="RPU4" s="3469"/>
      <c r="RPV4" s="3469"/>
      <c r="RPW4" s="3469"/>
      <c r="RPX4" s="3469"/>
      <c r="RPY4" s="3469"/>
      <c r="RPZ4" s="3469"/>
      <c r="RQA4" s="3469"/>
      <c r="RQB4" s="3469"/>
      <c r="RQC4" s="3469"/>
      <c r="RQD4" s="3469"/>
      <c r="RQE4" s="3469"/>
      <c r="RQF4" s="3469"/>
      <c r="RQG4" s="3469"/>
      <c r="RQH4" s="3469"/>
      <c r="RQI4" s="3469"/>
      <c r="RQJ4" s="3469"/>
      <c r="RQK4" s="3469"/>
      <c r="RQL4" s="3469"/>
      <c r="RQM4" s="3469"/>
      <c r="RQN4" s="3469"/>
      <c r="RQO4" s="3469"/>
      <c r="RQP4" s="3469"/>
      <c r="RQQ4" s="3469"/>
      <c r="RQR4" s="3469"/>
      <c r="RQS4" s="3469"/>
      <c r="RQT4" s="3469"/>
      <c r="RQU4" s="3469"/>
      <c r="RQV4" s="3469"/>
      <c r="RQW4" s="3469"/>
      <c r="RQX4" s="3469"/>
      <c r="RQY4" s="3469"/>
      <c r="RQZ4" s="3469"/>
      <c r="RRA4" s="3469"/>
      <c r="RRB4" s="3469"/>
      <c r="RRC4" s="3469"/>
      <c r="RRD4" s="3469"/>
      <c r="RRE4" s="3469"/>
      <c r="RRF4" s="3469"/>
      <c r="RRG4" s="3469"/>
      <c r="RRH4" s="3469"/>
      <c r="RRI4" s="3469"/>
      <c r="RRJ4" s="3469"/>
      <c r="RRK4" s="3469"/>
      <c r="RRL4" s="3469"/>
      <c r="RRM4" s="3469"/>
      <c r="RRN4" s="3469"/>
      <c r="RRO4" s="3469"/>
      <c r="RRP4" s="3469"/>
      <c r="RRQ4" s="3469"/>
      <c r="RRR4" s="3469"/>
      <c r="RRS4" s="3469"/>
      <c r="RRT4" s="3469"/>
      <c r="RRU4" s="3469"/>
      <c r="RRV4" s="3469"/>
      <c r="RRW4" s="3469"/>
      <c r="RRX4" s="3469"/>
      <c r="RRY4" s="3469"/>
      <c r="RRZ4" s="3469"/>
      <c r="RSA4" s="3469"/>
      <c r="RSB4" s="3469"/>
      <c r="RSC4" s="3469"/>
      <c r="RSD4" s="3469"/>
      <c r="RSE4" s="3469"/>
      <c r="RSF4" s="3469"/>
      <c r="RSG4" s="3469"/>
      <c r="RSH4" s="3469"/>
      <c r="RSI4" s="3469"/>
      <c r="RSJ4" s="3469"/>
      <c r="RSK4" s="3469"/>
      <c r="RSL4" s="3469"/>
      <c r="RSM4" s="3469"/>
      <c r="RSN4" s="3469"/>
      <c r="RSO4" s="3469"/>
      <c r="RSP4" s="3469"/>
      <c r="RSQ4" s="3469"/>
      <c r="RSR4" s="3469"/>
      <c r="RSS4" s="3469"/>
      <c r="RST4" s="3469"/>
      <c r="RSU4" s="3469"/>
      <c r="RSV4" s="3469"/>
      <c r="RSW4" s="3469"/>
      <c r="RSX4" s="3469"/>
      <c r="RSY4" s="3469"/>
      <c r="RSZ4" s="3469"/>
      <c r="RTA4" s="3469"/>
      <c r="RTB4" s="3469"/>
      <c r="RTC4" s="3469"/>
      <c r="RTD4" s="3469"/>
      <c r="RTE4" s="3469"/>
      <c r="RTF4" s="3469"/>
      <c r="RTG4" s="3469"/>
      <c r="RTH4" s="3469"/>
      <c r="RTI4" s="3469"/>
      <c r="RTJ4" s="3469"/>
      <c r="RTK4" s="3469"/>
      <c r="RTL4" s="3469"/>
      <c r="RTM4" s="3469"/>
      <c r="RTN4" s="3469"/>
      <c r="RTO4" s="3469"/>
      <c r="RTP4" s="3469"/>
      <c r="RTQ4" s="3469"/>
      <c r="RTR4" s="3469"/>
      <c r="RTS4" s="3469"/>
      <c r="RTT4" s="3469"/>
      <c r="RTU4" s="3469"/>
      <c r="RTV4" s="3469"/>
      <c r="RTW4" s="3469"/>
      <c r="RTX4" s="3469"/>
      <c r="RTY4" s="3469"/>
      <c r="RTZ4" s="3469"/>
      <c r="RUA4" s="3469"/>
      <c r="RUB4" s="3469"/>
      <c r="RUC4" s="3469"/>
      <c r="RUD4" s="3469"/>
      <c r="RUE4" s="3469"/>
      <c r="RUF4" s="3469"/>
      <c r="RUG4" s="3469"/>
      <c r="RUH4" s="3469"/>
      <c r="RUI4" s="3469"/>
      <c r="RUJ4" s="3469"/>
      <c r="RUK4" s="3469"/>
      <c r="RUL4" s="3469"/>
      <c r="RUM4" s="3469"/>
      <c r="RUN4" s="3469"/>
      <c r="RUO4" s="3469"/>
      <c r="RUP4" s="3469"/>
      <c r="RUQ4" s="3469"/>
      <c r="RUR4" s="3469"/>
      <c r="RUS4" s="3469"/>
      <c r="RUT4" s="3469"/>
      <c r="RUU4" s="3469"/>
      <c r="RUV4" s="3469"/>
      <c r="RUW4" s="3469"/>
      <c r="RUX4" s="3469"/>
      <c r="RUY4" s="3469"/>
      <c r="RUZ4" s="3469"/>
      <c r="RVA4" s="3469"/>
      <c r="RVB4" s="3469"/>
      <c r="RVC4" s="3469"/>
      <c r="RVD4" s="3469"/>
      <c r="RVE4" s="3469"/>
      <c r="RVF4" s="3469"/>
      <c r="RVG4" s="3469"/>
      <c r="RVH4" s="3469"/>
      <c r="RVI4" s="3469"/>
      <c r="RVJ4" s="3469"/>
      <c r="RVK4" s="3469"/>
      <c r="RVL4" s="3469"/>
      <c r="RVM4" s="3469"/>
      <c r="RVN4" s="3469"/>
      <c r="RVO4" s="3469"/>
      <c r="RVP4" s="3469"/>
      <c r="RVQ4" s="3469"/>
      <c r="RVR4" s="3469"/>
      <c r="RVS4" s="3469"/>
      <c r="RVT4" s="3469"/>
      <c r="RVU4" s="3469"/>
      <c r="RVV4" s="3469"/>
      <c r="RVW4" s="3469"/>
      <c r="RVX4" s="3469"/>
      <c r="RVY4" s="3469"/>
      <c r="RVZ4" s="3469"/>
      <c r="RWA4" s="3469"/>
      <c r="RWB4" s="3469"/>
      <c r="RWC4" s="3469"/>
      <c r="RWD4" s="3469"/>
      <c r="RWE4" s="3469"/>
      <c r="RWF4" s="3469"/>
      <c r="RWG4" s="3469"/>
      <c r="RWH4" s="3469"/>
      <c r="RWI4" s="3469"/>
      <c r="RWJ4" s="3469"/>
      <c r="RWK4" s="3469"/>
      <c r="RWL4" s="3469"/>
      <c r="RWM4" s="3469"/>
      <c r="RWN4" s="3469"/>
      <c r="RWO4" s="3469"/>
      <c r="RWP4" s="3469"/>
      <c r="RWQ4" s="3469"/>
      <c r="RWR4" s="3469"/>
      <c r="RWS4" s="3469"/>
      <c r="RWT4" s="3469"/>
      <c r="RWU4" s="3469"/>
      <c r="RWV4" s="3469"/>
      <c r="RWW4" s="3469"/>
      <c r="RWX4" s="3469"/>
      <c r="RWY4" s="3469"/>
      <c r="RWZ4" s="3469"/>
      <c r="RXA4" s="3469"/>
      <c r="RXB4" s="3469"/>
      <c r="RXC4" s="3469"/>
      <c r="RXD4" s="3469"/>
      <c r="RXE4" s="3469"/>
      <c r="RXF4" s="3469"/>
      <c r="RXG4" s="3469"/>
      <c r="RXH4" s="3469"/>
      <c r="RXI4" s="3469"/>
      <c r="RXJ4" s="3469"/>
      <c r="RXK4" s="3469"/>
      <c r="RXL4" s="3469"/>
      <c r="RXM4" s="3469"/>
      <c r="RXN4" s="3469"/>
      <c r="RXO4" s="3469"/>
      <c r="RXP4" s="3469"/>
      <c r="RXQ4" s="3469"/>
      <c r="RXR4" s="3469"/>
      <c r="RXS4" s="3469"/>
      <c r="RXT4" s="3469"/>
      <c r="RXU4" s="3469"/>
      <c r="RXV4" s="3469"/>
      <c r="RXW4" s="3469"/>
      <c r="RXX4" s="3469"/>
      <c r="RXY4" s="3469"/>
      <c r="RXZ4" s="3469"/>
      <c r="RYA4" s="3469"/>
      <c r="RYB4" s="3469"/>
      <c r="RYC4" s="3469"/>
      <c r="RYD4" s="3469"/>
      <c r="RYE4" s="3469"/>
      <c r="RYF4" s="3469"/>
      <c r="RYG4" s="3469"/>
      <c r="RYH4" s="3469"/>
      <c r="RYI4" s="3469"/>
      <c r="RYJ4" s="3469"/>
      <c r="RYK4" s="3469"/>
      <c r="RYL4" s="3469"/>
      <c r="RYM4" s="3469"/>
      <c r="RYN4" s="3469"/>
      <c r="RYO4" s="3469"/>
      <c r="RYP4" s="3469"/>
      <c r="RYQ4" s="3469"/>
      <c r="RYR4" s="3469"/>
      <c r="RYS4" s="3469"/>
      <c r="RYT4" s="3469"/>
      <c r="RYU4" s="3469"/>
      <c r="RYV4" s="3469"/>
      <c r="RYW4" s="3469"/>
      <c r="RYX4" s="3469"/>
      <c r="RYY4" s="3469"/>
      <c r="RYZ4" s="3469"/>
      <c r="RZA4" s="3469"/>
      <c r="RZB4" s="3469"/>
      <c r="RZC4" s="3469"/>
      <c r="RZD4" s="3469"/>
      <c r="RZE4" s="3469"/>
      <c r="RZF4" s="3469"/>
      <c r="RZG4" s="3469"/>
      <c r="RZH4" s="3469"/>
      <c r="RZI4" s="3469"/>
      <c r="RZJ4" s="3469"/>
      <c r="RZK4" s="3469"/>
      <c r="RZL4" s="3469"/>
      <c r="RZM4" s="3469"/>
      <c r="RZN4" s="3469"/>
      <c r="RZO4" s="3469"/>
      <c r="RZP4" s="3469"/>
      <c r="RZQ4" s="3469"/>
      <c r="RZR4" s="3469"/>
      <c r="RZS4" s="3469"/>
      <c r="RZT4" s="3469"/>
      <c r="RZU4" s="3469"/>
      <c r="RZV4" s="3469"/>
      <c r="RZW4" s="3469"/>
      <c r="RZX4" s="3469"/>
      <c r="RZY4" s="3469"/>
      <c r="RZZ4" s="3469"/>
      <c r="SAA4" s="3469"/>
      <c r="SAB4" s="3469"/>
      <c r="SAC4" s="3469"/>
      <c r="SAD4" s="3469"/>
      <c r="SAE4" s="3469"/>
      <c r="SAF4" s="3469"/>
      <c r="SAG4" s="3469"/>
      <c r="SAH4" s="3469"/>
      <c r="SAI4" s="3469"/>
      <c r="SAJ4" s="3469"/>
      <c r="SAK4" s="3469"/>
      <c r="SAL4" s="3469"/>
      <c r="SAM4" s="3469"/>
      <c r="SAN4" s="3469"/>
      <c r="SAO4" s="3469"/>
      <c r="SAP4" s="3469"/>
      <c r="SAQ4" s="3469"/>
      <c r="SAR4" s="3469"/>
      <c r="SAS4" s="3469"/>
      <c r="SAT4" s="3469"/>
      <c r="SAU4" s="3469"/>
      <c r="SAV4" s="3469"/>
      <c r="SAW4" s="3469"/>
      <c r="SAX4" s="3469"/>
      <c r="SAY4" s="3469"/>
      <c r="SAZ4" s="3469"/>
      <c r="SBA4" s="3469"/>
      <c r="SBB4" s="3469"/>
      <c r="SBC4" s="3469"/>
      <c r="SBD4" s="3469"/>
      <c r="SBE4" s="3469"/>
      <c r="SBF4" s="3469"/>
      <c r="SBG4" s="3469"/>
      <c r="SBH4" s="3469"/>
      <c r="SBI4" s="3469"/>
      <c r="SBJ4" s="3469"/>
      <c r="SBK4" s="3469"/>
      <c r="SBL4" s="3469"/>
      <c r="SBM4" s="3469"/>
      <c r="SBN4" s="3469"/>
      <c r="SBO4" s="3469"/>
      <c r="SBP4" s="3469"/>
      <c r="SBQ4" s="3469"/>
      <c r="SBR4" s="3469"/>
      <c r="SBS4" s="3469"/>
      <c r="SBT4" s="3469"/>
      <c r="SBU4" s="3469"/>
      <c r="SBV4" s="3469"/>
      <c r="SBW4" s="3469"/>
      <c r="SBX4" s="3469"/>
      <c r="SBY4" s="3469"/>
      <c r="SBZ4" s="3469"/>
      <c r="SCA4" s="3469"/>
      <c r="SCB4" s="3469"/>
      <c r="SCC4" s="3469"/>
      <c r="SCD4" s="3469"/>
      <c r="SCE4" s="3469"/>
      <c r="SCF4" s="3469"/>
      <c r="SCG4" s="3469"/>
      <c r="SCH4" s="3469"/>
      <c r="SCI4" s="3469"/>
      <c r="SCJ4" s="3469"/>
      <c r="SCK4" s="3469"/>
      <c r="SCL4" s="3469"/>
      <c r="SCM4" s="3469"/>
      <c r="SCN4" s="3469"/>
      <c r="SCO4" s="3469"/>
      <c r="SCP4" s="3469"/>
      <c r="SCQ4" s="3469"/>
      <c r="SCR4" s="3469"/>
      <c r="SCS4" s="3469"/>
      <c r="SCT4" s="3469"/>
      <c r="SCU4" s="3469"/>
      <c r="SCV4" s="3469"/>
      <c r="SCW4" s="3469"/>
      <c r="SCX4" s="3469"/>
      <c r="SCY4" s="3469"/>
      <c r="SCZ4" s="3469"/>
      <c r="SDA4" s="3469"/>
      <c r="SDB4" s="3469"/>
      <c r="SDC4" s="3469"/>
      <c r="SDD4" s="3469"/>
      <c r="SDE4" s="3469"/>
      <c r="SDF4" s="3469"/>
      <c r="SDG4" s="3469"/>
      <c r="SDH4" s="3469"/>
      <c r="SDI4" s="3469"/>
      <c r="SDJ4" s="3469"/>
      <c r="SDK4" s="3469"/>
      <c r="SDL4" s="3469"/>
      <c r="SDM4" s="3469"/>
      <c r="SDN4" s="3469"/>
      <c r="SDO4" s="3469"/>
      <c r="SDP4" s="3469"/>
      <c r="SDQ4" s="3469"/>
      <c r="SDR4" s="3469"/>
      <c r="SDS4" s="3469"/>
      <c r="SDT4" s="3469"/>
      <c r="SDU4" s="3469"/>
      <c r="SDV4" s="3469"/>
      <c r="SDW4" s="3469"/>
      <c r="SDX4" s="3469"/>
      <c r="SDY4" s="3469"/>
      <c r="SDZ4" s="3469"/>
      <c r="SEA4" s="3469"/>
      <c r="SEB4" s="3469"/>
      <c r="SEC4" s="3469"/>
      <c r="SED4" s="3469"/>
      <c r="SEE4" s="3469"/>
      <c r="SEF4" s="3469"/>
      <c r="SEG4" s="3469"/>
      <c r="SEH4" s="3469"/>
      <c r="SEI4" s="3469"/>
      <c r="SEJ4" s="3469"/>
      <c r="SEK4" s="3469"/>
      <c r="SEL4" s="3469"/>
      <c r="SEM4" s="3469"/>
      <c r="SEN4" s="3469"/>
      <c r="SEO4" s="3469"/>
      <c r="SEP4" s="3469"/>
      <c r="SEQ4" s="3469"/>
      <c r="SER4" s="3469"/>
      <c r="SES4" s="3469"/>
      <c r="SET4" s="3469"/>
      <c r="SEU4" s="3469"/>
      <c r="SEV4" s="3469"/>
      <c r="SEW4" s="3469"/>
      <c r="SEX4" s="3469"/>
      <c r="SEY4" s="3469"/>
      <c r="SEZ4" s="3469"/>
      <c r="SFA4" s="3469"/>
      <c r="SFB4" s="3469"/>
      <c r="SFC4" s="3469"/>
      <c r="SFD4" s="3469"/>
      <c r="SFE4" s="3469"/>
      <c r="SFF4" s="3469"/>
      <c r="SFG4" s="3469"/>
      <c r="SFH4" s="3469"/>
      <c r="SFI4" s="3469"/>
      <c r="SFJ4" s="3469"/>
      <c r="SFK4" s="3469"/>
      <c r="SFL4" s="3469"/>
      <c r="SFM4" s="3469"/>
      <c r="SFN4" s="3469"/>
      <c r="SFO4" s="3469"/>
      <c r="SFP4" s="3469"/>
      <c r="SFQ4" s="3469"/>
      <c r="SFR4" s="3469"/>
      <c r="SFS4" s="3469"/>
      <c r="SFT4" s="3469"/>
      <c r="SFU4" s="3469"/>
      <c r="SFV4" s="3469"/>
      <c r="SFW4" s="3469"/>
      <c r="SFX4" s="3469"/>
      <c r="SFY4" s="3469"/>
      <c r="SFZ4" s="3469"/>
      <c r="SGA4" s="3469"/>
      <c r="SGB4" s="3469"/>
      <c r="SGC4" s="3469"/>
      <c r="SGD4" s="3469"/>
      <c r="SGE4" s="3469"/>
      <c r="SGF4" s="3469"/>
      <c r="SGG4" s="3469"/>
      <c r="SGH4" s="3469"/>
      <c r="SGI4" s="3469"/>
      <c r="SGJ4" s="3469"/>
      <c r="SGK4" s="3469"/>
      <c r="SGL4" s="3469"/>
      <c r="SGM4" s="3469"/>
      <c r="SGN4" s="3469"/>
      <c r="SGO4" s="3469"/>
      <c r="SGP4" s="3469"/>
      <c r="SGQ4" s="3469"/>
      <c r="SGR4" s="3469"/>
      <c r="SGS4" s="3469"/>
      <c r="SGT4" s="3469"/>
      <c r="SGU4" s="3469"/>
      <c r="SGV4" s="3469"/>
      <c r="SGW4" s="3469"/>
      <c r="SGX4" s="3469"/>
      <c r="SGY4" s="3469"/>
      <c r="SGZ4" s="3469"/>
      <c r="SHA4" s="3469"/>
      <c r="SHB4" s="3469"/>
      <c r="SHC4" s="3469"/>
      <c r="SHD4" s="3469"/>
      <c r="SHE4" s="3469"/>
      <c r="SHF4" s="3469"/>
      <c r="SHG4" s="3469"/>
      <c r="SHH4" s="3469"/>
      <c r="SHI4" s="3469"/>
      <c r="SHJ4" s="3469"/>
      <c r="SHK4" s="3469"/>
      <c r="SHL4" s="3469"/>
      <c r="SHM4" s="3469"/>
      <c r="SHN4" s="3469"/>
      <c r="SHO4" s="3469"/>
      <c r="SHP4" s="3469"/>
      <c r="SHQ4" s="3469"/>
      <c r="SHR4" s="3469"/>
      <c r="SHS4" s="3469"/>
      <c r="SHT4" s="3469"/>
      <c r="SHU4" s="3469"/>
      <c r="SHV4" s="3469"/>
      <c r="SHW4" s="3469"/>
      <c r="SHX4" s="3469"/>
      <c r="SHY4" s="3469"/>
      <c r="SHZ4" s="3469"/>
      <c r="SIA4" s="3469"/>
      <c r="SIB4" s="3469"/>
      <c r="SIC4" s="3469"/>
      <c r="SID4" s="3469"/>
      <c r="SIE4" s="3469"/>
      <c r="SIF4" s="3469"/>
      <c r="SIG4" s="3469"/>
      <c r="SIH4" s="3469"/>
      <c r="SII4" s="3469"/>
      <c r="SIJ4" s="3469"/>
      <c r="SIK4" s="3469"/>
      <c r="SIL4" s="3469"/>
      <c r="SIM4" s="3469"/>
      <c r="SIN4" s="3469"/>
      <c r="SIO4" s="3469"/>
      <c r="SIP4" s="3469"/>
      <c r="SIQ4" s="3469"/>
      <c r="SIR4" s="3469"/>
      <c r="SIS4" s="3469"/>
      <c r="SIT4" s="3469"/>
      <c r="SIU4" s="3469"/>
      <c r="SIV4" s="3469"/>
      <c r="SIW4" s="3469"/>
      <c r="SIX4" s="3469"/>
      <c r="SIY4" s="3469"/>
      <c r="SIZ4" s="3469"/>
      <c r="SJA4" s="3469"/>
      <c r="SJB4" s="3469"/>
      <c r="SJC4" s="3469"/>
      <c r="SJD4" s="3469"/>
      <c r="SJE4" s="3469"/>
      <c r="SJF4" s="3469"/>
      <c r="SJG4" s="3469"/>
      <c r="SJH4" s="3469"/>
      <c r="SJI4" s="3469"/>
      <c r="SJJ4" s="3469"/>
      <c r="SJK4" s="3469"/>
      <c r="SJL4" s="3469"/>
      <c r="SJM4" s="3469"/>
      <c r="SJN4" s="3469"/>
      <c r="SJO4" s="3469"/>
      <c r="SJP4" s="3469"/>
      <c r="SJQ4" s="3469"/>
      <c r="SJR4" s="3469"/>
      <c r="SJS4" s="3469"/>
      <c r="SJT4" s="3469"/>
      <c r="SJU4" s="3469"/>
      <c r="SJV4" s="3469"/>
      <c r="SJW4" s="3469"/>
      <c r="SJX4" s="3469"/>
      <c r="SJY4" s="3469"/>
      <c r="SJZ4" s="3469"/>
      <c r="SKA4" s="3469"/>
      <c r="SKB4" s="3469"/>
      <c r="SKC4" s="3469"/>
      <c r="SKD4" s="3469"/>
      <c r="SKE4" s="3469"/>
      <c r="SKF4" s="3469"/>
      <c r="SKG4" s="3469"/>
      <c r="SKH4" s="3469"/>
      <c r="SKI4" s="3469"/>
      <c r="SKJ4" s="3469"/>
      <c r="SKK4" s="3469"/>
      <c r="SKL4" s="3469"/>
      <c r="SKM4" s="3469"/>
      <c r="SKN4" s="3469"/>
      <c r="SKO4" s="3469"/>
      <c r="SKP4" s="3469"/>
      <c r="SKQ4" s="3469"/>
      <c r="SKR4" s="3469"/>
      <c r="SKS4" s="3469"/>
      <c r="SKT4" s="3469"/>
      <c r="SKU4" s="3469"/>
      <c r="SKV4" s="3469"/>
      <c r="SKW4" s="3469"/>
      <c r="SKX4" s="3469"/>
      <c r="SKY4" s="3469"/>
      <c r="SKZ4" s="3469"/>
      <c r="SLA4" s="3469"/>
      <c r="SLB4" s="3469"/>
      <c r="SLC4" s="3469"/>
      <c r="SLD4" s="3469"/>
      <c r="SLE4" s="3469"/>
      <c r="SLF4" s="3469"/>
      <c r="SLG4" s="3469"/>
      <c r="SLH4" s="3469"/>
      <c r="SLI4" s="3469"/>
      <c r="SLJ4" s="3469"/>
      <c r="SLK4" s="3469"/>
      <c r="SLL4" s="3469"/>
      <c r="SLM4" s="3469"/>
      <c r="SLN4" s="3469"/>
      <c r="SLO4" s="3469"/>
      <c r="SLP4" s="3469"/>
      <c r="SLQ4" s="3469"/>
      <c r="SLR4" s="3469"/>
      <c r="SLS4" s="3469"/>
      <c r="SLT4" s="3469"/>
      <c r="SLU4" s="3469"/>
      <c r="SLV4" s="3469"/>
      <c r="SLW4" s="3469"/>
      <c r="SLX4" s="3469"/>
      <c r="SLY4" s="3469"/>
      <c r="SLZ4" s="3469"/>
      <c r="SMA4" s="3469"/>
      <c r="SMB4" s="3469"/>
      <c r="SMC4" s="3469"/>
      <c r="SMD4" s="3469"/>
      <c r="SME4" s="3469"/>
      <c r="SMF4" s="3469"/>
      <c r="SMG4" s="3469"/>
      <c r="SMH4" s="3469"/>
      <c r="SMI4" s="3469"/>
      <c r="SMJ4" s="3469"/>
      <c r="SMK4" s="3469"/>
      <c r="SML4" s="3469"/>
      <c r="SMM4" s="3469"/>
      <c r="SMN4" s="3469"/>
      <c r="SMO4" s="3469"/>
      <c r="SMP4" s="3469"/>
      <c r="SMQ4" s="3469"/>
      <c r="SMR4" s="3469"/>
      <c r="SMS4" s="3469"/>
      <c r="SMT4" s="3469"/>
      <c r="SMU4" s="3469"/>
      <c r="SMV4" s="3469"/>
      <c r="SMW4" s="3469"/>
      <c r="SMX4" s="3469"/>
      <c r="SMY4" s="3469"/>
      <c r="SMZ4" s="3469"/>
      <c r="SNA4" s="3469"/>
      <c r="SNB4" s="3469"/>
      <c r="SNC4" s="3469"/>
      <c r="SND4" s="3469"/>
      <c r="SNE4" s="3469"/>
      <c r="SNF4" s="3469"/>
      <c r="SNG4" s="3469"/>
      <c r="SNH4" s="3469"/>
      <c r="SNI4" s="3469"/>
      <c r="SNJ4" s="3469"/>
      <c r="SNK4" s="3469"/>
      <c r="SNL4" s="3469"/>
      <c r="SNM4" s="3469"/>
      <c r="SNN4" s="3469"/>
      <c r="SNO4" s="3469"/>
      <c r="SNP4" s="3469"/>
      <c r="SNQ4" s="3469"/>
      <c r="SNR4" s="3469"/>
      <c r="SNS4" s="3469"/>
      <c r="SNT4" s="3469"/>
      <c r="SNU4" s="3469"/>
      <c r="SNV4" s="3469"/>
      <c r="SNW4" s="3469"/>
      <c r="SNX4" s="3469"/>
      <c r="SNY4" s="3469"/>
      <c r="SNZ4" s="3469"/>
      <c r="SOA4" s="3469"/>
      <c r="SOB4" s="3469"/>
      <c r="SOC4" s="3469"/>
      <c r="SOD4" s="3469"/>
      <c r="SOE4" s="3469"/>
      <c r="SOF4" s="3469"/>
      <c r="SOG4" s="3469"/>
      <c r="SOH4" s="3469"/>
      <c r="SOI4" s="3469"/>
      <c r="SOJ4" s="3469"/>
      <c r="SOK4" s="3469"/>
      <c r="SOL4" s="3469"/>
      <c r="SOM4" s="3469"/>
      <c r="SON4" s="3469"/>
      <c r="SOO4" s="3469"/>
      <c r="SOP4" s="3469"/>
      <c r="SOQ4" s="3469"/>
      <c r="SOR4" s="3469"/>
      <c r="SOS4" s="3469"/>
      <c r="SOT4" s="3469"/>
      <c r="SOU4" s="3469"/>
      <c r="SOV4" s="3469"/>
      <c r="SOW4" s="3469"/>
      <c r="SOX4" s="3469"/>
      <c r="SOY4" s="3469"/>
      <c r="SOZ4" s="3469"/>
      <c r="SPA4" s="3469"/>
      <c r="SPB4" s="3469"/>
      <c r="SPC4" s="3469"/>
      <c r="SPD4" s="3469"/>
      <c r="SPE4" s="3469"/>
      <c r="SPF4" s="3469"/>
      <c r="SPG4" s="3469"/>
      <c r="SPH4" s="3469"/>
      <c r="SPI4" s="3469"/>
      <c r="SPJ4" s="3469"/>
      <c r="SPK4" s="3469"/>
      <c r="SPL4" s="3469"/>
      <c r="SPM4" s="3469"/>
      <c r="SPN4" s="3469"/>
      <c r="SPO4" s="3469"/>
      <c r="SPP4" s="3469"/>
      <c r="SPQ4" s="3469"/>
      <c r="SPR4" s="3469"/>
      <c r="SPS4" s="3469"/>
      <c r="SPT4" s="3469"/>
      <c r="SPU4" s="3469"/>
      <c r="SPV4" s="3469"/>
      <c r="SPW4" s="3469"/>
      <c r="SPX4" s="3469"/>
      <c r="SPY4" s="3469"/>
      <c r="SPZ4" s="3469"/>
      <c r="SQA4" s="3469"/>
      <c r="SQB4" s="3469"/>
      <c r="SQC4" s="3469"/>
      <c r="SQD4" s="3469"/>
      <c r="SQE4" s="3469"/>
      <c r="SQF4" s="3469"/>
      <c r="SQG4" s="3469"/>
      <c r="SQH4" s="3469"/>
      <c r="SQI4" s="3469"/>
      <c r="SQJ4" s="3469"/>
      <c r="SQK4" s="3469"/>
      <c r="SQL4" s="3469"/>
      <c r="SQM4" s="3469"/>
      <c r="SQN4" s="3469"/>
      <c r="SQO4" s="3469"/>
      <c r="SQP4" s="3469"/>
      <c r="SQQ4" s="3469"/>
      <c r="SQR4" s="3469"/>
      <c r="SQS4" s="3469"/>
      <c r="SQT4" s="3469"/>
      <c r="SQU4" s="3469"/>
      <c r="SQV4" s="3469"/>
      <c r="SQW4" s="3469"/>
      <c r="SQX4" s="3469"/>
      <c r="SQY4" s="3469"/>
      <c r="SQZ4" s="3469"/>
      <c r="SRA4" s="3469"/>
      <c r="SRB4" s="3469"/>
      <c r="SRC4" s="3469"/>
      <c r="SRD4" s="3469"/>
      <c r="SRE4" s="3469"/>
      <c r="SRF4" s="3469"/>
      <c r="SRG4" s="3469"/>
      <c r="SRH4" s="3469"/>
      <c r="SRI4" s="3469"/>
      <c r="SRJ4" s="3469"/>
      <c r="SRK4" s="3469"/>
      <c r="SRL4" s="3469"/>
      <c r="SRM4" s="3469"/>
      <c r="SRN4" s="3469"/>
      <c r="SRO4" s="3469"/>
      <c r="SRP4" s="3469"/>
      <c r="SRQ4" s="3469"/>
      <c r="SRR4" s="3469"/>
      <c r="SRS4" s="3469"/>
      <c r="SRT4" s="3469"/>
      <c r="SRU4" s="3469"/>
      <c r="SRV4" s="3469"/>
      <c r="SRW4" s="3469"/>
      <c r="SRX4" s="3469"/>
      <c r="SRY4" s="3469"/>
      <c r="SRZ4" s="3469"/>
      <c r="SSA4" s="3469"/>
      <c r="SSB4" s="3469"/>
      <c r="SSC4" s="3469"/>
      <c r="SSD4" s="3469"/>
      <c r="SSE4" s="3469"/>
      <c r="SSF4" s="3469"/>
      <c r="SSG4" s="3469"/>
      <c r="SSH4" s="3469"/>
      <c r="SSI4" s="3469"/>
      <c r="SSJ4" s="3469"/>
      <c r="SSK4" s="3469"/>
      <c r="SSL4" s="3469"/>
      <c r="SSM4" s="3469"/>
      <c r="SSN4" s="3469"/>
      <c r="SSO4" s="3469"/>
      <c r="SSP4" s="3469"/>
      <c r="SSQ4" s="3469"/>
      <c r="SSR4" s="3469"/>
      <c r="SSS4" s="3469"/>
      <c r="SST4" s="3469"/>
      <c r="SSU4" s="3469"/>
      <c r="SSV4" s="3469"/>
      <c r="SSW4" s="3469"/>
      <c r="SSX4" s="3469"/>
      <c r="SSY4" s="3469"/>
      <c r="SSZ4" s="3469"/>
      <c r="STA4" s="3469"/>
      <c r="STB4" s="3469"/>
      <c r="STC4" s="3469"/>
      <c r="STD4" s="3469"/>
      <c r="STE4" s="3469"/>
      <c r="STF4" s="3469"/>
      <c r="STG4" s="3469"/>
      <c r="STH4" s="3469"/>
      <c r="STI4" s="3469"/>
      <c r="STJ4" s="3469"/>
      <c r="STK4" s="3469"/>
      <c r="STL4" s="3469"/>
      <c r="STM4" s="3469"/>
      <c r="STN4" s="3469"/>
      <c r="STO4" s="3469"/>
      <c r="STP4" s="3469"/>
      <c r="STQ4" s="3469"/>
      <c r="STR4" s="3469"/>
      <c r="STS4" s="3469"/>
      <c r="STT4" s="3469"/>
      <c r="STU4" s="3469"/>
      <c r="STV4" s="3469"/>
      <c r="STW4" s="3469"/>
      <c r="STX4" s="3469"/>
      <c r="STY4" s="3469"/>
      <c r="STZ4" s="3469"/>
      <c r="SUA4" s="3469"/>
      <c r="SUB4" s="3469"/>
      <c r="SUC4" s="3469"/>
      <c r="SUD4" s="3469"/>
      <c r="SUE4" s="3469"/>
      <c r="SUF4" s="3469"/>
      <c r="SUG4" s="3469"/>
      <c r="SUH4" s="3469"/>
      <c r="SUI4" s="3469"/>
      <c r="SUJ4" s="3469"/>
      <c r="SUK4" s="3469"/>
      <c r="SUL4" s="3469"/>
      <c r="SUM4" s="3469"/>
      <c r="SUN4" s="3469"/>
      <c r="SUO4" s="3469"/>
      <c r="SUP4" s="3469"/>
      <c r="SUQ4" s="3469"/>
      <c r="SUR4" s="3469"/>
      <c r="SUS4" s="3469"/>
      <c r="SUT4" s="3469"/>
      <c r="SUU4" s="3469"/>
      <c r="SUV4" s="3469"/>
      <c r="SUW4" s="3469"/>
      <c r="SUX4" s="3469"/>
      <c r="SUY4" s="3469"/>
      <c r="SUZ4" s="3469"/>
      <c r="SVA4" s="3469"/>
      <c r="SVB4" s="3469"/>
      <c r="SVC4" s="3469"/>
      <c r="SVD4" s="3469"/>
      <c r="SVE4" s="3469"/>
      <c r="SVF4" s="3469"/>
      <c r="SVG4" s="3469"/>
      <c r="SVH4" s="3469"/>
      <c r="SVI4" s="3469"/>
      <c r="SVJ4" s="3469"/>
      <c r="SVK4" s="3469"/>
      <c r="SVL4" s="3469"/>
      <c r="SVM4" s="3469"/>
      <c r="SVN4" s="3469"/>
      <c r="SVO4" s="3469"/>
      <c r="SVP4" s="3469"/>
      <c r="SVQ4" s="3469"/>
      <c r="SVR4" s="3469"/>
      <c r="SVS4" s="3469"/>
      <c r="SVT4" s="3469"/>
      <c r="SVU4" s="3469"/>
      <c r="SVV4" s="3469"/>
      <c r="SVW4" s="3469"/>
      <c r="SVX4" s="3469"/>
      <c r="SVY4" s="3469"/>
      <c r="SVZ4" s="3469"/>
      <c r="SWA4" s="3469"/>
      <c r="SWB4" s="3469"/>
      <c r="SWC4" s="3469"/>
      <c r="SWD4" s="3469"/>
      <c r="SWE4" s="3469"/>
      <c r="SWF4" s="3469"/>
      <c r="SWG4" s="3469"/>
      <c r="SWH4" s="3469"/>
      <c r="SWI4" s="3469"/>
      <c r="SWJ4" s="3469"/>
      <c r="SWK4" s="3469"/>
      <c r="SWL4" s="3469"/>
      <c r="SWM4" s="3469"/>
      <c r="SWN4" s="3469"/>
      <c r="SWO4" s="3469"/>
      <c r="SWP4" s="3469"/>
      <c r="SWQ4" s="3469"/>
      <c r="SWR4" s="3469"/>
      <c r="SWS4" s="3469"/>
      <c r="SWT4" s="3469"/>
      <c r="SWU4" s="3469"/>
      <c r="SWV4" s="3469"/>
      <c r="SWW4" s="3469"/>
      <c r="SWX4" s="3469"/>
      <c r="SWY4" s="3469"/>
      <c r="SWZ4" s="3469"/>
      <c r="SXA4" s="3469"/>
      <c r="SXB4" s="3469"/>
      <c r="SXC4" s="3469"/>
      <c r="SXD4" s="3469"/>
      <c r="SXE4" s="3469"/>
      <c r="SXF4" s="3469"/>
      <c r="SXG4" s="3469"/>
      <c r="SXH4" s="3469"/>
      <c r="SXI4" s="3469"/>
      <c r="SXJ4" s="3469"/>
      <c r="SXK4" s="3469"/>
      <c r="SXL4" s="3469"/>
      <c r="SXM4" s="3469"/>
      <c r="SXN4" s="3469"/>
      <c r="SXO4" s="3469"/>
      <c r="SXP4" s="3469"/>
      <c r="SXQ4" s="3469"/>
      <c r="SXR4" s="3469"/>
      <c r="SXS4" s="3469"/>
      <c r="SXT4" s="3469"/>
      <c r="SXU4" s="3469"/>
      <c r="SXV4" s="3469"/>
      <c r="SXW4" s="3469"/>
      <c r="SXX4" s="3469"/>
      <c r="SXY4" s="3469"/>
      <c r="SXZ4" s="3469"/>
      <c r="SYA4" s="3469"/>
      <c r="SYB4" s="3469"/>
      <c r="SYC4" s="3469"/>
      <c r="SYD4" s="3469"/>
      <c r="SYE4" s="3469"/>
      <c r="SYF4" s="3469"/>
      <c r="SYG4" s="3469"/>
      <c r="SYH4" s="3469"/>
      <c r="SYI4" s="3469"/>
      <c r="SYJ4" s="3469"/>
      <c r="SYK4" s="3469"/>
      <c r="SYL4" s="3469"/>
      <c r="SYM4" s="3469"/>
      <c r="SYN4" s="3469"/>
      <c r="SYO4" s="3469"/>
      <c r="SYP4" s="3469"/>
      <c r="SYQ4" s="3469"/>
      <c r="SYR4" s="3469"/>
      <c r="SYS4" s="3469"/>
      <c r="SYT4" s="3469"/>
      <c r="SYU4" s="3469"/>
      <c r="SYV4" s="3469"/>
      <c r="SYW4" s="3469"/>
      <c r="SYX4" s="3469"/>
      <c r="SYY4" s="3469"/>
      <c r="SYZ4" s="3469"/>
      <c r="SZA4" s="3469"/>
      <c r="SZB4" s="3469"/>
      <c r="SZC4" s="3469"/>
      <c r="SZD4" s="3469"/>
      <c r="SZE4" s="3469"/>
      <c r="SZF4" s="3469"/>
      <c r="SZG4" s="3469"/>
      <c r="SZH4" s="3469"/>
      <c r="SZI4" s="3469"/>
      <c r="SZJ4" s="3469"/>
      <c r="SZK4" s="3469"/>
      <c r="SZL4" s="3469"/>
      <c r="SZM4" s="3469"/>
      <c r="SZN4" s="3469"/>
      <c r="SZO4" s="3469"/>
      <c r="SZP4" s="3469"/>
      <c r="SZQ4" s="3469"/>
      <c r="SZR4" s="3469"/>
      <c r="SZS4" s="3469"/>
      <c r="SZT4" s="3469"/>
      <c r="SZU4" s="3469"/>
      <c r="SZV4" s="3469"/>
      <c r="SZW4" s="3469"/>
      <c r="SZX4" s="3469"/>
      <c r="SZY4" s="3469"/>
      <c r="SZZ4" s="3469"/>
      <c r="TAA4" s="3469"/>
      <c r="TAB4" s="3469"/>
      <c r="TAC4" s="3469"/>
      <c r="TAD4" s="3469"/>
      <c r="TAE4" s="3469"/>
      <c r="TAF4" s="3469"/>
      <c r="TAG4" s="3469"/>
      <c r="TAH4" s="3469"/>
      <c r="TAI4" s="3469"/>
      <c r="TAJ4" s="3469"/>
      <c r="TAK4" s="3469"/>
      <c r="TAL4" s="3469"/>
      <c r="TAM4" s="3469"/>
      <c r="TAN4" s="3469"/>
      <c r="TAO4" s="3469"/>
      <c r="TAP4" s="3469"/>
      <c r="TAQ4" s="3469"/>
      <c r="TAR4" s="3469"/>
      <c r="TAS4" s="3469"/>
      <c r="TAT4" s="3469"/>
      <c r="TAU4" s="3469"/>
      <c r="TAV4" s="3469"/>
      <c r="TAW4" s="3469"/>
      <c r="TAX4" s="3469"/>
      <c r="TAY4" s="3469"/>
      <c r="TAZ4" s="3469"/>
      <c r="TBA4" s="3469"/>
      <c r="TBB4" s="3469"/>
      <c r="TBC4" s="3469"/>
      <c r="TBD4" s="3469"/>
      <c r="TBE4" s="3469"/>
      <c r="TBF4" s="3469"/>
      <c r="TBG4" s="3469"/>
      <c r="TBH4" s="3469"/>
      <c r="TBI4" s="3469"/>
      <c r="TBJ4" s="3469"/>
      <c r="TBK4" s="3469"/>
      <c r="TBL4" s="3469"/>
      <c r="TBM4" s="3469"/>
      <c r="TBN4" s="3469"/>
      <c r="TBO4" s="3469"/>
      <c r="TBP4" s="3469"/>
      <c r="TBQ4" s="3469"/>
      <c r="TBR4" s="3469"/>
      <c r="TBS4" s="3469"/>
      <c r="TBT4" s="3469"/>
      <c r="TBU4" s="3469"/>
      <c r="TBV4" s="3469"/>
      <c r="TBW4" s="3469"/>
      <c r="TBX4" s="3469"/>
      <c r="TBY4" s="3469"/>
      <c r="TBZ4" s="3469"/>
      <c r="TCA4" s="3469"/>
      <c r="TCB4" s="3469"/>
      <c r="TCC4" s="3469"/>
      <c r="TCD4" s="3469"/>
      <c r="TCE4" s="3469"/>
      <c r="TCF4" s="3469"/>
      <c r="TCG4" s="3469"/>
      <c r="TCH4" s="3469"/>
      <c r="TCI4" s="3469"/>
      <c r="TCJ4" s="3469"/>
      <c r="TCK4" s="3469"/>
      <c r="TCL4" s="3469"/>
      <c r="TCM4" s="3469"/>
      <c r="TCN4" s="3469"/>
      <c r="TCO4" s="3469"/>
      <c r="TCP4" s="3469"/>
      <c r="TCQ4" s="3469"/>
      <c r="TCR4" s="3469"/>
      <c r="TCS4" s="3469"/>
      <c r="TCT4" s="3469"/>
      <c r="TCU4" s="3469"/>
      <c r="TCV4" s="3469"/>
      <c r="TCW4" s="3469"/>
      <c r="TCX4" s="3469"/>
      <c r="TCY4" s="3469"/>
      <c r="TCZ4" s="3469"/>
      <c r="TDA4" s="3469"/>
      <c r="TDB4" s="3469"/>
      <c r="TDC4" s="3469"/>
      <c r="TDD4" s="3469"/>
      <c r="TDE4" s="3469"/>
      <c r="TDF4" s="3469"/>
      <c r="TDG4" s="3469"/>
      <c r="TDH4" s="3469"/>
      <c r="TDI4" s="3469"/>
      <c r="TDJ4" s="3469"/>
      <c r="TDK4" s="3469"/>
      <c r="TDL4" s="3469"/>
      <c r="TDM4" s="3469"/>
      <c r="TDN4" s="3469"/>
      <c r="TDO4" s="3469"/>
      <c r="TDP4" s="3469"/>
      <c r="TDQ4" s="3469"/>
      <c r="TDR4" s="3469"/>
      <c r="TDS4" s="3469"/>
      <c r="TDT4" s="3469"/>
      <c r="TDU4" s="3469"/>
      <c r="TDV4" s="3469"/>
      <c r="TDW4" s="3469"/>
      <c r="TDX4" s="3469"/>
      <c r="TDY4" s="3469"/>
      <c r="TDZ4" s="3469"/>
      <c r="TEA4" s="3469"/>
      <c r="TEB4" s="3469"/>
      <c r="TEC4" s="3469"/>
      <c r="TED4" s="3469"/>
      <c r="TEE4" s="3469"/>
      <c r="TEF4" s="3469"/>
      <c r="TEG4" s="3469"/>
      <c r="TEH4" s="3469"/>
      <c r="TEI4" s="3469"/>
      <c r="TEJ4" s="3469"/>
      <c r="TEK4" s="3469"/>
      <c r="TEL4" s="3469"/>
      <c r="TEM4" s="3469"/>
      <c r="TEN4" s="3469"/>
      <c r="TEO4" s="3469"/>
      <c r="TEP4" s="3469"/>
      <c r="TEQ4" s="3469"/>
      <c r="TER4" s="3469"/>
      <c r="TES4" s="3469"/>
      <c r="TET4" s="3469"/>
      <c r="TEU4" s="3469"/>
      <c r="TEV4" s="3469"/>
      <c r="TEW4" s="3469"/>
      <c r="TEX4" s="3469"/>
      <c r="TEY4" s="3469"/>
      <c r="TEZ4" s="3469"/>
      <c r="TFA4" s="3469"/>
      <c r="TFB4" s="3469"/>
      <c r="TFC4" s="3469"/>
      <c r="TFD4" s="3469"/>
      <c r="TFE4" s="3469"/>
      <c r="TFF4" s="3469"/>
      <c r="TFG4" s="3469"/>
      <c r="TFH4" s="3469"/>
      <c r="TFI4" s="3469"/>
      <c r="TFJ4" s="3469"/>
      <c r="TFK4" s="3469"/>
      <c r="TFL4" s="3469"/>
      <c r="TFM4" s="3469"/>
      <c r="TFN4" s="3469"/>
      <c r="TFO4" s="3469"/>
      <c r="TFP4" s="3469"/>
      <c r="TFQ4" s="3469"/>
      <c r="TFR4" s="3469"/>
      <c r="TFS4" s="3469"/>
      <c r="TFT4" s="3469"/>
      <c r="TFU4" s="3469"/>
      <c r="TFV4" s="3469"/>
      <c r="TFW4" s="3469"/>
      <c r="TFX4" s="3469"/>
      <c r="TFY4" s="3469"/>
      <c r="TFZ4" s="3469"/>
      <c r="TGA4" s="3469"/>
      <c r="TGB4" s="3469"/>
      <c r="TGC4" s="3469"/>
      <c r="TGD4" s="3469"/>
      <c r="TGE4" s="3469"/>
      <c r="TGF4" s="3469"/>
      <c r="TGG4" s="3469"/>
      <c r="TGH4" s="3469"/>
      <c r="TGI4" s="3469"/>
      <c r="TGJ4" s="3469"/>
      <c r="TGK4" s="3469"/>
      <c r="TGL4" s="3469"/>
      <c r="TGM4" s="3469"/>
      <c r="TGN4" s="3469"/>
      <c r="TGO4" s="3469"/>
      <c r="TGP4" s="3469"/>
      <c r="TGQ4" s="3469"/>
      <c r="TGR4" s="3469"/>
      <c r="TGS4" s="3469"/>
      <c r="TGT4" s="3469"/>
      <c r="TGU4" s="3469"/>
      <c r="TGV4" s="3469"/>
      <c r="TGW4" s="3469"/>
      <c r="TGX4" s="3469"/>
      <c r="TGY4" s="3469"/>
      <c r="TGZ4" s="3469"/>
      <c r="THA4" s="3469"/>
      <c r="THB4" s="3469"/>
      <c r="THC4" s="3469"/>
      <c r="THD4" s="3469"/>
      <c r="THE4" s="3469"/>
      <c r="THF4" s="3469"/>
      <c r="THG4" s="3469"/>
      <c r="THH4" s="3469"/>
      <c r="THI4" s="3469"/>
      <c r="THJ4" s="3469"/>
      <c r="THK4" s="3469"/>
      <c r="THL4" s="3469"/>
      <c r="THM4" s="3469"/>
      <c r="THN4" s="3469"/>
      <c r="THO4" s="3469"/>
      <c r="THP4" s="3469"/>
      <c r="THQ4" s="3469"/>
      <c r="THR4" s="3469"/>
      <c r="THS4" s="3469"/>
      <c r="THT4" s="3469"/>
      <c r="THU4" s="3469"/>
      <c r="THV4" s="3469"/>
      <c r="THW4" s="3469"/>
      <c r="THX4" s="3469"/>
      <c r="THY4" s="3469"/>
      <c r="THZ4" s="3469"/>
      <c r="TIA4" s="3469"/>
      <c r="TIB4" s="3469"/>
      <c r="TIC4" s="3469"/>
      <c r="TID4" s="3469"/>
      <c r="TIE4" s="3469"/>
      <c r="TIF4" s="3469"/>
      <c r="TIG4" s="3469"/>
      <c r="TIH4" s="3469"/>
      <c r="TII4" s="3469"/>
      <c r="TIJ4" s="3469"/>
      <c r="TIK4" s="3469"/>
      <c r="TIL4" s="3469"/>
      <c r="TIM4" s="3469"/>
      <c r="TIN4" s="3469"/>
      <c r="TIO4" s="3469"/>
      <c r="TIP4" s="3469"/>
      <c r="TIQ4" s="3469"/>
      <c r="TIR4" s="3469"/>
      <c r="TIS4" s="3469"/>
      <c r="TIT4" s="3469"/>
      <c r="TIU4" s="3469"/>
      <c r="TIV4" s="3469"/>
      <c r="TIW4" s="3469"/>
      <c r="TIX4" s="3469"/>
      <c r="TIY4" s="3469"/>
      <c r="TIZ4" s="3469"/>
      <c r="TJA4" s="3469"/>
      <c r="TJB4" s="3469"/>
      <c r="TJC4" s="3469"/>
      <c r="TJD4" s="3469"/>
      <c r="TJE4" s="3469"/>
      <c r="TJF4" s="3469"/>
      <c r="TJG4" s="3469"/>
      <c r="TJH4" s="3469"/>
      <c r="TJI4" s="3469"/>
      <c r="TJJ4" s="3469"/>
      <c r="TJK4" s="3469"/>
      <c r="TJL4" s="3469"/>
      <c r="TJM4" s="3469"/>
      <c r="TJN4" s="3469"/>
      <c r="TJO4" s="3469"/>
      <c r="TJP4" s="3469"/>
      <c r="TJQ4" s="3469"/>
      <c r="TJR4" s="3469"/>
      <c r="TJS4" s="3469"/>
      <c r="TJT4" s="3469"/>
      <c r="TJU4" s="3469"/>
      <c r="TJV4" s="3469"/>
      <c r="TJW4" s="3469"/>
      <c r="TJX4" s="3469"/>
      <c r="TJY4" s="3469"/>
      <c r="TJZ4" s="3469"/>
      <c r="TKA4" s="3469"/>
      <c r="TKB4" s="3469"/>
      <c r="TKC4" s="3469"/>
      <c r="TKD4" s="3469"/>
      <c r="TKE4" s="3469"/>
      <c r="TKF4" s="3469"/>
      <c r="TKG4" s="3469"/>
      <c r="TKH4" s="3469"/>
      <c r="TKI4" s="3469"/>
      <c r="TKJ4" s="3469"/>
      <c r="TKK4" s="3469"/>
      <c r="TKL4" s="3469"/>
      <c r="TKM4" s="3469"/>
      <c r="TKN4" s="3469"/>
      <c r="TKO4" s="3469"/>
      <c r="TKP4" s="3469"/>
      <c r="TKQ4" s="3469"/>
      <c r="TKR4" s="3469"/>
      <c r="TKS4" s="3469"/>
      <c r="TKT4" s="3469"/>
      <c r="TKU4" s="3469"/>
      <c r="TKV4" s="3469"/>
      <c r="TKW4" s="3469"/>
      <c r="TKX4" s="3469"/>
      <c r="TKY4" s="3469"/>
      <c r="TKZ4" s="3469"/>
      <c r="TLA4" s="3469"/>
      <c r="TLB4" s="3469"/>
      <c r="TLC4" s="3469"/>
      <c r="TLD4" s="3469"/>
      <c r="TLE4" s="3469"/>
      <c r="TLF4" s="3469"/>
      <c r="TLG4" s="3469"/>
      <c r="TLH4" s="3469"/>
      <c r="TLI4" s="3469"/>
      <c r="TLJ4" s="3469"/>
      <c r="TLK4" s="3469"/>
      <c r="TLL4" s="3469"/>
      <c r="TLM4" s="3469"/>
      <c r="TLN4" s="3469"/>
      <c r="TLO4" s="3469"/>
      <c r="TLP4" s="3469"/>
      <c r="TLQ4" s="3469"/>
      <c r="TLR4" s="3469"/>
      <c r="TLS4" s="3469"/>
      <c r="TLT4" s="3469"/>
      <c r="TLU4" s="3469"/>
      <c r="TLV4" s="3469"/>
      <c r="TLW4" s="3469"/>
      <c r="TLX4" s="3469"/>
      <c r="TLY4" s="3469"/>
      <c r="TLZ4" s="3469"/>
      <c r="TMA4" s="3469"/>
      <c r="TMB4" s="3469"/>
      <c r="TMC4" s="3469"/>
      <c r="TMD4" s="3469"/>
      <c r="TME4" s="3469"/>
      <c r="TMF4" s="3469"/>
      <c r="TMG4" s="3469"/>
      <c r="TMH4" s="3469"/>
      <c r="TMI4" s="3469"/>
      <c r="TMJ4" s="3469"/>
      <c r="TMK4" s="3469"/>
      <c r="TML4" s="3469"/>
      <c r="TMM4" s="3469"/>
      <c r="TMN4" s="3469"/>
      <c r="TMO4" s="3469"/>
      <c r="TMP4" s="3469"/>
      <c r="TMQ4" s="3469"/>
      <c r="TMR4" s="3469"/>
      <c r="TMS4" s="3469"/>
      <c r="TMT4" s="3469"/>
      <c r="TMU4" s="3469"/>
      <c r="TMV4" s="3469"/>
      <c r="TMW4" s="3469"/>
      <c r="TMX4" s="3469"/>
      <c r="TMY4" s="3469"/>
      <c r="TMZ4" s="3469"/>
      <c r="TNA4" s="3469"/>
      <c r="TNB4" s="3469"/>
      <c r="TNC4" s="3469"/>
      <c r="TND4" s="3469"/>
      <c r="TNE4" s="3469"/>
      <c r="TNF4" s="3469"/>
      <c r="TNG4" s="3469"/>
      <c r="TNH4" s="3469"/>
      <c r="TNI4" s="3469"/>
      <c r="TNJ4" s="3469"/>
      <c r="TNK4" s="3469"/>
      <c r="TNL4" s="3469"/>
      <c r="TNM4" s="3469"/>
      <c r="TNN4" s="3469"/>
      <c r="TNO4" s="3469"/>
      <c r="TNP4" s="3469"/>
      <c r="TNQ4" s="3469"/>
      <c r="TNR4" s="3469"/>
      <c r="TNS4" s="3469"/>
      <c r="TNT4" s="3469"/>
      <c r="TNU4" s="3469"/>
      <c r="TNV4" s="3469"/>
      <c r="TNW4" s="3469"/>
      <c r="TNX4" s="3469"/>
      <c r="TNY4" s="3469"/>
      <c r="TNZ4" s="3469"/>
      <c r="TOA4" s="3469"/>
      <c r="TOB4" s="3469"/>
      <c r="TOC4" s="3469"/>
      <c r="TOD4" s="3469"/>
      <c r="TOE4" s="3469"/>
      <c r="TOF4" s="3469"/>
      <c r="TOG4" s="3469"/>
      <c r="TOH4" s="3469"/>
      <c r="TOI4" s="3469"/>
      <c r="TOJ4" s="3469"/>
      <c r="TOK4" s="3469"/>
      <c r="TOL4" s="3469"/>
      <c r="TOM4" s="3469"/>
      <c r="TON4" s="3469"/>
      <c r="TOO4" s="3469"/>
      <c r="TOP4" s="3469"/>
      <c r="TOQ4" s="3469"/>
      <c r="TOR4" s="3469"/>
      <c r="TOS4" s="3469"/>
      <c r="TOT4" s="3469"/>
      <c r="TOU4" s="3469"/>
      <c r="TOV4" s="3469"/>
      <c r="TOW4" s="3469"/>
      <c r="TOX4" s="3469"/>
      <c r="TOY4" s="3469"/>
      <c r="TOZ4" s="3469"/>
      <c r="TPA4" s="3469"/>
      <c r="TPB4" s="3469"/>
      <c r="TPC4" s="3469"/>
      <c r="TPD4" s="3469"/>
      <c r="TPE4" s="3469"/>
      <c r="TPF4" s="3469"/>
      <c r="TPG4" s="3469"/>
      <c r="TPH4" s="3469"/>
      <c r="TPI4" s="3469"/>
      <c r="TPJ4" s="3469"/>
      <c r="TPK4" s="3469"/>
      <c r="TPL4" s="3469"/>
      <c r="TPM4" s="3469"/>
      <c r="TPN4" s="3469"/>
      <c r="TPO4" s="3469"/>
      <c r="TPP4" s="3469"/>
      <c r="TPQ4" s="3469"/>
      <c r="TPR4" s="3469"/>
      <c r="TPS4" s="3469"/>
      <c r="TPT4" s="3469"/>
      <c r="TPU4" s="3469"/>
      <c r="TPV4" s="3469"/>
      <c r="TPW4" s="3469"/>
      <c r="TPX4" s="3469"/>
      <c r="TPY4" s="3469"/>
      <c r="TPZ4" s="3469"/>
      <c r="TQA4" s="3469"/>
      <c r="TQB4" s="3469"/>
      <c r="TQC4" s="3469"/>
      <c r="TQD4" s="3469"/>
      <c r="TQE4" s="3469"/>
      <c r="TQF4" s="3469"/>
      <c r="TQG4" s="3469"/>
      <c r="TQH4" s="3469"/>
      <c r="TQI4" s="3469"/>
      <c r="TQJ4" s="3469"/>
      <c r="TQK4" s="3469"/>
      <c r="TQL4" s="3469"/>
      <c r="TQM4" s="3469"/>
      <c r="TQN4" s="3469"/>
      <c r="TQO4" s="3469"/>
      <c r="TQP4" s="3469"/>
      <c r="TQQ4" s="3469"/>
      <c r="TQR4" s="3469"/>
      <c r="TQS4" s="3469"/>
      <c r="TQT4" s="3469"/>
      <c r="TQU4" s="3469"/>
      <c r="TQV4" s="3469"/>
      <c r="TQW4" s="3469"/>
      <c r="TQX4" s="3469"/>
      <c r="TQY4" s="3469"/>
      <c r="TQZ4" s="3469"/>
      <c r="TRA4" s="3469"/>
      <c r="TRB4" s="3469"/>
      <c r="TRC4" s="3469"/>
      <c r="TRD4" s="3469"/>
      <c r="TRE4" s="3469"/>
      <c r="TRF4" s="3469"/>
      <c r="TRG4" s="3469"/>
      <c r="TRH4" s="3469"/>
      <c r="TRI4" s="3469"/>
      <c r="TRJ4" s="3469"/>
      <c r="TRK4" s="3469"/>
      <c r="TRL4" s="3469"/>
      <c r="TRM4" s="3469"/>
      <c r="TRN4" s="3469"/>
      <c r="TRO4" s="3469"/>
      <c r="TRP4" s="3469"/>
      <c r="TRQ4" s="3469"/>
      <c r="TRR4" s="3469"/>
      <c r="TRS4" s="3469"/>
      <c r="TRT4" s="3469"/>
      <c r="TRU4" s="3469"/>
      <c r="TRV4" s="3469"/>
      <c r="TRW4" s="3469"/>
      <c r="TRX4" s="3469"/>
      <c r="TRY4" s="3469"/>
      <c r="TRZ4" s="3469"/>
      <c r="TSA4" s="3469"/>
      <c r="TSB4" s="3469"/>
      <c r="TSC4" s="3469"/>
      <c r="TSD4" s="3469"/>
      <c r="TSE4" s="3469"/>
      <c r="TSF4" s="3469"/>
      <c r="TSG4" s="3469"/>
      <c r="TSH4" s="3469"/>
      <c r="TSI4" s="3469"/>
      <c r="TSJ4" s="3469"/>
      <c r="TSK4" s="3469"/>
      <c r="TSL4" s="3469"/>
      <c r="TSM4" s="3469"/>
      <c r="TSN4" s="3469"/>
      <c r="TSO4" s="3469"/>
      <c r="TSP4" s="3469"/>
      <c r="TSQ4" s="3469"/>
      <c r="TSR4" s="3469"/>
      <c r="TSS4" s="3469"/>
      <c r="TST4" s="3469"/>
      <c r="TSU4" s="3469"/>
      <c r="TSV4" s="3469"/>
      <c r="TSW4" s="3469"/>
      <c r="TSX4" s="3469"/>
      <c r="TSY4" s="3469"/>
      <c r="TSZ4" s="3469"/>
      <c r="TTA4" s="3469"/>
      <c r="TTB4" s="3469"/>
      <c r="TTC4" s="3469"/>
      <c r="TTD4" s="3469"/>
      <c r="TTE4" s="3469"/>
      <c r="TTF4" s="3469"/>
      <c r="TTG4" s="3469"/>
      <c r="TTH4" s="3469"/>
      <c r="TTI4" s="3469"/>
      <c r="TTJ4" s="3469"/>
      <c r="TTK4" s="3469"/>
      <c r="TTL4" s="3469"/>
      <c r="TTM4" s="3469"/>
      <c r="TTN4" s="3469"/>
      <c r="TTO4" s="3469"/>
      <c r="TTP4" s="3469"/>
      <c r="TTQ4" s="3469"/>
      <c r="TTR4" s="3469"/>
      <c r="TTS4" s="3469"/>
      <c r="TTT4" s="3469"/>
      <c r="TTU4" s="3469"/>
      <c r="TTV4" s="3469"/>
      <c r="TTW4" s="3469"/>
      <c r="TTX4" s="3469"/>
      <c r="TTY4" s="3469"/>
      <c r="TTZ4" s="3469"/>
      <c r="TUA4" s="3469"/>
      <c r="TUB4" s="3469"/>
      <c r="TUC4" s="3469"/>
      <c r="TUD4" s="3469"/>
      <c r="TUE4" s="3469"/>
      <c r="TUF4" s="3469"/>
      <c r="TUG4" s="3469"/>
      <c r="TUH4" s="3469"/>
      <c r="TUI4" s="3469"/>
      <c r="TUJ4" s="3469"/>
      <c r="TUK4" s="3469"/>
      <c r="TUL4" s="3469"/>
      <c r="TUM4" s="3469"/>
      <c r="TUN4" s="3469"/>
      <c r="TUO4" s="3469"/>
      <c r="TUP4" s="3469"/>
      <c r="TUQ4" s="3469"/>
      <c r="TUR4" s="3469"/>
      <c r="TUS4" s="3469"/>
      <c r="TUT4" s="3469"/>
      <c r="TUU4" s="3469"/>
      <c r="TUV4" s="3469"/>
      <c r="TUW4" s="3469"/>
      <c r="TUX4" s="3469"/>
      <c r="TUY4" s="3469"/>
      <c r="TUZ4" s="3469"/>
      <c r="TVA4" s="3469"/>
      <c r="TVB4" s="3469"/>
      <c r="TVC4" s="3469"/>
      <c r="TVD4" s="3469"/>
      <c r="TVE4" s="3469"/>
      <c r="TVF4" s="3469"/>
      <c r="TVG4" s="3469"/>
      <c r="TVH4" s="3469"/>
      <c r="TVI4" s="3469"/>
      <c r="TVJ4" s="3469"/>
      <c r="TVK4" s="3469"/>
      <c r="TVL4" s="3469"/>
      <c r="TVM4" s="3469"/>
      <c r="TVN4" s="3469"/>
      <c r="TVO4" s="3469"/>
      <c r="TVP4" s="3469"/>
      <c r="TVQ4" s="3469"/>
      <c r="TVR4" s="3469"/>
      <c r="TVS4" s="3469"/>
      <c r="TVT4" s="3469"/>
      <c r="TVU4" s="3469"/>
      <c r="TVV4" s="3469"/>
      <c r="TVW4" s="3469"/>
      <c r="TVX4" s="3469"/>
      <c r="TVY4" s="3469"/>
      <c r="TVZ4" s="3469"/>
      <c r="TWA4" s="3469"/>
      <c r="TWB4" s="3469"/>
      <c r="TWC4" s="3469"/>
      <c r="TWD4" s="3469"/>
      <c r="TWE4" s="3469"/>
      <c r="TWF4" s="3469"/>
      <c r="TWG4" s="3469"/>
      <c r="TWH4" s="3469"/>
      <c r="TWI4" s="3469"/>
      <c r="TWJ4" s="3469"/>
      <c r="TWK4" s="3469"/>
      <c r="TWL4" s="3469"/>
      <c r="TWM4" s="3469"/>
      <c r="TWN4" s="3469"/>
      <c r="TWO4" s="3469"/>
      <c r="TWP4" s="3469"/>
      <c r="TWQ4" s="3469"/>
      <c r="TWR4" s="3469"/>
      <c r="TWS4" s="3469"/>
      <c r="TWT4" s="3469"/>
      <c r="TWU4" s="3469"/>
      <c r="TWV4" s="3469"/>
      <c r="TWW4" s="3469"/>
      <c r="TWX4" s="3469"/>
      <c r="TWY4" s="3469"/>
      <c r="TWZ4" s="3469"/>
      <c r="TXA4" s="3469"/>
      <c r="TXB4" s="3469"/>
      <c r="TXC4" s="3469"/>
      <c r="TXD4" s="3469"/>
      <c r="TXE4" s="3469"/>
      <c r="TXF4" s="3469"/>
      <c r="TXG4" s="3469"/>
      <c r="TXH4" s="3469"/>
      <c r="TXI4" s="3469"/>
      <c r="TXJ4" s="3469"/>
      <c r="TXK4" s="3469"/>
      <c r="TXL4" s="3469"/>
      <c r="TXM4" s="3469"/>
      <c r="TXN4" s="3469"/>
      <c r="TXO4" s="3469"/>
      <c r="TXP4" s="3469"/>
      <c r="TXQ4" s="3469"/>
      <c r="TXR4" s="3469"/>
      <c r="TXS4" s="3469"/>
      <c r="TXT4" s="3469"/>
      <c r="TXU4" s="3469"/>
      <c r="TXV4" s="3469"/>
      <c r="TXW4" s="3469"/>
      <c r="TXX4" s="3469"/>
      <c r="TXY4" s="3469"/>
      <c r="TXZ4" s="3469"/>
      <c r="TYA4" s="3469"/>
      <c r="TYB4" s="3469"/>
      <c r="TYC4" s="3469"/>
      <c r="TYD4" s="3469"/>
      <c r="TYE4" s="3469"/>
      <c r="TYF4" s="3469"/>
      <c r="TYG4" s="3469"/>
      <c r="TYH4" s="3469"/>
      <c r="TYI4" s="3469"/>
      <c r="TYJ4" s="3469"/>
      <c r="TYK4" s="3469"/>
      <c r="TYL4" s="3469"/>
      <c r="TYM4" s="3469"/>
      <c r="TYN4" s="3469"/>
      <c r="TYO4" s="3469"/>
      <c r="TYP4" s="3469"/>
      <c r="TYQ4" s="3469"/>
      <c r="TYR4" s="3469"/>
      <c r="TYS4" s="3469"/>
      <c r="TYT4" s="3469"/>
      <c r="TYU4" s="3469"/>
      <c r="TYV4" s="3469"/>
      <c r="TYW4" s="3469"/>
      <c r="TYX4" s="3469"/>
      <c r="TYY4" s="3469"/>
      <c r="TYZ4" s="3469"/>
      <c r="TZA4" s="3469"/>
      <c r="TZB4" s="3469"/>
      <c r="TZC4" s="3469"/>
      <c r="TZD4" s="3469"/>
      <c r="TZE4" s="3469"/>
      <c r="TZF4" s="3469"/>
      <c r="TZG4" s="3469"/>
      <c r="TZH4" s="3469"/>
      <c r="TZI4" s="3469"/>
      <c r="TZJ4" s="3469"/>
      <c r="TZK4" s="3469"/>
      <c r="TZL4" s="3469"/>
      <c r="TZM4" s="3469"/>
      <c r="TZN4" s="3469"/>
      <c r="TZO4" s="3469"/>
      <c r="TZP4" s="3469"/>
      <c r="TZQ4" s="3469"/>
      <c r="TZR4" s="3469"/>
      <c r="TZS4" s="3469"/>
      <c r="TZT4" s="3469"/>
      <c r="TZU4" s="3469"/>
      <c r="TZV4" s="3469"/>
      <c r="TZW4" s="3469"/>
      <c r="TZX4" s="3469"/>
      <c r="TZY4" s="3469"/>
      <c r="TZZ4" s="3469"/>
      <c r="UAA4" s="3469"/>
      <c r="UAB4" s="3469"/>
      <c r="UAC4" s="3469"/>
      <c r="UAD4" s="3469"/>
      <c r="UAE4" s="3469"/>
      <c r="UAF4" s="3469"/>
      <c r="UAG4" s="3469"/>
      <c r="UAH4" s="3469"/>
      <c r="UAI4" s="3469"/>
      <c r="UAJ4" s="3469"/>
      <c r="UAK4" s="3469"/>
      <c r="UAL4" s="3469"/>
      <c r="UAM4" s="3469"/>
      <c r="UAN4" s="3469"/>
      <c r="UAO4" s="3469"/>
      <c r="UAP4" s="3469"/>
      <c r="UAQ4" s="3469"/>
      <c r="UAR4" s="3469"/>
      <c r="UAS4" s="3469"/>
      <c r="UAT4" s="3469"/>
      <c r="UAU4" s="3469"/>
      <c r="UAV4" s="3469"/>
      <c r="UAW4" s="3469"/>
      <c r="UAX4" s="3469"/>
      <c r="UAY4" s="3469"/>
      <c r="UAZ4" s="3469"/>
      <c r="UBA4" s="3469"/>
      <c r="UBB4" s="3469"/>
      <c r="UBC4" s="3469"/>
      <c r="UBD4" s="3469"/>
      <c r="UBE4" s="3469"/>
      <c r="UBF4" s="3469"/>
      <c r="UBG4" s="3469"/>
      <c r="UBH4" s="3469"/>
      <c r="UBI4" s="3469"/>
      <c r="UBJ4" s="3469"/>
      <c r="UBK4" s="3469"/>
      <c r="UBL4" s="3469"/>
      <c r="UBM4" s="3469"/>
      <c r="UBN4" s="3469"/>
      <c r="UBO4" s="3469"/>
      <c r="UBP4" s="3469"/>
      <c r="UBQ4" s="3469"/>
      <c r="UBR4" s="3469"/>
      <c r="UBS4" s="3469"/>
      <c r="UBT4" s="3469"/>
      <c r="UBU4" s="3469"/>
      <c r="UBV4" s="3469"/>
      <c r="UBW4" s="3469"/>
      <c r="UBX4" s="3469"/>
      <c r="UBY4" s="3469"/>
      <c r="UBZ4" s="3469"/>
      <c r="UCA4" s="3469"/>
      <c r="UCB4" s="3469"/>
      <c r="UCC4" s="3469"/>
      <c r="UCD4" s="3469"/>
      <c r="UCE4" s="3469"/>
      <c r="UCF4" s="3469"/>
      <c r="UCG4" s="3469"/>
      <c r="UCH4" s="3469"/>
      <c r="UCI4" s="3469"/>
      <c r="UCJ4" s="3469"/>
      <c r="UCK4" s="3469"/>
      <c r="UCL4" s="3469"/>
      <c r="UCM4" s="3469"/>
      <c r="UCN4" s="3469"/>
      <c r="UCO4" s="3469"/>
      <c r="UCP4" s="3469"/>
      <c r="UCQ4" s="3469"/>
      <c r="UCR4" s="3469"/>
      <c r="UCS4" s="3469"/>
      <c r="UCT4" s="3469"/>
      <c r="UCU4" s="3469"/>
      <c r="UCV4" s="3469"/>
      <c r="UCW4" s="3469"/>
      <c r="UCX4" s="3469"/>
      <c r="UCY4" s="3469"/>
      <c r="UCZ4" s="3469"/>
      <c r="UDA4" s="3469"/>
      <c r="UDB4" s="3469"/>
      <c r="UDC4" s="3469"/>
      <c r="UDD4" s="3469"/>
      <c r="UDE4" s="3469"/>
      <c r="UDF4" s="3469"/>
      <c r="UDG4" s="3469"/>
      <c r="UDH4" s="3469"/>
      <c r="UDI4" s="3469"/>
      <c r="UDJ4" s="3469"/>
      <c r="UDK4" s="3469"/>
      <c r="UDL4" s="3469"/>
      <c r="UDM4" s="3469"/>
      <c r="UDN4" s="3469"/>
      <c r="UDO4" s="3469"/>
      <c r="UDP4" s="3469"/>
      <c r="UDQ4" s="3469"/>
      <c r="UDR4" s="3469"/>
      <c r="UDS4" s="3469"/>
      <c r="UDT4" s="3469"/>
      <c r="UDU4" s="3469"/>
      <c r="UDV4" s="3469"/>
      <c r="UDW4" s="3469"/>
      <c r="UDX4" s="3469"/>
      <c r="UDY4" s="3469"/>
      <c r="UDZ4" s="3469"/>
      <c r="UEA4" s="3469"/>
      <c r="UEB4" s="3469"/>
      <c r="UEC4" s="3469"/>
      <c r="UED4" s="3469"/>
      <c r="UEE4" s="3469"/>
      <c r="UEF4" s="3469"/>
      <c r="UEG4" s="3469"/>
      <c r="UEH4" s="3469"/>
      <c r="UEI4" s="3469"/>
      <c r="UEJ4" s="3469"/>
      <c r="UEK4" s="3469"/>
      <c r="UEL4" s="3469"/>
      <c r="UEM4" s="3469"/>
      <c r="UEN4" s="3469"/>
      <c r="UEO4" s="3469"/>
      <c r="UEP4" s="3469"/>
      <c r="UEQ4" s="3469"/>
      <c r="UER4" s="3469"/>
      <c r="UES4" s="3469"/>
      <c r="UET4" s="3469"/>
      <c r="UEU4" s="3469"/>
      <c r="UEV4" s="3469"/>
      <c r="UEW4" s="3469"/>
      <c r="UEX4" s="3469"/>
      <c r="UEY4" s="3469"/>
      <c r="UEZ4" s="3469"/>
      <c r="UFA4" s="3469"/>
      <c r="UFB4" s="3469"/>
      <c r="UFC4" s="3469"/>
      <c r="UFD4" s="3469"/>
      <c r="UFE4" s="3469"/>
      <c r="UFF4" s="3469"/>
      <c r="UFG4" s="3469"/>
      <c r="UFH4" s="3469"/>
      <c r="UFI4" s="3469"/>
      <c r="UFJ4" s="3469"/>
      <c r="UFK4" s="3469"/>
      <c r="UFL4" s="3469"/>
      <c r="UFM4" s="3469"/>
      <c r="UFN4" s="3469"/>
      <c r="UFO4" s="3469"/>
      <c r="UFP4" s="3469"/>
      <c r="UFQ4" s="3469"/>
      <c r="UFR4" s="3469"/>
      <c r="UFS4" s="3469"/>
      <c r="UFT4" s="3469"/>
      <c r="UFU4" s="3469"/>
      <c r="UFV4" s="3469"/>
      <c r="UFW4" s="3469"/>
      <c r="UFX4" s="3469"/>
      <c r="UFY4" s="3469"/>
      <c r="UFZ4" s="3469"/>
      <c r="UGA4" s="3469"/>
      <c r="UGB4" s="3469"/>
      <c r="UGC4" s="3469"/>
      <c r="UGD4" s="3469"/>
      <c r="UGE4" s="3469"/>
      <c r="UGF4" s="3469"/>
      <c r="UGG4" s="3469"/>
      <c r="UGH4" s="3469"/>
      <c r="UGI4" s="3469"/>
      <c r="UGJ4" s="3469"/>
      <c r="UGK4" s="3469"/>
      <c r="UGL4" s="3469"/>
      <c r="UGM4" s="3469"/>
      <c r="UGN4" s="3469"/>
      <c r="UGO4" s="3469"/>
      <c r="UGP4" s="3469"/>
      <c r="UGQ4" s="3469"/>
      <c r="UGR4" s="3469"/>
      <c r="UGS4" s="3469"/>
      <c r="UGT4" s="3469"/>
      <c r="UGU4" s="3469"/>
      <c r="UGV4" s="3469"/>
      <c r="UGW4" s="3469"/>
      <c r="UGX4" s="3469"/>
      <c r="UGY4" s="3469"/>
      <c r="UGZ4" s="3469"/>
      <c r="UHA4" s="3469"/>
      <c r="UHB4" s="3469"/>
      <c r="UHC4" s="3469"/>
      <c r="UHD4" s="3469"/>
      <c r="UHE4" s="3469"/>
      <c r="UHF4" s="3469"/>
      <c r="UHG4" s="3469"/>
      <c r="UHH4" s="3469"/>
      <c r="UHI4" s="3469"/>
      <c r="UHJ4" s="3469"/>
      <c r="UHK4" s="3469"/>
      <c r="UHL4" s="3469"/>
      <c r="UHM4" s="3469"/>
      <c r="UHN4" s="3469"/>
      <c r="UHO4" s="3469"/>
      <c r="UHP4" s="3469"/>
      <c r="UHQ4" s="3469"/>
      <c r="UHR4" s="3469"/>
      <c r="UHS4" s="3469"/>
      <c r="UHT4" s="3469"/>
      <c r="UHU4" s="3469"/>
      <c r="UHV4" s="3469"/>
      <c r="UHW4" s="3469"/>
      <c r="UHX4" s="3469"/>
      <c r="UHY4" s="3469"/>
      <c r="UHZ4" s="3469"/>
      <c r="UIA4" s="3469"/>
      <c r="UIB4" s="3469"/>
      <c r="UIC4" s="3469"/>
      <c r="UID4" s="3469"/>
      <c r="UIE4" s="3469"/>
      <c r="UIF4" s="3469"/>
      <c r="UIG4" s="3469"/>
      <c r="UIH4" s="3469"/>
      <c r="UII4" s="3469"/>
      <c r="UIJ4" s="3469"/>
      <c r="UIK4" s="3469"/>
      <c r="UIL4" s="3469"/>
      <c r="UIM4" s="3469"/>
      <c r="UIN4" s="3469"/>
      <c r="UIO4" s="3469"/>
      <c r="UIP4" s="3469"/>
      <c r="UIQ4" s="3469"/>
      <c r="UIR4" s="3469"/>
      <c r="UIS4" s="3469"/>
      <c r="UIT4" s="3469"/>
      <c r="UIU4" s="3469"/>
      <c r="UIV4" s="3469"/>
      <c r="UIW4" s="3469"/>
      <c r="UIX4" s="3469"/>
      <c r="UIY4" s="3469"/>
      <c r="UIZ4" s="3469"/>
      <c r="UJA4" s="3469"/>
      <c r="UJB4" s="3469"/>
      <c r="UJC4" s="3469"/>
      <c r="UJD4" s="3469"/>
      <c r="UJE4" s="3469"/>
      <c r="UJF4" s="3469"/>
      <c r="UJG4" s="3469"/>
      <c r="UJH4" s="3469"/>
      <c r="UJI4" s="3469"/>
      <c r="UJJ4" s="3469"/>
      <c r="UJK4" s="3469"/>
      <c r="UJL4" s="3469"/>
      <c r="UJM4" s="3469"/>
      <c r="UJN4" s="3469"/>
      <c r="UJO4" s="3469"/>
      <c r="UJP4" s="3469"/>
      <c r="UJQ4" s="3469"/>
      <c r="UJR4" s="3469"/>
      <c r="UJS4" s="3469"/>
      <c r="UJT4" s="3469"/>
      <c r="UJU4" s="3469"/>
      <c r="UJV4" s="3469"/>
      <c r="UJW4" s="3469"/>
      <c r="UJX4" s="3469"/>
      <c r="UJY4" s="3469"/>
      <c r="UJZ4" s="3469"/>
      <c r="UKA4" s="3469"/>
      <c r="UKB4" s="3469"/>
      <c r="UKC4" s="3469"/>
      <c r="UKD4" s="3469"/>
      <c r="UKE4" s="3469"/>
      <c r="UKF4" s="3469"/>
      <c r="UKG4" s="3469"/>
      <c r="UKH4" s="3469"/>
      <c r="UKI4" s="3469"/>
      <c r="UKJ4" s="3469"/>
      <c r="UKK4" s="3469"/>
      <c r="UKL4" s="3469"/>
      <c r="UKM4" s="3469"/>
      <c r="UKN4" s="3469"/>
      <c r="UKO4" s="3469"/>
      <c r="UKP4" s="3469"/>
      <c r="UKQ4" s="3469"/>
      <c r="UKR4" s="3469"/>
      <c r="UKS4" s="3469"/>
      <c r="UKT4" s="3469"/>
      <c r="UKU4" s="3469"/>
      <c r="UKV4" s="3469"/>
      <c r="UKW4" s="3469"/>
      <c r="UKX4" s="3469"/>
      <c r="UKY4" s="3469"/>
      <c r="UKZ4" s="3469"/>
      <c r="ULA4" s="3469"/>
      <c r="ULB4" s="3469"/>
      <c r="ULC4" s="3469"/>
      <c r="ULD4" s="3469"/>
      <c r="ULE4" s="3469"/>
      <c r="ULF4" s="3469"/>
      <c r="ULG4" s="3469"/>
      <c r="ULH4" s="3469"/>
      <c r="ULI4" s="3469"/>
      <c r="ULJ4" s="3469"/>
      <c r="ULK4" s="3469"/>
      <c r="ULL4" s="3469"/>
      <c r="ULM4" s="3469"/>
      <c r="ULN4" s="3469"/>
      <c r="ULO4" s="3469"/>
      <c r="ULP4" s="3469"/>
      <c r="ULQ4" s="3469"/>
      <c r="ULR4" s="3469"/>
      <c r="ULS4" s="3469"/>
      <c r="ULT4" s="3469"/>
      <c r="ULU4" s="3469"/>
      <c r="ULV4" s="3469"/>
      <c r="ULW4" s="3469"/>
      <c r="ULX4" s="3469"/>
      <c r="ULY4" s="3469"/>
      <c r="ULZ4" s="3469"/>
      <c r="UMA4" s="3469"/>
      <c r="UMB4" s="3469"/>
      <c r="UMC4" s="3469"/>
      <c r="UMD4" s="3469"/>
      <c r="UME4" s="3469"/>
      <c r="UMF4" s="3469"/>
      <c r="UMG4" s="3469"/>
      <c r="UMH4" s="3469"/>
      <c r="UMI4" s="3469"/>
      <c r="UMJ4" s="3469"/>
      <c r="UMK4" s="3469"/>
      <c r="UML4" s="3469"/>
      <c r="UMM4" s="3469"/>
      <c r="UMN4" s="3469"/>
      <c r="UMO4" s="3469"/>
      <c r="UMP4" s="3469"/>
      <c r="UMQ4" s="3469"/>
      <c r="UMR4" s="3469"/>
      <c r="UMS4" s="3469"/>
      <c r="UMT4" s="3469"/>
      <c r="UMU4" s="3469"/>
      <c r="UMV4" s="3469"/>
      <c r="UMW4" s="3469"/>
      <c r="UMX4" s="3469"/>
      <c r="UMY4" s="3469"/>
      <c r="UMZ4" s="3469"/>
      <c r="UNA4" s="3469"/>
      <c r="UNB4" s="3469"/>
      <c r="UNC4" s="3469"/>
      <c r="UND4" s="3469"/>
      <c r="UNE4" s="3469"/>
      <c r="UNF4" s="3469"/>
      <c r="UNG4" s="3469"/>
      <c r="UNH4" s="3469"/>
      <c r="UNI4" s="3469"/>
      <c r="UNJ4" s="3469"/>
      <c r="UNK4" s="3469"/>
      <c r="UNL4" s="3469"/>
      <c r="UNM4" s="3469"/>
      <c r="UNN4" s="3469"/>
      <c r="UNO4" s="3469"/>
      <c r="UNP4" s="3469"/>
      <c r="UNQ4" s="3469"/>
      <c r="UNR4" s="3469"/>
      <c r="UNS4" s="3469"/>
      <c r="UNT4" s="3469"/>
      <c r="UNU4" s="3469"/>
      <c r="UNV4" s="3469"/>
      <c r="UNW4" s="3469"/>
      <c r="UNX4" s="3469"/>
      <c r="UNY4" s="3469"/>
      <c r="UNZ4" s="3469"/>
      <c r="UOA4" s="3469"/>
      <c r="UOB4" s="3469"/>
      <c r="UOC4" s="3469"/>
      <c r="UOD4" s="3469"/>
      <c r="UOE4" s="3469"/>
      <c r="UOF4" s="3469"/>
      <c r="UOG4" s="3469"/>
      <c r="UOH4" s="3469"/>
      <c r="UOI4" s="3469"/>
      <c r="UOJ4" s="3469"/>
      <c r="UOK4" s="3469"/>
      <c r="UOL4" s="3469"/>
      <c r="UOM4" s="3469"/>
      <c r="UON4" s="3469"/>
      <c r="UOO4" s="3469"/>
      <c r="UOP4" s="3469"/>
      <c r="UOQ4" s="3469"/>
      <c r="UOR4" s="3469"/>
      <c r="UOS4" s="3469"/>
      <c r="UOT4" s="3469"/>
      <c r="UOU4" s="3469"/>
      <c r="UOV4" s="3469"/>
      <c r="UOW4" s="3469"/>
      <c r="UOX4" s="3469"/>
      <c r="UOY4" s="3469"/>
      <c r="UOZ4" s="3469"/>
      <c r="UPA4" s="3469"/>
      <c r="UPB4" s="3469"/>
      <c r="UPC4" s="3469"/>
      <c r="UPD4" s="3469"/>
      <c r="UPE4" s="3469"/>
      <c r="UPF4" s="3469"/>
      <c r="UPG4" s="3469"/>
      <c r="UPH4" s="3469"/>
      <c r="UPI4" s="3469"/>
      <c r="UPJ4" s="3469"/>
      <c r="UPK4" s="3469"/>
      <c r="UPL4" s="3469"/>
      <c r="UPM4" s="3469"/>
      <c r="UPN4" s="3469"/>
      <c r="UPO4" s="3469"/>
      <c r="UPP4" s="3469"/>
      <c r="UPQ4" s="3469"/>
      <c r="UPR4" s="3469"/>
      <c r="UPS4" s="3469"/>
      <c r="UPT4" s="3469"/>
      <c r="UPU4" s="3469"/>
      <c r="UPV4" s="3469"/>
      <c r="UPW4" s="3469"/>
      <c r="UPX4" s="3469"/>
      <c r="UPY4" s="3469"/>
      <c r="UPZ4" s="3469"/>
      <c r="UQA4" s="3469"/>
      <c r="UQB4" s="3469"/>
      <c r="UQC4" s="3469"/>
      <c r="UQD4" s="3469"/>
      <c r="UQE4" s="3469"/>
      <c r="UQF4" s="3469"/>
      <c r="UQG4" s="3469"/>
      <c r="UQH4" s="3469"/>
      <c r="UQI4" s="3469"/>
      <c r="UQJ4" s="3469"/>
      <c r="UQK4" s="3469"/>
      <c r="UQL4" s="3469"/>
      <c r="UQM4" s="3469"/>
      <c r="UQN4" s="3469"/>
      <c r="UQO4" s="3469"/>
      <c r="UQP4" s="3469"/>
      <c r="UQQ4" s="3469"/>
      <c r="UQR4" s="3469"/>
      <c r="UQS4" s="3469"/>
      <c r="UQT4" s="3469"/>
      <c r="UQU4" s="3469"/>
      <c r="UQV4" s="3469"/>
      <c r="UQW4" s="3469"/>
      <c r="UQX4" s="3469"/>
      <c r="UQY4" s="3469"/>
      <c r="UQZ4" s="3469"/>
      <c r="URA4" s="3469"/>
      <c r="URB4" s="3469"/>
      <c r="URC4" s="3469"/>
      <c r="URD4" s="3469"/>
      <c r="URE4" s="3469"/>
      <c r="URF4" s="3469"/>
      <c r="URG4" s="3469"/>
      <c r="URH4" s="3469"/>
      <c r="URI4" s="3469"/>
      <c r="URJ4" s="3469"/>
      <c r="URK4" s="3469"/>
      <c r="URL4" s="3469"/>
      <c r="URM4" s="3469"/>
      <c r="URN4" s="3469"/>
      <c r="URO4" s="3469"/>
      <c r="URP4" s="3469"/>
      <c r="URQ4" s="3469"/>
      <c r="URR4" s="3469"/>
      <c r="URS4" s="3469"/>
      <c r="URT4" s="3469"/>
      <c r="URU4" s="3469"/>
      <c r="URV4" s="3469"/>
      <c r="URW4" s="3469"/>
      <c r="URX4" s="3469"/>
      <c r="URY4" s="3469"/>
      <c r="URZ4" s="3469"/>
      <c r="USA4" s="3469"/>
      <c r="USB4" s="3469"/>
      <c r="USC4" s="3469"/>
      <c r="USD4" s="3469"/>
      <c r="USE4" s="3469"/>
      <c r="USF4" s="3469"/>
      <c r="USG4" s="3469"/>
      <c r="USH4" s="3469"/>
      <c r="USI4" s="3469"/>
      <c r="USJ4" s="3469"/>
      <c r="USK4" s="3469"/>
      <c r="USL4" s="3469"/>
      <c r="USM4" s="3469"/>
      <c r="USN4" s="3469"/>
      <c r="USO4" s="3469"/>
      <c r="USP4" s="3469"/>
      <c r="USQ4" s="3469"/>
      <c r="USR4" s="3469"/>
      <c r="USS4" s="3469"/>
      <c r="UST4" s="3469"/>
      <c r="USU4" s="3469"/>
      <c r="USV4" s="3469"/>
      <c r="USW4" s="3469"/>
      <c r="USX4" s="3469"/>
      <c r="USY4" s="3469"/>
      <c r="USZ4" s="3469"/>
      <c r="UTA4" s="3469"/>
      <c r="UTB4" s="3469"/>
      <c r="UTC4" s="3469"/>
      <c r="UTD4" s="3469"/>
      <c r="UTE4" s="3469"/>
      <c r="UTF4" s="3469"/>
      <c r="UTG4" s="3469"/>
      <c r="UTH4" s="3469"/>
      <c r="UTI4" s="3469"/>
      <c r="UTJ4" s="3469"/>
      <c r="UTK4" s="3469"/>
      <c r="UTL4" s="3469"/>
      <c r="UTM4" s="3469"/>
      <c r="UTN4" s="3469"/>
      <c r="UTO4" s="3469"/>
      <c r="UTP4" s="3469"/>
      <c r="UTQ4" s="3469"/>
      <c r="UTR4" s="3469"/>
      <c r="UTS4" s="3469"/>
      <c r="UTT4" s="3469"/>
      <c r="UTU4" s="3469"/>
      <c r="UTV4" s="3469"/>
      <c r="UTW4" s="3469"/>
      <c r="UTX4" s="3469"/>
      <c r="UTY4" s="3469"/>
      <c r="UTZ4" s="3469"/>
      <c r="UUA4" s="3469"/>
      <c r="UUB4" s="3469"/>
      <c r="UUC4" s="3469"/>
      <c r="UUD4" s="3469"/>
      <c r="UUE4" s="3469"/>
      <c r="UUF4" s="3469"/>
      <c r="UUG4" s="3469"/>
      <c r="UUH4" s="3469"/>
      <c r="UUI4" s="3469"/>
      <c r="UUJ4" s="3469"/>
      <c r="UUK4" s="3469"/>
      <c r="UUL4" s="3469"/>
      <c r="UUM4" s="3469"/>
      <c r="UUN4" s="3469"/>
      <c r="UUO4" s="3469"/>
      <c r="UUP4" s="3469"/>
      <c r="UUQ4" s="3469"/>
      <c r="UUR4" s="3469"/>
      <c r="UUS4" s="3469"/>
      <c r="UUT4" s="3469"/>
      <c r="UUU4" s="3469"/>
      <c r="UUV4" s="3469"/>
      <c r="UUW4" s="3469"/>
      <c r="UUX4" s="3469"/>
      <c r="UUY4" s="3469"/>
      <c r="UUZ4" s="3469"/>
      <c r="UVA4" s="3469"/>
      <c r="UVB4" s="3469"/>
      <c r="UVC4" s="3469"/>
      <c r="UVD4" s="3469"/>
      <c r="UVE4" s="3469"/>
      <c r="UVF4" s="3469"/>
      <c r="UVG4" s="3469"/>
      <c r="UVH4" s="3469"/>
      <c r="UVI4" s="3469"/>
      <c r="UVJ4" s="3469"/>
      <c r="UVK4" s="3469"/>
      <c r="UVL4" s="3469"/>
      <c r="UVM4" s="3469"/>
      <c r="UVN4" s="3469"/>
      <c r="UVO4" s="3469"/>
      <c r="UVP4" s="3469"/>
      <c r="UVQ4" s="3469"/>
      <c r="UVR4" s="3469"/>
      <c r="UVS4" s="3469"/>
      <c r="UVT4" s="3469"/>
      <c r="UVU4" s="3469"/>
      <c r="UVV4" s="3469"/>
      <c r="UVW4" s="3469"/>
      <c r="UVX4" s="3469"/>
      <c r="UVY4" s="3469"/>
      <c r="UVZ4" s="3469"/>
      <c r="UWA4" s="3469"/>
      <c r="UWB4" s="3469"/>
      <c r="UWC4" s="3469"/>
      <c r="UWD4" s="3469"/>
      <c r="UWE4" s="3469"/>
      <c r="UWF4" s="3469"/>
      <c r="UWG4" s="3469"/>
      <c r="UWH4" s="3469"/>
      <c r="UWI4" s="3469"/>
      <c r="UWJ4" s="3469"/>
      <c r="UWK4" s="3469"/>
      <c r="UWL4" s="3469"/>
      <c r="UWM4" s="3469"/>
      <c r="UWN4" s="3469"/>
      <c r="UWO4" s="3469"/>
      <c r="UWP4" s="3469"/>
      <c r="UWQ4" s="3469"/>
      <c r="UWR4" s="3469"/>
      <c r="UWS4" s="3469"/>
      <c r="UWT4" s="3469"/>
      <c r="UWU4" s="3469"/>
      <c r="UWV4" s="3469"/>
      <c r="UWW4" s="3469"/>
      <c r="UWX4" s="3469"/>
      <c r="UWY4" s="3469"/>
      <c r="UWZ4" s="3469"/>
      <c r="UXA4" s="3469"/>
      <c r="UXB4" s="3469"/>
      <c r="UXC4" s="3469"/>
      <c r="UXD4" s="3469"/>
      <c r="UXE4" s="3469"/>
      <c r="UXF4" s="3469"/>
      <c r="UXG4" s="3469"/>
      <c r="UXH4" s="3469"/>
      <c r="UXI4" s="3469"/>
      <c r="UXJ4" s="3469"/>
      <c r="UXK4" s="3469"/>
      <c r="UXL4" s="3469"/>
      <c r="UXM4" s="3469"/>
      <c r="UXN4" s="3469"/>
      <c r="UXO4" s="3469"/>
      <c r="UXP4" s="3469"/>
      <c r="UXQ4" s="3469"/>
      <c r="UXR4" s="3469"/>
      <c r="UXS4" s="3469"/>
      <c r="UXT4" s="3469"/>
      <c r="UXU4" s="3469"/>
      <c r="UXV4" s="3469"/>
      <c r="UXW4" s="3469"/>
      <c r="UXX4" s="3469"/>
      <c r="UXY4" s="3469"/>
      <c r="UXZ4" s="3469"/>
      <c r="UYA4" s="3469"/>
      <c r="UYB4" s="3469"/>
      <c r="UYC4" s="3469"/>
      <c r="UYD4" s="3469"/>
      <c r="UYE4" s="3469"/>
      <c r="UYF4" s="3469"/>
      <c r="UYG4" s="3469"/>
      <c r="UYH4" s="3469"/>
      <c r="UYI4" s="3469"/>
      <c r="UYJ4" s="3469"/>
      <c r="UYK4" s="3469"/>
      <c r="UYL4" s="3469"/>
      <c r="UYM4" s="3469"/>
      <c r="UYN4" s="3469"/>
      <c r="UYO4" s="3469"/>
      <c r="UYP4" s="3469"/>
      <c r="UYQ4" s="3469"/>
      <c r="UYR4" s="3469"/>
      <c r="UYS4" s="3469"/>
      <c r="UYT4" s="3469"/>
      <c r="UYU4" s="3469"/>
      <c r="UYV4" s="3469"/>
      <c r="UYW4" s="3469"/>
      <c r="UYX4" s="3469"/>
      <c r="UYY4" s="3469"/>
      <c r="UYZ4" s="3469"/>
      <c r="UZA4" s="3469"/>
      <c r="UZB4" s="3469"/>
      <c r="UZC4" s="3469"/>
      <c r="UZD4" s="3469"/>
      <c r="UZE4" s="3469"/>
      <c r="UZF4" s="3469"/>
      <c r="UZG4" s="3469"/>
      <c r="UZH4" s="3469"/>
      <c r="UZI4" s="3469"/>
      <c r="UZJ4" s="3469"/>
      <c r="UZK4" s="3469"/>
      <c r="UZL4" s="3469"/>
      <c r="UZM4" s="3469"/>
      <c r="UZN4" s="3469"/>
      <c r="UZO4" s="3469"/>
      <c r="UZP4" s="3469"/>
      <c r="UZQ4" s="3469"/>
      <c r="UZR4" s="3469"/>
      <c r="UZS4" s="3469"/>
      <c r="UZT4" s="3469"/>
      <c r="UZU4" s="3469"/>
      <c r="UZV4" s="3469"/>
      <c r="UZW4" s="3469"/>
      <c r="UZX4" s="3469"/>
      <c r="UZY4" s="3469"/>
      <c r="UZZ4" s="3469"/>
      <c r="VAA4" s="3469"/>
      <c r="VAB4" s="3469"/>
      <c r="VAC4" s="3469"/>
      <c r="VAD4" s="3469"/>
      <c r="VAE4" s="3469"/>
      <c r="VAF4" s="3469"/>
      <c r="VAG4" s="3469"/>
      <c r="VAH4" s="3469"/>
      <c r="VAI4" s="3469"/>
      <c r="VAJ4" s="3469"/>
      <c r="VAK4" s="3469"/>
      <c r="VAL4" s="3469"/>
      <c r="VAM4" s="3469"/>
      <c r="VAN4" s="3469"/>
      <c r="VAO4" s="3469"/>
      <c r="VAP4" s="3469"/>
      <c r="VAQ4" s="3469"/>
      <c r="VAR4" s="3469"/>
      <c r="VAS4" s="3469"/>
      <c r="VAT4" s="3469"/>
      <c r="VAU4" s="3469"/>
      <c r="VAV4" s="3469"/>
      <c r="VAW4" s="3469"/>
      <c r="VAX4" s="3469"/>
      <c r="VAY4" s="3469"/>
      <c r="VAZ4" s="3469"/>
      <c r="VBA4" s="3469"/>
      <c r="VBB4" s="3469"/>
      <c r="VBC4" s="3469"/>
      <c r="VBD4" s="3469"/>
      <c r="VBE4" s="3469"/>
      <c r="VBF4" s="3469"/>
      <c r="VBG4" s="3469"/>
      <c r="VBH4" s="3469"/>
      <c r="VBI4" s="3469"/>
      <c r="VBJ4" s="3469"/>
      <c r="VBK4" s="3469"/>
      <c r="VBL4" s="3469"/>
      <c r="VBM4" s="3469"/>
      <c r="VBN4" s="3469"/>
      <c r="VBO4" s="3469"/>
      <c r="VBP4" s="3469"/>
      <c r="VBQ4" s="3469"/>
      <c r="VBR4" s="3469"/>
      <c r="VBS4" s="3469"/>
      <c r="VBT4" s="3469"/>
      <c r="VBU4" s="3469"/>
      <c r="VBV4" s="3469"/>
      <c r="VBW4" s="3469"/>
      <c r="VBX4" s="3469"/>
      <c r="VBY4" s="3469"/>
      <c r="VBZ4" s="3469"/>
      <c r="VCA4" s="3469"/>
      <c r="VCB4" s="3469"/>
      <c r="VCC4" s="3469"/>
      <c r="VCD4" s="3469"/>
      <c r="VCE4" s="3469"/>
      <c r="VCF4" s="3469"/>
      <c r="VCG4" s="3469"/>
      <c r="VCH4" s="3469"/>
      <c r="VCI4" s="3469"/>
      <c r="VCJ4" s="3469"/>
      <c r="VCK4" s="3469"/>
      <c r="VCL4" s="3469"/>
      <c r="VCM4" s="3469"/>
      <c r="VCN4" s="3469"/>
      <c r="VCO4" s="3469"/>
      <c r="VCP4" s="3469"/>
      <c r="VCQ4" s="3469"/>
      <c r="VCR4" s="3469"/>
      <c r="VCS4" s="3469"/>
      <c r="VCT4" s="3469"/>
      <c r="VCU4" s="3469"/>
      <c r="VCV4" s="3469"/>
      <c r="VCW4" s="3469"/>
      <c r="VCX4" s="3469"/>
      <c r="VCY4" s="3469"/>
      <c r="VCZ4" s="3469"/>
      <c r="VDA4" s="3469"/>
      <c r="VDB4" s="3469"/>
      <c r="VDC4" s="3469"/>
      <c r="VDD4" s="3469"/>
      <c r="VDE4" s="3469"/>
      <c r="VDF4" s="3469"/>
      <c r="VDG4" s="3469"/>
      <c r="VDH4" s="3469"/>
      <c r="VDI4" s="3469"/>
      <c r="VDJ4" s="3469"/>
      <c r="VDK4" s="3469"/>
      <c r="VDL4" s="3469"/>
      <c r="VDM4" s="3469"/>
      <c r="VDN4" s="3469"/>
      <c r="VDO4" s="3469"/>
      <c r="VDP4" s="3469"/>
      <c r="VDQ4" s="3469"/>
      <c r="VDR4" s="3469"/>
      <c r="VDS4" s="3469"/>
      <c r="VDT4" s="3469"/>
      <c r="VDU4" s="3469"/>
      <c r="VDV4" s="3469"/>
      <c r="VDW4" s="3469"/>
      <c r="VDX4" s="3469"/>
      <c r="VDY4" s="3469"/>
      <c r="VDZ4" s="3469"/>
      <c r="VEA4" s="3469"/>
      <c r="VEB4" s="3469"/>
      <c r="VEC4" s="3469"/>
      <c r="VED4" s="3469"/>
      <c r="VEE4" s="3469"/>
      <c r="VEF4" s="3469"/>
      <c r="VEG4" s="3469"/>
      <c r="VEH4" s="3469"/>
      <c r="VEI4" s="3469"/>
      <c r="VEJ4" s="3469"/>
      <c r="VEK4" s="3469"/>
      <c r="VEL4" s="3469"/>
      <c r="VEM4" s="3469"/>
      <c r="VEN4" s="3469"/>
      <c r="VEO4" s="3469"/>
      <c r="VEP4" s="3469"/>
      <c r="VEQ4" s="3469"/>
      <c r="VER4" s="3469"/>
      <c r="VES4" s="3469"/>
      <c r="VET4" s="3469"/>
      <c r="VEU4" s="3469"/>
      <c r="VEV4" s="3469"/>
      <c r="VEW4" s="3469"/>
      <c r="VEX4" s="3469"/>
      <c r="VEY4" s="3469"/>
      <c r="VEZ4" s="3469"/>
      <c r="VFA4" s="3469"/>
      <c r="VFB4" s="3469"/>
      <c r="VFC4" s="3469"/>
      <c r="VFD4" s="3469"/>
      <c r="VFE4" s="3469"/>
      <c r="VFF4" s="3469"/>
      <c r="VFG4" s="3469"/>
      <c r="VFH4" s="3469"/>
      <c r="VFI4" s="3469"/>
      <c r="VFJ4" s="3469"/>
      <c r="VFK4" s="3469"/>
      <c r="VFL4" s="3469"/>
      <c r="VFM4" s="3469"/>
      <c r="VFN4" s="3469"/>
      <c r="VFO4" s="3469"/>
      <c r="VFP4" s="3469"/>
      <c r="VFQ4" s="3469"/>
      <c r="VFR4" s="3469"/>
      <c r="VFS4" s="3469"/>
      <c r="VFT4" s="3469"/>
      <c r="VFU4" s="3469"/>
      <c r="VFV4" s="3469"/>
      <c r="VFW4" s="3469"/>
      <c r="VFX4" s="3469"/>
      <c r="VFY4" s="3469"/>
      <c r="VFZ4" s="3469"/>
      <c r="VGA4" s="3469"/>
      <c r="VGB4" s="3469"/>
      <c r="VGC4" s="3469"/>
      <c r="VGD4" s="3469"/>
      <c r="VGE4" s="3469"/>
      <c r="VGF4" s="3469"/>
      <c r="VGG4" s="3469"/>
      <c r="VGH4" s="3469"/>
      <c r="VGI4" s="3469"/>
      <c r="VGJ4" s="3469"/>
      <c r="VGK4" s="3469"/>
      <c r="VGL4" s="3469"/>
      <c r="VGM4" s="3469"/>
      <c r="VGN4" s="3469"/>
      <c r="VGO4" s="3469"/>
      <c r="VGP4" s="3469"/>
      <c r="VGQ4" s="3469"/>
      <c r="VGR4" s="3469"/>
      <c r="VGS4" s="3469"/>
      <c r="VGT4" s="3469"/>
      <c r="VGU4" s="3469"/>
      <c r="VGV4" s="3469"/>
      <c r="VGW4" s="3469"/>
      <c r="VGX4" s="3469"/>
      <c r="VGY4" s="3469"/>
      <c r="VGZ4" s="3469"/>
      <c r="VHA4" s="3469"/>
      <c r="VHB4" s="3469"/>
      <c r="VHC4" s="3469"/>
      <c r="VHD4" s="3469"/>
      <c r="VHE4" s="3469"/>
      <c r="VHF4" s="3469"/>
      <c r="VHG4" s="3469"/>
      <c r="VHH4" s="3469"/>
      <c r="VHI4" s="3469"/>
      <c r="VHJ4" s="3469"/>
      <c r="VHK4" s="3469"/>
      <c r="VHL4" s="3469"/>
      <c r="VHM4" s="3469"/>
      <c r="VHN4" s="3469"/>
      <c r="VHO4" s="3469"/>
      <c r="VHP4" s="3469"/>
      <c r="VHQ4" s="3469"/>
      <c r="VHR4" s="3469"/>
      <c r="VHS4" s="3469"/>
      <c r="VHT4" s="3469"/>
      <c r="VHU4" s="3469"/>
      <c r="VHV4" s="3469"/>
      <c r="VHW4" s="3469"/>
      <c r="VHX4" s="3469"/>
      <c r="VHY4" s="3469"/>
      <c r="VHZ4" s="3469"/>
      <c r="VIA4" s="3469"/>
      <c r="VIB4" s="3469"/>
      <c r="VIC4" s="3469"/>
      <c r="VID4" s="3469"/>
      <c r="VIE4" s="3469"/>
      <c r="VIF4" s="3469"/>
      <c r="VIG4" s="3469"/>
      <c r="VIH4" s="3469"/>
      <c r="VII4" s="3469"/>
      <c r="VIJ4" s="3469"/>
      <c r="VIK4" s="3469"/>
      <c r="VIL4" s="3469"/>
      <c r="VIM4" s="3469"/>
      <c r="VIN4" s="3469"/>
      <c r="VIO4" s="3469"/>
      <c r="VIP4" s="3469"/>
      <c r="VIQ4" s="3469"/>
      <c r="VIR4" s="3469"/>
      <c r="VIS4" s="3469"/>
      <c r="VIT4" s="3469"/>
      <c r="VIU4" s="3469"/>
      <c r="VIV4" s="3469"/>
      <c r="VIW4" s="3469"/>
      <c r="VIX4" s="3469"/>
      <c r="VIY4" s="3469"/>
      <c r="VIZ4" s="3469"/>
      <c r="VJA4" s="3469"/>
      <c r="VJB4" s="3469"/>
      <c r="VJC4" s="3469"/>
      <c r="VJD4" s="3469"/>
      <c r="VJE4" s="3469"/>
      <c r="VJF4" s="3469"/>
      <c r="VJG4" s="3469"/>
      <c r="VJH4" s="3469"/>
      <c r="VJI4" s="3469"/>
      <c r="VJJ4" s="3469"/>
      <c r="VJK4" s="3469"/>
      <c r="VJL4" s="3469"/>
      <c r="VJM4" s="3469"/>
      <c r="VJN4" s="3469"/>
      <c r="VJO4" s="3469"/>
      <c r="VJP4" s="3469"/>
      <c r="VJQ4" s="3469"/>
      <c r="VJR4" s="3469"/>
      <c r="VJS4" s="3469"/>
      <c r="VJT4" s="3469"/>
      <c r="VJU4" s="3469"/>
      <c r="VJV4" s="3469"/>
      <c r="VJW4" s="3469"/>
      <c r="VJX4" s="3469"/>
      <c r="VJY4" s="3469"/>
      <c r="VJZ4" s="3469"/>
      <c r="VKA4" s="3469"/>
      <c r="VKB4" s="3469"/>
      <c r="VKC4" s="3469"/>
      <c r="VKD4" s="3469"/>
      <c r="VKE4" s="3469"/>
      <c r="VKF4" s="3469"/>
      <c r="VKG4" s="3469"/>
      <c r="VKH4" s="3469"/>
      <c r="VKI4" s="3469"/>
      <c r="VKJ4" s="3469"/>
      <c r="VKK4" s="3469"/>
      <c r="VKL4" s="3469"/>
      <c r="VKM4" s="3469"/>
      <c r="VKN4" s="3469"/>
      <c r="VKO4" s="3469"/>
      <c r="VKP4" s="3469"/>
      <c r="VKQ4" s="3469"/>
      <c r="VKR4" s="3469"/>
      <c r="VKS4" s="3469"/>
      <c r="VKT4" s="3469"/>
      <c r="VKU4" s="3469"/>
      <c r="VKV4" s="3469"/>
      <c r="VKW4" s="3469"/>
      <c r="VKX4" s="3469"/>
      <c r="VKY4" s="3469"/>
      <c r="VKZ4" s="3469"/>
      <c r="VLA4" s="3469"/>
      <c r="VLB4" s="3469"/>
      <c r="VLC4" s="3469"/>
      <c r="VLD4" s="3469"/>
      <c r="VLE4" s="3469"/>
      <c r="VLF4" s="3469"/>
      <c r="VLG4" s="3469"/>
      <c r="VLH4" s="3469"/>
      <c r="VLI4" s="3469"/>
      <c r="VLJ4" s="3469"/>
      <c r="VLK4" s="3469"/>
      <c r="VLL4" s="3469"/>
      <c r="VLM4" s="3469"/>
      <c r="VLN4" s="3469"/>
      <c r="VLO4" s="3469"/>
      <c r="VLP4" s="3469"/>
      <c r="VLQ4" s="3469"/>
      <c r="VLR4" s="3469"/>
      <c r="VLS4" s="3469"/>
      <c r="VLT4" s="3469"/>
      <c r="VLU4" s="3469"/>
      <c r="VLV4" s="3469"/>
      <c r="VLW4" s="3469"/>
      <c r="VLX4" s="3469"/>
      <c r="VLY4" s="3469"/>
      <c r="VLZ4" s="3469"/>
      <c r="VMA4" s="3469"/>
      <c r="VMB4" s="3469"/>
      <c r="VMC4" s="3469"/>
      <c r="VMD4" s="3469"/>
      <c r="VME4" s="3469"/>
      <c r="VMF4" s="3469"/>
      <c r="VMG4" s="3469"/>
      <c r="VMH4" s="3469"/>
      <c r="VMI4" s="3469"/>
      <c r="VMJ4" s="3469"/>
      <c r="VMK4" s="3469"/>
      <c r="VML4" s="3469"/>
      <c r="VMM4" s="3469"/>
      <c r="VMN4" s="3469"/>
      <c r="VMO4" s="3469"/>
      <c r="VMP4" s="3469"/>
      <c r="VMQ4" s="3469"/>
      <c r="VMR4" s="3469"/>
      <c r="VMS4" s="3469"/>
      <c r="VMT4" s="3469"/>
      <c r="VMU4" s="3469"/>
      <c r="VMV4" s="3469"/>
      <c r="VMW4" s="3469"/>
      <c r="VMX4" s="3469"/>
      <c r="VMY4" s="3469"/>
      <c r="VMZ4" s="3469"/>
      <c r="VNA4" s="3469"/>
      <c r="VNB4" s="3469"/>
      <c r="VNC4" s="3469"/>
      <c r="VND4" s="3469"/>
      <c r="VNE4" s="3469"/>
      <c r="VNF4" s="3469"/>
      <c r="VNG4" s="3469"/>
      <c r="VNH4" s="3469"/>
      <c r="VNI4" s="3469"/>
      <c r="VNJ4" s="3469"/>
      <c r="VNK4" s="3469"/>
      <c r="VNL4" s="3469"/>
      <c r="VNM4" s="3469"/>
      <c r="VNN4" s="3469"/>
      <c r="VNO4" s="3469"/>
      <c r="VNP4" s="3469"/>
      <c r="VNQ4" s="3469"/>
      <c r="VNR4" s="3469"/>
      <c r="VNS4" s="3469"/>
      <c r="VNT4" s="3469"/>
      <c r="VNU4" s="3469"/>
      <c r="VNV4" s="3469"/>
      <c r="VNW4" s="3469"/>
      <c r="VNX4" s="3469"/>
      <c r="VNY4" s="3469"/>
      <c r="VNZ4" s="3469"/>
      <c r="VOA4" s="3469"/>
      <c r="VOB4" s="3469"/>
      <c r="VOC4" s="3469"/>
      <c r="VOD4" s="3469"/>
      <c r="VOE4" s="3469"/>
      <c r="VOF4" s="3469"/>
      <c r="VOG4" s="3469"/>
      <c r="VOH4" s="3469"/>
      <c r="VOI4" s="3469"/>
      <c r="VOJ4" s="3469"/>
      <c r="VOK4" s="3469"/>
      <c r="VOL4" s="3469"/>
      <c r="VOM4" s="3469"/>
      <c r="VON4" s="3469"/>
      <c r="VOO4" s="3469"/>
      <c r="VOP4" s="3469"/>
      <c r="VOQ4" s="3469"/>
      <c r="VOR4" s="3469"/>
      <c r="VOS4" s="3469"/>
      <c r="VOT4" s="3469"/>
      <c r="VOU4" s="3469"/>
      <c r="VOV4" s="3469"/>
      <c r="VOW4" s="3469"/>
      <c r="VOX4" s="3469"/>
      <c r="VOY4" s="3469"/>
      <c r="VOZ4" s="3469"/>
      <c r="VPA4" s="3469"/>
      <c r="VPB4" s="3469"/>
      <c r="VPC4" s="3469"/>
      <c r="VPD4" s="3469"/>
      <c r="VPE4" s="3469"/>
      <c r="VPF4" s="3469"/>
      <c r="VPG4" s="3469"/>
      <c r="VPH4" s="3469"/>
      <c r="VPI4" s="3469"/>
      <c r="VPJ4" s="3469"/>
      <c r="VPK4" s="3469"/>
      <c r="VPL4" s="3469"/>
      <c r="VPM4" s="3469"/>
      <c r="VPN4" s="3469"/>
      <c r="VPO4" s="3469"/>
      <c r="VPP4" s="3469"/>
      <c r="VPQ4" s="3469"/>
      <c r="VPR4" s="3469"/>
      <c r="VPS4" s="3469"/>
      <c r="VPT4" s="3469"/>
      <c r="VPU4" s="3469"/>
      <c r="VPV4" s="3469"/>
      <c r="VPW4" s="3469"/>
      <c r="VPX4" s="3469"/>
      <c r="VPY4" s="3469"/>
      <c r="VPZ4" s="3469"/>
      <c r="VQA4" s="3469"/>
      <c r="VQB4" s="3469"/>
      <c r="VQC4" s="3469"/>
      <c r="VQD4" s="3469"/>
      <c r="VQE4" s="3469"/>
      <c r="VQF4" s="3469"/>
      <c r="VQG4" s="3469"/>
      <c r="VQH4" s="3469"/>
      <c r="VQI4" s="3469"/>
      <c r="VQJ4" s="3469"/>
      <c r="VQK4" s="3469"/>
      <c r="VQL4" s="3469"/>
      <c r="VQM4" s="3469"/>
      <c r="VQN4" s="3469"/>
      <c r="VQO4" s="3469"/>
      <c r="VQP4" s="3469"/>
      <c r="VQQ4" s="3469"/>
      <c r="VQR4" s="3469"/>
      <c r="VQS4" s="3469"/>
      <c r="VQT4" s="3469"/>
      <c r="VQU4" s="3469"/>
      <c r="VQV4" s="3469"/>
      <c r="VQW4" s="3469"/>
      <c r="VQX4" s="3469"/>
      <c r="VQY4" s="3469"/>
      <c r="VQZ4" s="3469"/>
      <c r="VRA4" s="3469"/>
      <c r="VRB4" s="3469"/>
      <c r="VRC4" s="3469"/>
      <c r="VRD4" s="3469"/>
      <c r="VRE4" s="3469"/>
      <c r="VRF4" s="3469"/>
      <c r="VRG4" s="3469"/>
      <c r="VRH4" s="3469"/>
      <c r="VRI4" s="3469"/>
      <c r="VRJ4" s="3469"/>
      <c r="VRK4" s="3469"/>
      <c r="VRL4" s="3469"/>
      <c r="VRM4" s="3469"/>
      <c r="VRN4" s="3469"/>
      <c r="VRO4" s="3469"/>
      <c r="VRP4" s="3469"/>
      <c r="VRQ4" s="3469"/>
      <c r="VRR4" s="3469"/>
      <c r="VRS4" s="3469"/>
      <c r="VRT4" s="3469"/>
      <c r="VRU4" s="3469"/>
      <c r="VRV4" s="3469"/>
      <c r="VRW4" s="3469"/>
      <c r="VRX4" s="3469"/>
      <c r="VRY4" s="3469"/>
      <c r="VRZ4" s="3469"/>
      <c r="VSA4" s="3469"/>
      <c r="VSB4" s="3469"/>
      <c r="VSC4" s="3469"/>
      <c r="VSD4" s="3469"/>
      <c r="VSE4" s="3469"/>
      <c r="VSF4" s="3469"/>
      <c r="VSG4" s="3469"/>
      <c r="VSH4" s="3469"/>
      <c r="VSI4" s="3469"/>
      <c r="VSJ4" s="3469"/>
      <c r="VSK4" s="3469"/>
      <c r="VSL4" s="3469"/>
      <c r="VSM4" s="3469"/>
      <c r="VSN4" s="3469"/>
      <c r="VSO4" s="3469"/>
      <c r="VSP4" s="3469"/>
      <c r="VSQ4" s="3469"/>
      <c r="VSR4" s="3469"/>
      <c r="VSS4" s="3469"/>
      <c r="VST4" s="3469"/>
      <c r="VSU4" s="3469"/>
      <c r="VSV4" s="3469"/>
      <c r="VSW4" s="3469"/>
      <c r="VSX4" s="3469"/>
      <c r="VSY4" s="3469"/>
      <c r="VSZ4" s="3469"/>
      <c r="VTA4" s="3469"/>
      <c r="VTB4" s="3469"/>
      <c r="VTC4" s="3469"/>
      <c r="VTD4" s="3469"/>
      <c r="VTE4" s="3469"/>
      <c r="VTF4" s="3469"/>
      <c r="VTG4" s="3469"/>
      <c r="VTH4" s="3469"/>
      <c r="VTI4" s="3469"/>
      <c r="VTJ4" s="3469"/>
      <c r="VTK4" s="3469"/>
      <c r="VTL4" s="3469"/>
      <c r="VTM4" s="3469"/>
      <c r="VTN4" s="3469"/>
      <c r="VTO4" s="3469"/>
      <c r="VTP4" s="3469"/>
      <c r="VTQ4" s="3469"/>
      <c r="VTR4" s="3469"/>
      <c r="VTS4" s="3469"/>
      <c r="VTT4" s="3469"/>
      <c r="VTU4" s="3469"/>
      <c r="VTV4" s="3469"/>
      <c r="VTW4" s="3469"/>
      <c r="VTX4" s="3469"/>
      <c r="VTY4" s="3469"/>
      <c r="VTZ4" s="3469"/>
      <c r="VUA4" s="3469"/>
      <c r="VUB4" s="3469"/>
      <c r="VUC4" s="3469"/>
      <c r="VUD4" s="3469"/>
      <c r="VUE4" s="3469"/>
      <c r="VUF4" s="3469"/>
      <c r="VUG4" s="3469"/>
      <c r="VUH4" s="3469"/>
      <c r="VUI4" s="3469"/>
      <c r="VUJ4" s="3469"/>
      <c r="VUK4" s="3469"/>
      <c r="VUL4" s="3469"/>
      <c r="VUM4" s="3469"/>
      <c r="VUN4" s="3469"/>
      <c r="VUO4" s="3469"/>
      <c r="VUP4" s="3469"/>
      <c r="VUQ4" s="3469"/>
      <c r="VUR4" s="3469"/>
      <c r="VUS4" s="3469"/>
      <c r="VUT4" s="3469"/>
      <c r="VUU4" s="3469"/>
      <c r="VUV4" s="3469"/>
      <c r="VUW4" s="3469"/>
      <c r="VUX4" s="3469"/>
      <c r="VUY4" s="3469"/>
      <c r="VUZ4" s="3469"/>
      <c r="VVA4" s="3469"/>
      <c r="VVB4" s="3469"/>
      <c r="VVC4" s="3469"/>
      <c r="VVD4" s="3469"/>
      <c r="VVE4" s="3469"/>
      <c r="VVF4" s="3469"/>
      <c r="VVG4" s="3469"/>
      <c r="VVH4" s="3469"/>
      <c r="VVI4" s="3469"/>
      <c r="VVJ4" s="3469"/>
      <c r="VVK4" s="3469"/>
      <c r="VVL4" s="3469"/>
      <c r="VVM4" s="3469"/>
      <c r="VVN4" s="3469"/>
      <c r="VVO4" s="3469"/>
      <c r="VVP4" s="3469"/>
      <c r="VVQ4" s="3469"/>
      <c r="VVR4" s="3469"/>
      <c r="VVS4" s="3469"/>
      <c r="VVT4" s="3469"/>
      <c r="VVU4" s="3469"/>
      <c r="VVV4" s="3469"/>
      <c r="VVW4" s="3469"/>
      <c r="VVX4" s="3469"/>
      <c r="VVY4" s="3469"/>
      <c r="VVZ4" s="3469"/>
      <c r="VWA4" s="3469"/>
      <c r="VWB4" s="3469"/>
      <c r="VWC4" s="3469"/>
      <c r="VWD4" s="3469"/>
      <c r="VWE4" s="3469"/>
      <c r="VWF4" s="3469"/>
      <c r="VWG4" s="3469"/>
      <c r="VWH4" s="3469"/>
      <c r="VWI4" s="3469"/>
      <c r="VWJ4" s="3469"/>
      <c r="VWK4" s="3469"/>
      <c r="VWL4" s="3469"/>
      <c r="VWM4" s="3469"/>
      <c r="VWN4" s="3469"/>
      <c r="VWO4" s="3469"/>
      <c r="VWP4" s="3469"/>
      <c r="VWQ4" s="3469"/>
      <c r="VWR4" s="3469"/>
      <c r="VWS4" s="3469"/>
      <c r="VWT4" s="3469"/>
      <c r="VWU4" s="3469"/>
      <c r="VWV4" s="3469"/>
      <c r="VWW4" s="3469"/>
      <c r="VWX4" s="3469"/>
      <c r="VWY4" s="3469"/>
      <c r="VWZ4" s="3469"/>
      <c r="VXA4" s="3469"/>
      <c r="VXB4" s="3469"/>
      <c r="VXC4" s="3469"/>
      <c r="VXD4" s="3469"/>
      <c r="VXE4" s="3469"/>
      <c r="VXF4" s="3469"/>
      <c r="VXG4" s="3469"/>
      <c r="VXH4" s="3469"/>
      <c r="VXI4" s="3469"/>
      <c r="VXJ4" s="3469"/>
      <c r="VXK4" s="3469"/>
      <c r="VXL4" s="3469"/>
      <c r="VXM4" s="3469"/>
      <c r="VXN4" s="3469"/>
      <c r="VXO4" s="3469"/>
      <c r="VXP4" s="3469"/>
      <c r="VXQ4" s="3469"/>
      <c r="VXR4" s="3469"/>
      <c r="VXS4" s="3469"/>
      <c r="VXT4" s="3469"/>
      <c r="VXU4" s="3469"/>
      <c r="VXV4" s="3469"/>
      <c r="VXW4" s="3469"/>
      <c r="VXX4" s="3469"/>
      <c r="VXY4" s="3469"/>
      <c r="VXZ4" s="3469"/>
      <c r="VYA4" s="3469"/>
      <c r="VYB4" s="3469"/>
      <c r="VYC4" s="3469"/>
      <c r="VYD4" s="3469"/>
      <c r="VYE4" s="3469"/>
      <c r="VYF4" s="3469"/>
      <c r="VYG4" s="3469"/>
      <c r="VYH4" s="3469"/>
      <c r="VYI4" s="3469"/>
      <c r="VYJ4" s="3469"/>
      <c r="VYK4" s="3469"/>
      <c r="VYL4" s="3469"/>
      <c r="VYM4" s="3469"/>
      <c r="VYN4" s="3469"/>
      <c r="VYO4" s="3469"/>
      <c r="VYP4" s="3469"/>
      <c r="VYQ4" s="3469"/>
      <c r="VYR4" s="3469"/>
      <c r="VYS4" s="3469"/>
      <c r="VYT4" s="3469"/>
      <c r="VYU4" s="3469"/>
      <c r="VYV4" s="3469"/>
      <c r="VYW4" s="3469"/>
      <c r="VYX4" s="3469"/>
      <c r="VYY4" s="3469"/>
      <c r="VYZ4" s="3469"/>
      <c r="VZA4" s="3469"/>
      <c r="VZB4" s="3469"/>
      <c r="VZC4" s="3469"/>
      <c r="VZD4" s="3469"/>
      <c r="VZE4" s="3469"/>
      <c r="VZF4" s="3469"/>
      <c r="VZG4" s="3469"/>
      <c r="VZH4" s="3469"/>
      <c r="VZI4" s="3469"/>
      <c r="VZJ4" s="3469"/>
      <c r="VZK4" s="3469"/>
      <c r="VZL4" s="3469"/>
      <c r="VZM4" s="3469"/>
      <c r="VZN4" s="3469"/>
      <c r="VZO4" s="3469"/>
      <c r="VZP4" s="3469"/>
      <c r="VZQ4" s="3469"/>
      <c r="VZR4" s="3469"/>
      <c r="VZS4" s="3469"/>
      <c r="VZT4" s="3469"/>
      <c r="VZU4" s="3469"/>
      <c r="VZV4" s="3469"/>
      <c r="VZW4" s="3469"/>
      <c r="VZX4" s="3469"/>
      <c r="VZY4" s="3469"/>
      <c r="VZZ4" s="3469"/>
      <c r="WAA4" s="3469"/>
      <c r="WAB4" s="3469"/>
      <c r="WAC4" s="3469"/>
      <c r="WAD4" s="3469"/>
      <c r="WAE4" s="3469"/>
      <c r="WAF4" s="3469"/>
      <c r="WAG4" s="3469"/>
      <c r="WAH4" s="3469"/>
      <c r="WAI4" s="3469"/>
      <c r="WAJ4" s="3469"/>
      <c r="WAK4" s="3469"/>
      <c r="WAL4" s="3469"/>
      <c r="WAM4" s="3469"/>
      <c r="WAN4" s="3469"/>
      <c r="WAO4" s="3469"/>
      <c r="WAP4" s="3469"/>
      <c r="WAQ4" s="3469"/>
      <c r="WAR4" s="3469"/>
      <c r="WAS4" s="3469"/>
      <c r="WAT4" s="3469"/>
      <c r="WAU4" s="3469"/>
      <c r="WAV4" s="3469"/>
      <c r="WAW4" s="3469"/>
      <c r="WAX4" s="3469"/>
      <c r="WAY4" s="3469"/>
      <c r="WAZ4" s="3469"/>
      <c r="WBA4" s="3469"/>
      <c r="WBB4" s="3469"/>
      <c r="WBC4" s="3469"/>
      <c r="WBD4" s="3469"/>
      <c r="WBE4" s="3469"/>
      <c r="WBF4" s="3469"/>
      <c r="WBG4" s="3469"/>
      <c r="WBH4" s="3469"/>
      <c r="WBI4" s="3469"/>
      <c r="WBJ4" s="3469"/>
      <c r="WBK4" s="3469"/>
      <c r="WBL4" s="3469"/>
      <c r="WBM4" s="3469"/>
      <c r="WBN4" s="3469"/>
      <c r="WBO4" s="3469"/>
      <c r="WBP4" s="3469"/>
      <c r="WBQ4" s="3469"/>
      <c r="WBR4" s="3469"/>
      <c r="WBS4" s="3469"/>
      <c r="WBT4" s="3469"/>
      <c r="WBU4" s="3469"/>
      <c r="WBV4" s="3469"/>
      <c r="WBW4" s="3469"/>
      <c r="WBX4" s="3469"/>
      <c r="WBY4" s="3469"/>
      <c r="WBZ4" s="3469"/>
      <c r="WCA4" s="3469"/>
      <c r="WCB4" s="3469"/>
      <c r="WCC4" s="3469"/>
      <c r="WCD4" s="3469"/>
      <c r="WCE4" s="3469"/>
      <c r="WCF4" s="3469"/>
      <c r="WCG4" s="3469"/>
      <c r="WCH4" s="3469"/>
      <c r="WCI4" s="3469"/>
      <c r="WCJ4" s="3469"/>
      <c r="WCK4" s="3469"/>
      <c r="WCL4" s="3469"/>
      <c r="WCM4" s="3469"/>
      <c r="WCN4" s="3469"/>
      <c r="WCO4" s="3469"/>
      <c r="WCP4" s="3469"/>
      <c r="WCQ4" s="3469"/>
      <c r="WCR4" s="3469"/>
      <c r="WCS4" s="3469"/>
      <c r="WCT4" s="3469"/>
      <c r="WCU4" s="3469"/>
      <c r="WCV4" s="3469"/>
      <c r="WCW4" s="3469"/>
      <c r="WCX4" s="3469"/>
      <c r="WCY4" s="3469"/>
      <c r="WCZ4" s="3469"/>
      <c r="WDA4" s="3469"/>
      <c r="WDB4" s="3469"/>
      <c r="WDC4" s="3469"/>
      <c r="WDD4" s="3469"/>
      <c r="WDE4" s="3469"/>
      <c r="WDF4" s="3469"/>
      <c r="WDG4" s="3469"/>
      <c r="WDH4" s="3469"/>
      <c r="WDI4" s="3469"/>
      <c r="WDJ4" s="3469"/>
      <c r="WDK4" s="3469"/>
      <c r="WDL4" s="3469"/>
      <c r="WDM4" s="3469"/>
      <c r="WDN4" s="3469"/>
      <c r="WDO4" s="3469"/>
      <c r="WDP4" s="3469"/>
      <c r="WDQ4" s="3469"/>
      <c r="WDR4" s="3469"/>
      <c r="WDS4" s="3469"/>
      <c r="WDT4" s="3469"/>
      <c r="WDU4" s="3469"/>
      <c r="WDV4" s="3469"/>
      <c r="WDW4" s="3469"/>
      <c r="WDX4" s="3469"/>
      <c r="WDY4" s="3469"/>
      <c r="WDZ4" s="3469"/>
      <c r="WEA4" s="3469"/>
      <c r="WEB4" s="3469"/>
      <c r="WEC4" s="3469"/>
      <c r="WED4" s="3469"/>
      <c r="WEE4" s="3469"/>
      <c r="WEF4" s="3469"/>
      <c r="WEG4" s="3469"/>
      <c r="WEH4" s="3469"/>
      <c r="WEI4" s="3469"/>
      <c r="WEJ4" s="3469"/>
      <c r="WEK4" s="3469"/>
      <c r="WEL4" s="3469"/>
      <c r="WEM4" s="3469"/>
      <c r="WEN4" s="3469"/>
      <c r="WEO4" s="3469"/>
      <c r="WEP4" s="3469"/>
      <c r="WEQ4" s="3469"/>
      <c r="WER4" s="3469"/>
      <c r="WES4" s="3469"/>
      <c r="WET4" s="3469"/>
      <c r="WEU4" s="3469"/>
      <c r="WEV4" s="3469"/>
      <c r="WEW4" s="3469"/>
      <c r="WEX4" s="3469"/>
      <c r="WEY4" s="3469"/>
      <c r="WEZ4" s="3469"/>
      <c r="WFA4" s="3469"/>
      <c r="WFB4" s="3469"/>
      <c r="WFC4" s="3469"/>
      <c r="WFD4" s="3469"/>
      <c r="WFE4" s="3469"/>
      <c r="WFF4" s="3469"/>
      <c r="WFG4" s="3469"/>
      <c r="WFH4" s="3469"/>
      <c r="WFI4" s="3469"/>
      <c r="WFJ4" s="3469"/>
      <c r="WFK4" s="3469"/>
      <c r="WFL4" s="3469"/>
      <c r="WFM4" s="3469"/>
      <c r="WFN4" s="3469"/>
      <c r="WFO4" s="3469"/>
      <c r="WFP4" s="3469"/>
      <c r="WFQ4" s="3469"/>
      <c r="WFR4" s="3469"/>
      <c r="WFS4" s="3469"/>
      <c r="WFT4" s="3469"/>
      <c r="WFU4" s="3469"/>
      <c r="WFV4" s="3469"/>
      <c r="WFW4" s="3469"/>
      <c r="WFX4" s="3469"/>
      <c r="WFY4" s="3469"/>
      <c r="WFZ4" s="3469"/>
      <c r="WGA4" s="3469"/>
      <c r="WGB4" s="3469"/>
      <c r="WGC4" s="3469"/>
      <c r="WGD4" s="3469"/>
      <c r="WGE4" s="3469"/>
      <c r="WGF4" s="3469"/>
      <c r="WGG4" s="3469"/>
      <c r="WGH4" s="3469"/>
      <c r="WGI4" s="3469"/>
      <c r="WGJ4" s="3469"/>
      <c r="WGK4" s="3469"/>
      <c r="WGL4" s="3469"/>
      <c r="WGM4" s="3469"/>
      <c r="WGN4" s="3469"/>
      <c r="WGO4" s="3469"/>
      <c r="WGP4" s="3469"/>
      <c r="WGQ4" s="3469"/>
      <c r="WGR4" s="3469"/>
      <c r="WGS4" s="3469"/>
      <c r="WGT4" s="3469"/>
      <c r="WGU4" s="3469"/>
      <c r="WGV4" s="3469"/>
      <c r="WGW4" s="3469"/>
      <c r="WGX4" s="3469"/>
      <c r="WGY4" s="3469"/>
      <c r="WGZ4" s="3469"/>
      <c r="WHA4" s="3469"/>
      <c r="WHB4" s="3469"/>
      <c r="WHC4" s="3469"/>
      <c r="WHD4" s="3469"/>
      <c r="WHE4" s="3469"/>
      <c r="WHF4" s="3469"/>
      <c r="WHG4" s="3469"/>
      <c r="WHH4" s="3469"/>
      <c r="WHI4" s="3469"/>
      <c r="WHJ4" s="3469"/>
      <c r="WHK4" s="3469"/>
      <c r="WHL4" s="3469"/>
      <c r="WHM4" s="3469"/>
      <c r="WHN4" s="3469"/>
      <c r="WHO4" s="3469"/>
      <c r="WHP4" s="3469"/>
      <c r="WHQ4" s="3469"/>
      <c r="WHR4" s="3469"/>
      <c r="WHS4" s="3469"/>
      <c r="WHT4" s="3469"/>
      <c r="WHU4" s="3469"/>
      <c r="WHV4" s="3469"/>
      <c r="WHW4" s="3469"/>
      <c r="WHX4" s="3469"/>
      <c r="WHY4" s="3469"/>
      <c r="WHZ4" s="3469"/>
      <c r="WIA4" s="3469"/>
      <c r="WIB4" s="3469"/>
      <c r="WIC4" s="3469"/>
      <c r="WID4" s="3469"/>
      <c r="WIE4" s="3469"/>
      <c r="WIF4" s="3469"/>
      <c r="WIG4" s="3469"/>
      <c r="WIH4" s="3469"/>
      <c r="WII4" s="3469"/>
      <c r="WIJ4" s="3469"/>
      <c r="WIK4" s="3469"/>
      <c r="WIL4" s="3469"/>
      <c r="WIM4" s="3469"/>
      <c r="WIN4" s="3469"/>
      <c r="WIO4" s="3469"/>
      <c r="WIP4" s="3469"/>
      <c r="WIQ4" s="3469"/>
      <c r="WIR4" s="3469"/>
      <c r="WIS4" s="3469"/>
      <c r="WIT4" s="3469"/>
      <c r="WIU4" s="3469"/>
      <c r="WIV4" s="3469"/>
      <c r="WIW4" s="3469"/>
      <c r="WIX4" s="3469"/>
      <c r="WIY4" s="3469"/>
      <c r="WIZ4" s="3469"/>
      <c r="WJA4" s="3469"/>
      <c r="WJB4" s="3469"/>
      <c r="WJC4" s="3469"/>
      <c r="WJD4" s="3469"/>
      <c r="WJE4" s="3469"/>
      <c r="WJF4" s="3469"/>
      <c r="WJG4" s="3469"/>
      <c r="WJH4" s="3469"/>
      <c r="WJI4" s="3469"/>
      <c r="WJJ4" s="3469"/>
      <c r="WJK4" s="3469"/>
      <c r="WJL4" s="3469"/>
      <c r="WJM4" s="3469"/>
      <c r="WJN4" s="3469"/>
      <c r="WJO4" s="3469"/>
      <c r="WJP4" s="3469"/>
      <c r="WJQ4" s="3469"/>
      <c r="WJR4" s="3469"/>
      <c r="WJS4" s="3469"/>
      <c r="WJT4" s="3469"/>
      <c r="WJU4" s="3469"/>
      <c r="WJV4" s="3469"/>
      <c r="WJW4" s="3469"/>
      <c r="WJX4" s="3469"/>
      <c r="WJY4" s="3469"/>
      <c r="WJZ4" s="3469"/>
      <c r="WKA4" s="3469"/>
      <c r="WKB4" s="3469"/>
      <c r="WKC4" s="3469"/>
      <c r="WKD4" s="3469"/>
      <c r="WKE4" s="3469"/>
      <c r="WKF4" s="3469"/>
      <c r="WKG4" s="3469"/>
      <c r="WKH4" s="3469"/>
      <c r="WKI4" s="3469"/>
      <c r="WKJ4" s="3469"/>
      <c r="WKK4" s="3469"/>
      <c r="WKL4" s="3469"/>
      <c r="WKM4" s="3469"/>
      <c r="WKN4" s="3469"/>
      <c r="WKO4" s="3469"/>
      <c r="WKP4" s="3469"/>
      <c r="WKQ4" s="3469"/>
      <c r="WKR4" s="3469"/>
      <c r="WKS4" s="3469"/>
      <c r="WKT4" s="3469"/>
      <c r="WKU4" s="3469"/>
      <c r="WKV4" s="3469"/>
      <c r="WKW4" s="3469"/>
      <c r="WKX4" s="3469"/>
      <c r="WKY4" s="3469"/>
      <c r="WKZ4" s="3469"/>
      <c r="WLA4" s="3469"/>
      <c r="WLB4" s="3469"/>
      <c r="WLC4" s="3469"/>
      <c r="WLD4" s="3469"/>
      <c r="WLE4" s="3469"/>
      <c r="WLF4" s="3469"/>
      <c r="WLG4" s="3469"/>
      <c r="WLH4" s="3469"/>
      <c r="WLI4" s="3469"/>
      <c r="WLJ4" s="3469"/>
      <c r="WLK4" s="3469"/>
      <c r="WLL4" s="3469"/>
      <c r="WLM4" s="3469"/>
      <c r="WLN4" s="3469"/>
      <c r="WLO4" s="3469"/>
      <c r="WLP4" s="3469"/>
      <c r="WLQ4" s="3469"/>
      <c r="WLR4" s="3469"/>
      <c r="WLS4" s="3469"/>
      <c r="WLT4" s="3469"/>
      <c r="WLU4" s="3469"/>
      <c r="WLV4" s="3469"/>
      <c r="WLW4" s="3469"/>
      <c r="WLX4" s="3469"/>
      <c r="WLY4" s="3469"/>
      <c r="WLZ4" s="3469"/>
      <c r="WMA4" s="3469"/>
      <c r="WMB4" s="3469"/>
      <c r="WMC4" s="3469"/>
      <c r="WMD4" s="3469"/>
      <c r="WME4" s="3469"/>
      <c r="WMF4" s="3469"/>
      <c r="WMG4" s="3469"/>
      <c r="WMH4" s="3469"/>
      <c r="WMI4" s="3469"/>
      <c r="WMJ4" s="3469"/>
      <c r="WMK4" s="3469"/>
      <c r="WML4" s="3469"/>
      <c r="WMM4" s="3469"/>
      <c r="WMN4" s="3469"/>
      <c r="WMO4" s="3469"/>
      <c r="WMP4" s="3469"/>
      <c r="WMQ4" s="3469"/>
      <c r="WMR4" s="3469"/>
      <c r="WMS4" s="3469"/>
      <c r="WMT4" s="3469"/>
      <c r="WMU4" s="3469"/>
      <c r="WMV4" s="3469"/>
      <c r="WMW4" s="3469"/>
      <c r="WMX4" s="3469"/>
      <c r="WMY4" s="3469"/>
      <c r="WMZ4" s="3469"/>
      <c r="WNA4" s="3469"/>
      <c r="WNB4" s="3469"/>
      <c r="WNC4" s="3469"/>
      <c r="WND4" s="3469"/>
      <c r="WNE4" s="3469"/>
      <c r="WNF4" s="3469"/>
      <c r="WNG4" s="3469"/>
      <c r="WNH4" s="3469"/>
      <c r="WNI4" s="3469"/>
      <c r="WNJ4" s="3469"/>
      <c r="WNK4" s="3469"/>
      <c r="WNL4" s="3469"/>
      <c r="WNM4" s="3469"/>
      <c r="WNN4" s="3469"/>
      <c r="WNO4" s="3469"/>
      <c r="WNP4" s="3469"/>
      <c r="WNQ4" s="3469"/>
      <c r="WNR4" s="3469"/>
      <c r="WNS4" s="3469"/>
      <c r="WNT4" s="3469"/>
      <c r="WNU4" s="3469"/>
      <c r="WNV4" s="3469"/>
      <c r="WNW4" s="3469"/>
      <c r="WNX4" s="3469"/>
      <c r="WNY4" s="3469"/>
      <c r="WNZ4" s="3469"/>
      <c r="WOA4" s="3469"/>
      <c r="WOB4" s="3469"/>
      <c r="WOC4" s="3469"/>
      <c r="WOD4" s="3469"/>
      <c r="WOE4" s="3469"/>
      <c r="WOF4" s="3469"/>
      <c r="WOG4" s="3469"/>
      <c r="WOH4" s="3469"/>
      <c r="WOI4" s="3469"/>
      <c r="WOJ4" s="3469"/>
      <c r="WOK4" s="3469"/>
      <c r="WOL4" s="3469"/>
      <c r="WOM4" s="3469"/>
      <c r="WON4" s="3469"/>
      <c r="WOO4" s="3469"/>
      <c r="WOP4" s="3469"/>
      <c r="WOQ4" s="3469"/>
      <c r="WOR4" s="3469"/>
      <c r="WOS4" s="3469"/>
      <c r="WOT4" s="3469"/>
      <c r="WOU4" s="3469"/>
      <c r="WOV4" s="3469"/>
      <c r="WOW4" s="3469"/>
      <c r="WOX4" s="3469"/>
      <c r="WOY4" s="3469"/>
      <c r="WOZ4" s="3469"/>
      <c r="WPA4" s="3469"/>
      <c r="WPB4" s="3469"/>
      <c r="WPC4" s="3469"/>
      <c r="WPD4" s="3469"/>
      <c r="WPE4" s="3469"/>
      <c r="WPF4" s="3469"/>
      <c r="WPG4" s="3469"/>
      <c r="WPH4" s="3469"/>
      <c r="WPI4" s="3469"/>
      <c r="WPJ4" s="3469"/>
      <c r="WPK4" s="3469"/>
      <c r="WPL4" s="3469"/>
      <c r="WPM4" s="3469"/>
      <c r="WPN4" s="3469"/>
      <c r="WPO4" s="3469"/>
      <c r="WPP4" s="3469"/>
      <c r="WPQ4" s="3469"/>
      <c r="WPR4" s="3469"/>
      <c r="WPS4" s="3469"/>
      <c r="WPT4" s="3469"/>
      <c r="WPU4" s="3469"/>
      <c r="WPV4" s="3469"/>
      <c r="WPW4" s="3469"/>
      <c r="WPX4" s="3469"/>
      <c r="WPY4" s="3469"/>
      <c r="WPZ4" s="3469"/>
      <c r="WQA4" s="3469"/>
      <c r="WQB4" s="3469"/>
      <c r="WQC4" s="3469"/>
      <c r="WQD4" s="3469"/>
      <c r="WQE4" s="3469"/>
      <c r="WQF4" s="3469"/>
      <c r="WQG4" s="3469"/>
      <c r="WQH4" s="3469"/>
      <c r="WQI4" s="3469"/>
      <c r="WQJ4" s="3469"/>
      <c r="WQK4" s="3469"/>
      <c r="WQL4" s="3469"/>
      <c r="WQM4" s="3469"/>
      <c r="WQN4" s="3469"/>
      <c r="WQO4" s="3469"/>
      <c r="WQP4" s="3469"/>
      <c r="WQQ4" s="3469"/>
      <c r="WQR4" s="3469"/>
      <c r="WQS4" s="3469"/>
      <c r="WQT4" s="3469"/>
      <c r="WQU4" s="3469"/>
      <c r="WQV4" s="3469"/>
      <c r="WQW4" s="3469"/>
      <c r="WQX4" s="3469"/>
      <c r="WQY4" s="3469"/>
      <c r="WQZ4" s="3469"/>
      <c r="WRA4" s="3469"/>
      <c r="WRB4" s="3469"/>
      <c r="WRC4" s="3469"/>
      <c r="WRD4" s="3469"/>
      <c r="WRE4" s="3469"/>
      <c r="WRF4" s="3469"/>
      <c r="WRG4" s="3469"/>
      <c r="WRH4" s="3469"/>
      <c r="WRI4" s="3469"/>
      <c r="WRJ4" s="3469"/>
      <c r="WRK4" s="3469"/>
      <c r="WRL4" s="3469"/>
      <c r="WRM4" s="3469"/>
      <c r="WRN4" s="3469"/>
      <c r="WRO4" s="3469"/>
      <c r="WRP4" s="3469"/>
      <c r="WRQ4" s="3469"/>
      <c r="WRR4" s="3469"/>
      <c r="WRS4" s="3469"/>
      <c r="WRT4" s="3469"/>
      <c r="WRU4" s="3469"/>
      <c r="WRV4" s="3469"/>
      <c r="WRW4" s="3469"/>
      <c r="WRX4" s="3469"/>
      <c r="WRY4" s="3469"/>
      <c r="WRZ4" s="3469"/>
      <c r="WSA4" s="3469"/>
      <c r="WSB4" s="3469"/>
      <c r="WSC4" s="3469"/>
      <c r="WSD4" s="3469"/>
      <c r="WSE4" s="3469"/>
      <c r="WSF4" s="3469"/>
      <c r="WSG4" s="3469"/>
      <c r="WSH4" s="3469"/>
      <c r="WSI4" s="3469"/>
      <c r="WSJ4" s="3469"/>
      <c r="WSK4" s="3469"/>
      <c r="WSL4" s="3469"/>
      <c r="WSM4" s="3469"/>
      <c r="WSN4" s="3469"/>
      <c r="WSO4" s="3469"/>
      <c r="WSP4" s="3469"/>
      <c r="WSQ4" s="3469"/>
      <c r="WSR4" s="3469"/>
      <c r="WSS4" s="3469"/>
      <c r="WST4" s="3469"/>
      <c r="WSU4" s="3469"/>
      <c r="WSV4" s="3469"/>
      <c r="WSW4" s="3469"/>
      <c r="WSX4" s="3469"/>
      <c r="WSY4" s="3469"/>
      <c r="WSZ4" s="3469"/>
      <c r="WTA4" s="3469"/>
      <c r="WTB4" s="3469"/>
      <c r="WTC4" s="3469"/>
      <c r="WTD4" s="3469"/>
      <c r="WTE4" s="3469"/>
      <c r="WTF4" s="3469"/>
      <c r="WTG4" s="3469"/>
      <c r="WTH4" s="3469"/>
      <c r="WTI4" s="3469"/>
      <c r="WTJ4" s="3469"/>
      <c r="WTK4" s="3469"/>
      <c r="WTL4" s="3469"/>
      <c r="WTM4" s="3469"/>
      <c r="WTN4" s="3469"/>
      <c r="WTO4" s="3469"/>
      <c r="WTP4" s="3469"/>
      <c r="WTQ4" s="3469"/>
      <c r="WTR4" s="3469"/>
      <c r="WTS4" s="3469"/>
      <c r="WTT4" s="3469"/>
      <c r="WTU4" s="3469"/>
      <c r="WTV4" s="3469"/>
      <c r="WTW4" s="3469"/>
      <c r="WTX4" s="3469"/>
      <c r="WTY4" s="3469"/>
      <c r="WTZ4" s="3469"/>
      <c r="WUA4" s="3469"/>
      <c r="WUB4" s="3469"/>
      <c r="WUC4" s="3469"/>
      <c r="WUD4" s="3469"/>
      <c r="WUE4" s="3469"/>
      <c r="WUF4" s="3469"/>
      <c r="WUG4" s="3469"/>
      <c r="WUH4" s="3469"/>
      <c r="WUI4" s="3469"/>
      <c r="WUJ4" s="3469"/>
      <c r="WUK4" s="3469"/>
      <c r="WUL4" s="3469"/>
      <c r="WUM4" s="3469"/>
      <c r="WUN4" s="3469"/>
      <c r="WUO4" s="3469"/>
      <c r="WUP4" s="3469"/>
      <c r="WUQ4" s="3469"/>
      <c r="WUR4" s="3469"/>
      <c r="WUS4" s="3469"/>
      <c r="WUT4" s="3469"/>
      <c r="WUU4" s="3469"/>
      <c r="WUV4" s="3469"/>
      <c r="WUW4" s="3469"/>
      <c r="WUX4" s="3469"/>
      <c r="WUY4" s="3469"/>
      <c r="WUZ4" s="3469"/>
      <c r="WVA4" s="3469"/>
      <c r="WVB4" s="3469"/>
      <c r="WVC4" s="3469"/>
      <c r="WVD4" s="3469"/>
      <c r="WVE4" s="3469"/>
      <c r="WVF4" s="3469"/>
      <c r="WVG4" s="3469"/>
      <c r="WVH4" s="3469"/>
      <c r="WVI4" s="3469"/>
      <c r="WVJ4" s="3469"/>
      <c r="WVK4" s="3469"/>
      <c r="WVL4" s="3469"/>
      <c r="WVM4" s="3469"/>
      <c r="WVN4" s="3469"/>
      <c r="WVO4" s="3469"/>
      <c r="WVP4" s="3469"/>
      <c r="WVQ4" s="3469"/>
      <c r="WVR4" s="3469"/>
      <c r="WVS4" s="3469"/>
      <c r="WVT4" s="3469"/>
      <c r="WVU4" s="3469"/>
      <c r="WVV4" s="3469"/>
      <c r="WVW4" s="3469"/>
      <c r="WVX4" s="3469"/>
      <c r="WVY4" s="3469"/>
      <c r="WVZ4" s="3469"/>
      <c r="WWA4" s="3469"/>
      <c r="WWB4" s="3469"/>
      <c r="WWC4" s="3469"/>
      <c r="WWD4" s="3469"/>
      <c r="WWE4" s="3469"/>
      <c r="WWF4" s="3469"/>
      <c r="WWG4" s="3469"/>
      <c r="WWH4" s="3469"/>
      <c r="WWI4" s="3469"/>
      <c r="WWJ4" s="3469"/>
      <c r="WWK4" s="3469"/>
      <c r="WWL4" s="3469"/>
      <c r="WWM4" s="3469"/>
      <c r="WWN4" s="3469"/>
      <c r="WWO4" s="3469"/>
      <c r="WWP4" s="3469"/>
      <c r="WWQ4" s="3469"/>
      <c r="WWR4" s="3469"/>
      <c r="WWS4" s="3469"/>
      <c r="WWT4" s="3469"/>
      <c r="WWU4" s="3469"/>
      <c r="WWV4" s="3469"/>
      <c r="WWW4" s="3469"/>
      <c r="WWX4" s="3469"/>
      <c r="WWY4" s="3469"/>
      <c r="WWZ4" s="3469"/>
      <c r="WXA4" s="3469"/>
      <c r="WXB4" s="3469"/>
      <c r="WXC4" s="3469"/>
      <c r="WXD4" s="3469"/>
      <c r="WXE4" s="3469"/>
      <c r="WXF4" s="3469"/>
      <c r="WXG4" s="3469"/>
      <c r="WXH4" s="3469"/>
      <c r="WXI4" s="3469"/>
      <c r="WXJ4" s="3469"/>
      <c r="WXK4" s="3469"/>
      <c r="WXL4" s="3469"/>
      <c r="WXM4" s="3469"/>
      <c r="WXN4" s="3469"/>
      <c r="WXO4" s="3469"/>
      <c r="WXP4" s="3469"/>
      <c r="WXQ4" s="3469"/>
      <c r="WXR4" s="3469"/>
      <c r="WXS4" s="3469"/>
      <c r="WXT4" s="3469"/>
      <c r="WXU4" s="3469"/>
      <c r="WXV4" s="3469"/>
      <c r="WXW4" s="3469"/>
      <c r="WXX4" s="3469"/>
      <c r="WXY4" s="3469"/>
      <c r="WXZ4" s="3469"/>
      <c r="WYA4" s="3469"/>
      <c r="WYB4" s="3469"/>
      <c r="WYC4" s="3469"/>
      <c r="WYD4" s="3469"/>
      <c r="WYE4" s="3469"/>
      <c r="WYF4" s="3469"/>
      <c r="WYG4" s="3469"/>
      <c r="WYH4" s="3469"/>
      <c r="WYI4" s="3469"/>
      <c r="WYJ4" s="3469"/>
      <c r="WYK4" s="3469"/>
      <c r="WYL4" s="3469"/>
      <c r="WYM4" s="3469"/>
      <c r="WYN4" s="3469"/>
      <c r="WYO4" s="3469"/>
      <c r="WYP4" s="3469"/>
      <c r="WYQ4" s="3469"/>
      <c r="WYR4" s="3469"/>
      <c r="WYS4" s="3469"/>
      <c r="WYT4" s="3469"/>
      <c r="WYU4" s="3469"/>
      <c r="WYV4" s="3469"/>
      <c r="WYW4" s="3469"/>
      <c r="WYX4" s="3469"/>
      <c r="WYY4" s="3469"/>
      <c r="WYZ4" s="3469"/>
      <c r="WZA4" s="3469"/>
      <c r="WZB4" s="3469"/>
      <c r="WZC4" s="3469"/>
      <c r="WZD4" s="3469"/>
      <c r="WZE4" s="3469"/>
      <c r="WZF4" s="3469"/>
      <c r="WZG4" s="3469"/>
      <c r="WZH4" s="3469"/>
      <c r="WZI4" s="3469"/>
      <c r="WZJ4" s="3469"/>
      <c r="WZK4" s="3469"/>
      <c r="WZL4" s="3469"/>
      <c r="WZM4" s="3469"/>
      <c r="WZN4" s="3469"/>
      <c r="WZO4" s="3469"/>
      <c r="WZP4" s="3469"/>
      <c r="WZQ4" s="3469"/>
      <c r="WZR4" s="3469"/>
      <c r="WZS4" s="3469"/>
      <c r="WZT4" s="3469"/>
      <c r="WZU4" s="3469"/>
      <c r="WZV4" s="3469"/>
      <c r="WZW4" s="3469"/>
      <c r="WZX4" s="3469"/>
      <c r="WZY4" s="3469"/>
      <c r="WZZ4" s="3469"/>
      <c r="XAA4" s="3469"/>
      <c r="XAB4" s="3469"/>
      <c r="XAC4" s="3469"/>
      <c r="XAD4" s="3469"/>
      <c r="XAE4" s="3469"/>
      <c r="XAF4" s="3469"/>
      <c r="XAG4" s="3469"/>
      <c r="XAH4" s="3469"/>
      <c r="XAI4" s="3469"/>
      <c r="XAJ4" s="3469"/>
      <c r="XAK4" s="3469"/>
      <c r="XAL4" s="3469"/>
      <c r="XAM4" s="3469"/>
      <c r="XAN4" s="3469"/>
      <c r="XAO4" s="3469"/>
      <c r="XAP4" s="3469"/>
      <c r="XAQ4" s="3469"/>
      <c r="XAR4" s="3469"/>
      <c r="XAS4" s="3469"/>
      <c r="XAT4" s="3469"/>
      <c r="XAU4" s="3469"/>
      <c r="XAV4" s="3469"/>
      <c r="XAW4" s="3469"/>
      <c r="XAX4" s="3469"/>
      <c r="XAY4" s="3469"/>
      <c r="XAZ4" s="3469"/>
      <c r="XBA4" s="3469"/>
      <c r="XBB4" s="3469"/>
      <c r="XBC4" s="3469"/>
      <c r="XBD4" s="3469"/>
      <c r="XBE4" s="3469"/>
      <c r="XBF4" s="3469"/>
      <c r="XBG4" s="3469"/>
      <c r="XBH4" s="3469"/>
      <c r="XBI4" s="3469"/>
      <c r="XBJ4" s="3469"/>
      <c r="XBK4" s="3469"/>
      <c r="XBL4" s="3469"/>
      <c r="XBM4" s="3469"/>
      <c r="XBN4" s="3469"/>
      <c r="XBO4" s="3469"/>
      <c r="XBP4" s="3469"/>
      <c r="XBQ4" s="3469"/>
      <c r="XBR4" s="3469"/>
      <c r="XBS4" s="3469"/>
      <c r="XBT4" s="3469"/>
      <c r="XBU4" s="3469"/>
      <c r="XBV4" s="3469"/>
      <c r="XBW4" s="3469"/>
      <c r="XBX4" s="3469"/>
      <c r="XBY4" s="3469"/>
      <c r="XBZ4" s="3469"/>
      <c r="XCA4" s="3469"/>
      <c r="XCB4" s="3469"/>
      <c r="XCC4" s="3469"/>
      <c r="XCD4" s="3469"/>
      <c r="XCE4" s="3469"/>
      <c r="XCF4" s="3469"/>
      <c r="XCG4" s="3469"/>
      <c r="XCH4" s="3469"/>
      <c r="XCI4" s="3469"/>
      <c r="XCJ4" s="3469"/>
      <c r="XCK4" s="3469"/>
      <c r="XCL4" s="3469"/>
      <c r="XCM4" s="3469"/>
      <c r="XCN4" s="3469"/>
      <c r="XCO4" s="3469"/>
      <c r="XCP4" s="3469"/>
      <c r="XCQ4" s="3469"/>
      <c r="XCR4" s="3469"/>
      <c r="XCS4" s="3469"/>
      <c r="XCT4" s="3469"/>
      <c r="XCU4" s="3469"/>
      <c r="XCV4" s="3469"/>
      <c r="XCW4" s="3469"/>
      <c r="XCX4" s="3469"/>
      <c r="XCY4" s="3469"/>
      <c r="XCZ4" s="3469"/>
      <c r="XDA4" s="3469"/>
      <c r="XDB4" s="3469"/>
      <c r="XDC4" s="3469"/>
      <c r="XDD4" s="3469"/>
      <c r="XDE4" s="3469"/>
      <c r="XDF4" s="3469"/>
      <c r="XDG4" s="3469"/>
      <c r="XDH4" s="3469"/>
      <c r="XDI4" s="3469"/>
      <c r="XDJ4" s="3469"/>
      <c r="XDK4" s="3469"/>
      <c r="XDL4" s="3469"/>
      <c r="XDM4" s="3469"/>
      <c r="XDN4" s="3469"/>
      <c r="XDO4" s="3469"/>
      <c r="XDP4" s="3469"/>
      <c r="XDQ4" s="3469"/>
      <c r="XDR4" s="3469"/>
      <c r="XDS4" s="3469"/>
      <c r="XDT4" s="3469"/>
      <c r="XDU4" s="3469"/>
      <c r="XDV4" s="3469"/>
      <c r="XDW4" s="3469"/>
      <c r="XDX4" s="3469"/>
      <c r="XDY4" s="3469"/>
      <c r="XDZ4" s="3469"/>
      <c r="XEA4" s="3469"/>
      <c r="XEB4" s="3469"/>
      <c r="XEC4" s="3469"/>
      <c r="XED4" s="3469"/>
      <c r="XEE4" s="3469"/>
      <c r="XEF4" s="3469"/>
      <c r="XEG4" s="3469"/>
      <c r="XEH4" s="3469"/>
      <c r="XEI4" s="3469"/>
      <c r="XEJ4" s="3469"/>
      <c r="XEK4" s="3469"/>
      <c r="XEL4" s="3469"/>
      <c r="XEM4" s="3469"/>
      <c r="XEN4" s="3469"/>
      <c r="XEO4" s="3469"/>
      <c r="XEP4" s="3469"/>
      <c r="XEQ4" s="3469"/>
      <c r="XER4" s="3469"/>
      <c r="XES4" s="3469"/>
      <c r="XET4" s="3469"/>
      <c r="XEU4" s="3469"/>
      <c r="XEV4" s="3469"/>
      <c r="XEW4" s="3469"/>
      <c r="XEX4" s="3469"/>
      <c r="XEY4" s="3469"/>
      <c r="XEZ4" s="3469"/>
      <c r="XFA4" s="3469"/>
      <c r="XFB4" s="3469"/>
      <c r="XFC4" s="3469"/>
      <c r="XFD4" s="3469"/>
    </row>
    <row r="7" spans="1:16384">
      <c r="B7" s="3470" t="s">
        <v>3518</v>
      </c>
    </row>
  </sheetData>
  <phoneticPr fontId="13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J31" sqref="J3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9</v>
      </c>
    </row>
    <row r="2" spans="1:9" s="200" customFormat="1" ht="18" customHeight="1">
      <c r="A2" s="201" t="s">
        <v>1462</v>
      </c>
      <c r="B2" s="202">
        <f ca="1">IF(D2="——",C52,C52-E2)</f>
        <v>251758</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36590</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163597</v>
      </c>
      <c r="D5" s="211" t="s">
        <v>1469</v>
      </c>
      <c r="E5" s="212" t="s">
        <v>1470</v>
      </c>
      <c r="F5" s="212" t="s">
        <v>1471</v>
      </c>
      <c r="G5" s="213"/>
    </row>
    <row r="6" spans="1:9" s="214" customFormat="1" ht="13.5" customHeight="1">
      <c r="A6" s="778" t="s">
        <v>1472</v>
      </c>
      <c r="B6" s="215" t="s">
        <v>1473</v>
      </c>
      <c r="C6" s="216">
        <f>基准地价修正!B2</f>
        <v>157420</v>
      </c>
      <c r="D6" s="217"/>
      <c r="E6" s="218"/>
      <c r="F6" s="218"/>
      <c r="G6" s="219"/>
    </row>
    <row r="7" spans="1:9" s="214" customFormat="1" ht="13.5" customHeight="1">
      <c r="A7" s="778" t="s">
        <v>1474</v>
      </c>
      <c r="B7" s="215" t="s">
        <v>1475</v>
      </c>
      <c r="C7" s="220">
        <f>ROUND(C6*F7,0)</f>
        <v>4801</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1376</v>
      </c>
      <c r="D8" s="222"/>
      <c r="E8" s="220"/>
      <c r="F8" s="221"/>
      <c r="G8" s="1856" t="s">
        <v>3469</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3470</v>
      </c>
      <c r="H9" s="1137"/>
      <c r="I9" s="1858" t="s">
        <v>1479</v>
      </c>
    </row>
    <row r="10" spans="1:9" s="214" customFormat="1" ht="13.5" customHeight="1">
      <c r="A10" s="779" t="s">
        <v>356</v>
      </c>
      <c r="B10" s="224" t="s">
        <v>1480</v>
      </c>
      <c r="C10" s="225">
        <f ca="1">ROUND(D10*E10/10000,0)</f>
        <v>1376</v>
      </c>
      <c r="D10" s="845">
        <f ca="1">IF(B1="",'数据-汇总表'!E6,IF(INDIRECT("'数据-取费表'!c"&amp;$G$1)="住宅",INDIRECT("'数据-取费表'!s"&amp;$G$1),INDIRECT("'数据-取费表'!k"&amp;$G$1)+INDIRECT("'数据-取费表'!s"&amp;$G$1)))</f>
        <v>68805.62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68805.62</v>
      </c>
      <c r="E19" s="211">
        <f>'数据-取费表'!B31</f>
        <v>200</v>
      </c>
      <c r="F19" s="231"/>
      <c r="G19" s="1856" t="s">
        <v>3471</v>
      </c>
    </row>
    <row r="20" spans="1:7" s="214" customFormat="1" ht="13.5" customHeight="1">
      <c r="A20" s="255" t="s">
        <v>1493</v>
      </c>
      <c r="B20" s="210" t="s">
        <v>1494</v>
      </c>
      <c r="C20" s="232">
        <f ca="1">ROUND((C5+C19)*F20,0)</f>
        <v>3272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11596</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11483</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113</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21693</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ROUND((C5+C19+C20)*F27*'数据-取费表'!B21/'数据-取费表'!B20,0)</f>
        <v>21693</v>
      </c>
      <c r="D28" s="235"/>
      <c r="E28" s="236"/>
      <c r="F28" s="246"/>
      <c r="G28" s="247"/>
    </row>
    <row r="29" spans="1:7" s="214" customFormat="1" ht="13.5" customHeight="1">
      <c r="A29" s="780" t="s">
        <v>347</v>
      </c>
      <c r="B29" s="248" t="s">
        <v>1517</v>
      </c>
      <c r="C29" s="238">
        <f ca="1">ROUND(C21*F27*'数据-取费表'!B21/'数据-取费表'!B20,4)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216762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33178</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29861</v>
      </c>
      <c r="D34" s="217"/>
      <c r="E34" s="220"/>
      <c r="F34" s="257">
        <f ca="1">IF('数据-取费表'!B24=0,1,IF(B1="",'数据-取费表'!N16,INDIRECT("'数据-取费表'!n"&amp;$G$1)))</f>
        <v>1</v>
      </c>
      <c r="G34" s="219" t="s">
        <v>1526</v>
      </c>
    </row>
    <row r="35" spans="1:7" ht="13.5" customHeight="1">
      <c r="A35" s="780" t="s">
        <v>351</v>
      </c>
      <c r="B35" s="215" t="s">
        <v>1527</v>
      </c>
      <c r="C35" s="220">
        <f ca="1">ROUND(C34*F35,0)</f>
        <v>1493</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1376</v>
      </c>
      <c r="D37" s="217">
        <f ca="1">D19</f>
        <v>68805.62</v>
      </c>
      <c r="E37" s="249">
        <f>'数据-取费表'!B35</f>
        <v>200</v>
      </c>
      <c r="F37" s="259"/>
      <c r="G37" s="261" t="s">
        <v>1532</v>
      </c>
    </row>
    <row r="38" spans="1:7" ht="13.5" customHeight="1">
      <c r="A38" s="780" t="s">
        <v>354</v>
      </c>
      <c r="B38" s="215" t="s">
        <v>1533</v>
      </c>
      <c r="C38" s="220">
        <f ca="1">ROUND(C34*F38,0)</f>
        <v>448</v>
      </c>
      <c r="D38" s="220"/>
      <c r="E38" s="220"/>
      <c r="F38" s="259">
        <f>'数据-取费表'!B36</f>
        <v>1.4999999999999999E-2</v>
      </c>
      <c r="G38" s="219" t="s">
        <v>1528</v>
      </c>
    </row>
    <row r="39" spans="1:7" s="214" customFormat="1" ht="13.5" customHeight="1">
      <c r="A39" s="255" t="s">
        <v>1534</v>
      </c>
      <c r="B39" s="210" t="s">
        <v>1535</v>
      </c>
      <c r="C39" s="232">
        <f ca="1">ROUND(C33*F20,0)</f>
        <v>664</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1168</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1145</v>
      </c>
      <c r="D42" s="238"/>
      <c r="E42" s="238"/>
      <c r="F42" s="239"/>
      <c r="G42" s="3721" t="s">
        <v>1544</v>
      </c>
    </row>
    <row r="43" spans="1:7" ht="13.5" customHeight="1">
      <c r="A43" s="780" t="s">
        <v>347</v>
      </c>
      <c r="B43" s="215" t="s">
        <v>1545</v>
      </c>
      <c r="C43" s="238">
        <f ca="1">ROUND(IF('数据-取费表'!B22&lt;=1,C39*F22*'数据-取费表'!B21/2,C39*(POWER((1+F22),'数据-取费表'!B21/2)-1)),0)</f>
        <v>23</v>
      </c>
      <c r="D43" s="238"/>
      <c r="E43" s="238"/>
      <c r="F43" s="239"/>
      <c r="G43" s="3722"/>
    </row>
    <row r="44" spans="1:7" ht="13.5" customHeight="1">
      <c r="A44" s="780" t="s">
        <v>348</v>
      </c>
      <c r="B44" s="215" t="s">
        <v>1546</v>
      </c>
      <c r="C44" s="238">
        <f ca="1">ROUND(IF('数据-取费表'!B22&lt;=1,C40*F22*'数据-取费表'!B21/2,C40*(POWER((1+F22),'数据-取费表'!B21/2)-1)),4)</f>
        <v>6.9999999999999999E-4</v>
      </c>
      <c r="D44" s="238"/>
      <c r="E44" s="238"/>
      <c r="F44" s="239"/>
      <c r="G44" s="3723"/>
    </row>
    <row r="45" spans="1:7" s="214" customFormat="1" ht="13.5" customHeight="1">
      <c r="A45" s="255" t="s">
        <v>1547</v>
      </c>
      <c r="B45" s="244" t="s">
        <v>1513</v>
      </c>
      <c r="C45" s="245">
        <f ca="1">C46</f>
        <v>4399</v>
      </c>
      <c r="D45" s="235">
        <f ca="1">C47</f>
        <v>2.5999999999999999E-3</v>
      </c>
      <c r="E45" s="236" t="s">
        <v>1539</v>
      </c>
      <c r="F45" s="246">
        <f ca="1">F27</f>
        <v>0.13</v>
      </c>
      <c r="G45" s="247" t="s">
        <v>1548</v>
      </c>
    </row>
    <row r="46" spans="1:7" s="214" customFormat="1" ht="13.5" customHeight="1">
      <c r="A46" s="780" t="s">
        <v>346</v>
      </c>
      <c r="B46" s="248" t="s">
        <v>1549</v>
      </c>
      <c r="C46" s="249">
        <f ca="1">ROUND((C33+C39)*F27,0)</f>
        <v>4399</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42678</v>
      </c>
      <c r="D49" s="232"/>
      <c r="E49" s="232"/>
      <c r="F49" s="264"/>
      <c r="G49" s="234" t="s">
        <v>1554</v>
      </c>
    </row>
    <row r="50" spans="1:7" s="258" customFormat="1" ht="24">
      <c r="A50" s="255" t="s">
        <v>1555</v>
      </c>
      <c r="B50" s="210" t="s">
        <v>1556</v>
      </c>
      <c r="C50" s="232"/>
      <c r="D50" s="232"/>
      <c r="E50" s="232"/>
      <c r="F50" s="264">
        <f>IF('数据-取费表'!B24=0,'数据-取费表'!N16,1)</f>
        <v>0.82</v>
      </c>
      <c r="G50" s="247" t="s">
        <v>1557</v>
      </c>
    </row>
    <row r="51" spans="1:7" ht="16.5" customHeight="1">
      <c r="A51" s="255" t="s">
        <v>1558</v>
      </c>
      <c r="B51" s="210" t="s">
        <v>1559</v>
      </c>
      <c r="C51" s="232">
        <f ca="1">ROUND(C49*F50,0)</f>
        <v>34996</v>
      </c>
      <c r="D51" s="232"/>
      <c r="E51" s="232"/>
      <c r="F51" s="264"/>
      <c r="G51" s="234" t="s">
        <v>1560</v>
      </c>
    </row>
    <row r="52" spans="1:7" s="208" customFormat="1" ht="16.5" thickBot="1">
      <c r="A52" s="265" t="s">
        <v>1561</v>
      </c>
      <c r="B52" s="266"/>
      <c r="C52" s="267">
        <f ca="1">C31+C51</f>
        <v>251758</v>
      </c>
      <c r="D52" s="266"/>
      <c r="E52" s="266"/>
      <c r="F52" s="266"/>
      <c r="G52" s="268"/>
    </row>
    <row r="55" spans="1:7" ht="15">
      <c r="B55" s="270" t="s">
        <v>1562</v>
      </c>
      <c r="C55" s="271"/>
    </row>
    <row r="56" spans="1:7">
      <c r="B56" s="273" t="s">
        <v>802</v>
      </c>
      <c r="C56" s="275">
        <f ca="1">1-C57</f>
        <v>0.86099999999999999</v>
      </c>
    </row>
    <row r="57" spans="1:7">
      <c r="B57" s="273" t="s">
        <v>803</v>
      </c>
      <c r="C57" s="274">
        <f ca="1">ROUND(C51/C52,3)</f>
        <v>0.13900000000000001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4" zoomScale="85" zoomScaleNormal="80" zoomScaleSheetLayoutView="85" workbookViewId="0">
      <selection activeCell="C21" sqref="C21"/>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68805.62</v>
      </c>
      <c r="E1" s="1995"/>
      <c r="F1" s="1995"/>
      <c r="G1" s="1995"/>
      <c r="H1" s="1995"/>
      <c r="I1" s="1995"/>
      <c r="J1" s="1995"/>
      <c r="K1" s="1119"/>
      <c r="L1" s="1996" t="s">
        <v>1928</v>
      </c>
      <c r="M1" s="863">
        <f>SUMPRODUCT((区片价!B5:B9=I2)*(区片价!C3:G3=E2)*(区片价!C5:G9))</f>
        <v>34850</v>
      </c>
      <c r="N1" s="866">
        <f>SUMPRODUCT((因素修正幅度!B5:B9=I2)*(因素修正幅度!C3:G3=E2)*(因素修正幅度!C5:G9))</f>
        <v>9.7000000000000003E-2</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157420</v>
      </c>
      <c r="C2" s="1999" t="s">
        <v>1935</v>
      </c>
      <c r="D2" s="2000" t="s">
        <v>1936</v>
      </c>
      <c r="E2" s="3422" t="s">
        <v>673</v>
      </c>
      <c r="F2" s="2000" t="s">
        <v>1937</v>
      </c>
      <c r="G2" s="2001" t="str">
        <f>IF(E2="商业",项目基本情况!B37,IF(E2="办公",项目基本情况!C37,IF(E2="住宅",项目基本情况!D37,IF(E2="工业",项目基本情况!E37,项目基本情况!F37))))</f>
        <v>一级</v>
      </c>
      <c r="H2" s="2000" t="s">
        <v>1938</v>
      </c>
      <c r="I2" s="2001" t="str">
        <f>IF(E2="商业",项目基本情况!B38,IF(E2="办公",项目基本情况!C38,IF(E2="住宅",项目基本情况!D38,IF(E2="工业",项目基本情况!E38,项目基本情况!F38))))</f>
        <v>Ⅰ—03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1.5206</v>
      </c>
      <c r="T2" s="3361">
        <f t="shared" ref="T2:T16" si="0">ROUND($C$5*$C$22*$C$23*$C$24*S2*$C$28,0)</f>
        <v>48409</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22879</v>
      </c>
      <c r="C3" s="1999" t="s">
        <v>1941</v>
      </c>
      <c r="D3" s="2000" t="s">
        <v>1942</v>
      </c>
      <c r="E3" s="3420" t="s">
        <v>3462</v>
      </c>
      <c r="F3" s="2004" t="s">
        <v>3463</v>
      </c>
      <c r="G3" s="752">
        <f>IF(F3="宗地容积率",'数据-汇总表'!I4,IF(F3="估价对象容积率",'数据-汇总表'!I6,'数据-汇总表'!I7))</f>
        <v>3.36</v>
      </c>
      <c r="H3" s="170" t="s">
        <v>1943</v>
      </c>
      <c r="I3" s="775">
        <v>11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1.2072000000000001</v>
      </c>
      <c r="T3" s="3361">
        <f t="shared" si="0"/>
        <v>38432</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814"/>
      <c r="B4" s="3815"/>
      <c r="C4" s="3815"/>
      <c r="D4" s="3816"/>
      <c r="E4" s="3816"/>
      <c r="F4" s="3816"/>
      <c r="G4" s="3816"/>
      <c r="H4" s="3816"/>
      <c r="I4" s="3816"/>
      <c r="J4" s="3817"/>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1.0430999999999999</v>
      </c>
      <c r="T4" s="3361">
        <f t="shared" si="0"/>
        <v>33208</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34850</v>
      </c>
      <c r="D5" s="1339">
        <f>ROUND(C6*C17+C20,0)</f>
        <v>34850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0.94389999999999996</v>
      </c>
      <c r="T5" s="3361">
        <f t="shared" si="0"/>
        <v>30050</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34850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0.89959999999999996</v>
      </c>
      <c r="T6" s="3361">
        <f t="shared" si="0"/>
        <v>28639</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3241</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一级</v>
      </c>
      <c r="Y7" s="1214" t="s">
        <v>1956</v>
      </c>
      <c r="Z7" s="1215">
        <f>G3</f>
        <v>3.36</v>
      </c>
      <c r="AA7" s="1216"/>
      <c r="AB7" s="1216"/>
      <c r="AC7" s="1217"/>
      <c r="AD7" s="1218"/>
      <c r="AE7" s="1218"/>
      <c r="AF7" s="1218"/>
      <c r="AG7" s="1218"/>
      <c r="AH7" s="1218"/>
      <c r="AI7" s="1218"/>
      <c r="AJ7" s="1219"/>
    </row>
    <row r="8" spans="1:36" ht="25.5">
      <c r="A8" s="3299"/>
      <c r="B8" s="170" t="s">
        <v>1957</v>
      </c>
      <c r="C8" s="2026" t="s">
        <v>3464</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811" t="s">
        <v>1960</v>
      </c>
      <c r="X8" s="3812"/>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813"/>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813"/>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3242</v>
      </c>
      <c r="B12" s="3305" t="s">
        <v>3243</v>
      </c>
      <c r="C12" s="3306"/>
      <c r="D12" s="3307" t="s">
        <v>3244</v>
      </c>
      <c r="E12" s="3308" t="s">
        <v>3245</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3246</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3247</v>
      </c>
      <c r="G14" s="3312" t="s">
        <v>3247</v>
      </c>
      <c r="H14" s="3312" t="s">
        <v>3247</v>
      </c>
      <c r="I14" s="3312" t="s">
        <v>3247</v>
      </c>
      <c r="J14" s="3312" t="s">
        <v>3247</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3248</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3249</v>
      </c>
      <c r="B17" s="3321" t="s">
        <v>3250</v>
      </c>
      <c r="C17" s="3331">
        <f>ROUND(IF(OR(E2="工业",E2="公共服务"),1,IF(AND(E18=0,E19=0),1,IF(AND(E18=J24,E19=G19),0.8,IF(E19=0,1+E17*(-0.2),1+E17*G17*(-0.2))))),4)</f>
        <v>1</v>
      </c>
      <c r="D17" s="3322" t="s">
        <v>3251</v>
      </c>
      <c r="E17" s="3331">
        <f>ROUND(G18/I18,2)</f>
        <v>0</v>
      </c>
      <c r="F17" s="3322" t="s">
        <v>3254</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3252</v>
      </c>
      <c r="E18" s="3329"/>
      <c r="F18" s="3324" t="s">
        <v>3255</v>
      </c>
      <c r="G18" s="3328">
        <f>ROUND(1-(1/(POWER(1+G24,E18))),4)</f>
        <v>0</v>
      </c>
      <c r="H18" s="3324" t="s">
        <v>3257</v>
      </c>
      <c r="I18" s="3328">
        <f>ROUND(1-(1/(POWER(1+G24,J24))),4)</f>
        <v>0.88249999999999995</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3253</v>
      </c>
      <c r="E19" s="3338"/>
      <c r="F19" s="3339" t="s">
        <v>3256</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818" t="s">
        <v>3258</v>
      </c>
      <c r="B20" s="167" t="s">
        <v>1994</v>
      </c>
      <c r="C20" s="3325">
        <f>ROUND(IF(F21="与级别开发程度一致",0,(G21-E21)/C21),0)</f>
        <v>0</v>
      </c>
      <c r="D20" s="3341" t="s">
        <v>1998</v>
      </c>
      <c r="E20" s="3342"/>
      <c r="F20" s="3824" t="s">
        <v>1995</v>
      </c>
      <c r="G20" s="3825"/>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819"/>
      <c r="B21" s="2164" t="s">
        <v>1997</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3465</v>
      </c>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4" t="s">
        <v>2002</v>
      </c>
      <c r="E23" s="761">
        <v>44197</v>
      </c>
      <c r="F23" s="2054" t="s">
        <v>2003</v>
      </c>
      <c r="G23" s="762">
        <f>'数据-取费表'!B2</f>
        <v>45321</v>
      </c>
      <c r="H23" s="3343" t="s">
        <v>3260</v>
      </c>
      <c r="I23" s="3344" t="str">
        <f>IF(H23="季度增幅（自定义）",SUMIF(N25:N28,E2,O25:O28),"")</f>
        <v/>
      </c>
      <c r="J23" s="3446" t="s">
        <v>3259</v>
      </c>
      <c r="K23" s="1125"/>
      <c r="L23" s="2055" t="s">
        <v>2004</v>
      </c>
      <c r="M23" s="1328">
        <f>ROUND(SUMIF(地价!B2:G2,E2,地价!B16:G16),0)</f>
        <v>350</v>
      </c>
      <c r="N23" s="2056" t="s">
        <v>2005</v>
      </c>
      <c r="O23" s="763">
        <f>ROUNDDOWN(DATEDIF(E23,G23,"M")/3,0)</f>
        <v>12</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0.83150000000000002</v>
      </c>
      <c r="D24" s="2060" t="s">
        <v>2007</v>
      </c>
      <c r="E24" s="1335">
        <f>存贷款利率!E24/100</f>
        <v>4.3499999999999997E-2</v>
      </c>
      <c r="F24" s="2060" t="s">
        <v>1999</v>
      </c>
      <c r="G24" s="768">
        <f>SUMIF(M30:Q30,E2,M33:Q33)</f>
        <v>5.5E-2</v>
      </c>
      <c r="H24" s="2060" t="s">
        <v>2008</v>
      </c>
      <c r="I24" s="769">
        <f>SUMIF('数据-取费表'!C6:C15,E2,'数据-取费表'!F6:F15)/COUNTIF('数据-取费表'!C6:C15,E2)</f>
        <v>24.72</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3339</v>
      </c>
      <c r="C25" s="771">
        <f>IF(B25="容积率修正",IF(G3&lt;10,D26,J26),C27)</f>
        <v>1.0048999999999999</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3261</v>
      </c>
      <c r="D26" s="1352">
        <f>IF(E26=G26,F26,IF(G3&lt;10,ROUND(F26+(H26-F26)*(G3-E26)/(G26-E26),4),"——"))</f>
        <v>1.0048999999999999</v>
      </c>
      <c r="E26" s="752">
        <f>ROUNDDOWN(G3,1)</f>
        <v>3.3</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1.0071000000000001</v>
      </c>
      <c r="G26" s="752">
        <f>ROUNDUP(G3,1)</f>
        <v>3.4</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1.0035000000000001</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0.88739999999999997</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1.0490999999999999</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157420</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8941</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31991</v>
      </c>
      <c r="D33" s="2098">
        <f>'数据-汇总表'!F31</f>
        <v>38029.119999999995</v>
      </c>
      <c r="E33" s="773">
        <f>ROUND(C33*D33/10000,0)</f>
        <v>121659</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7998</v>
      </c>
      <c r="D34" s="2103"/>
      <c r="E34" s="773">
        <f>ROUND(IF(B25="楼层修正",SUM(V2:V16)*M40,C34*D34/10000),0)</f>
        <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22"/>
      <c r="B37" s="2113" t="s">
        <v>2036</v>
      </c>
      <c r="C37" s="175">
        <f>ROUND(D5*C22*C23*C24*C28*F37,0)</f>
        <v>22285</v>
      </c>
      <c r="D37" s="2098">
        <f>'数据-基础表'!K13</f>
        <v>9383.2000000000007</v>
      </c>
      <c r="E37" s="171">
        <f>ROUND(C37*D37/10000,0)</f>
        <v>20910</v>
      </c>
      <c r="F37" s="171">
        <f>SUMIF(修正!A57:A68,G2,修正!B57:B68)</f>
        <v>0.7</v>
      </c>
      <c r="G37" s="171">
        <f>ROUND(IF(E2="工业",C37*$M$42,C37*$M$41),0)</f>
        <v>5571</v>
      </c>
      <c r="H37" s="171">
        <f>D37</f>
        <v>9383.2000000000007</v>
      </c>
      <c r="I37" s="171">
        <f>ROUND(G37*H37/10000,0)</f>
        <v>5227</v>
      </c>
      <c r="J37" s="3012"/>
      <c r="K37" s="3359" t="s">
        <v>3270</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23"/>
      <c r="B38" s="2041" t="s">
        <v>2037</v>
      </c>
      <c r="C38" s="175">
        <f>ROUND(D5*C22*C23*C24*C28*F38,0)</f>
        <v>12734</v>
      </c>
      <c r="D38" s="2098"/>
      <c r="E38" s="171">
        <f t="shared" ref="E38:E42" si="4">ROUND(C38*D38/10000,0)</f>
        <v>0</v>
      </c>
      <c r="F38" s="171">
        <f>SUMIF(修正!A57:A68,G2,修正!C57:C68)</f>
        <v>0.4</v>
      </c>
      <c r="G38" s="171">
        <f>ROUND(IF(E2="工业",C38*$M$42,C38*$M$41),0)</f>
        <v>3184</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823"/>
      <c r="B39" s="2041" t="s">
        <v>3263</v>
      </c>
      <c r="C39" s="175">
        <f>ROUND(D5*C22*C23*C24*C28*F39,0)</f>
        <v>9551</v>
      </c>
      <c r="D39" s="2098"/>
      <c r="E39" s="171">
        <f t="shared" si="4"/>
        <v>0</v>
      </c>
      <c r="F39" s="171">
        <f>SUMIF(修正!A57:A68,G2,修正!D57:D68)</f>
        <v>0.3</v>
      </c>
      <c r="G39" s="171">
        <f>ROUND(IF(E2="工业",C39*$M$42,C39*$M$41),0)</f>
        <v>2388</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9551</v>
      </c>
      <c r="D40" s="2098"/>
      <c r="E40" s="171">
        <f t="shared" si="4"/>
        <v>0</v>
      </c>
      <c r="F40" s="175">
        <f>SUMIF(修正!A57:A68,G2,修正!E57:E68)</f>
        <v>0.3</v>
      </c>
      <c r="G40" s="171">
        <f>ROUND(IF(E2="工业",C40*$M$42,C40*$M$41),0)</f>
        <v>2388</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10413</v>
      </c>
      <c r="D41" s="2098"/>
      <c r="E41" s="171">
        <f t="shared" si="4"/>
        <v>0</v>
      </c>
      <c r="F41" s="175">
        <f>SUMIF(修正!A57:A68,G2,修正!F57:F68)</f>
        <v>0.3</v>
      </c>
      <c r="G41" s="171">
        <f>ROUND(IF(E2="工业",C41*$M$42,C41*$M$41),0)</f>
        <v>2603</v>
      </c>
      <c r="H41" s="171">
        <f t="shared" si="5"/>
        <v>0</v>
      </c>
      <c r="I41" s="171">
        <f t="shared" si="6"/>
        <v>0</v>
      </c>
      <c r="J41" s="2114"/>
      <c r="L41" s="3360" t="s">
        <v>3271</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6942</v>
      </c>
      <c r="D42" s="2103">
        <f>'数据-汇总表'!G21</f>
        <v>21393.3</v>
      </c>
      <c r="E42" s="187">
        <f t="shared" si="4"/>
        <v>14851</v>
      </c>
      <c r="F42" s="767">
        <f>SUMIF(修正!A57:A68,G2,修正!G57:G68)</f>
        <v>0.2</v>
      </c>
      <c r="G42" s="187">
        <f>ROUND(IF(E2="工业",C42*$M$42,C42*$M$41),0)</f>
        <v>1736</v>
      </c>
      <c r="H42" s="187">
        <f t="shared" si="5"/>
        <v>21393.3</v>
      </c>
      <c r="I42" s="187">
        <f t="shared" si="6"/>
        <v>3714</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0.90659999999999996</v>
      </c>
      <c r="D44" s="171" t="s">
        <v>1999</v>
      </c>
      <c r="E44" s="2153">
        <f>G24</f>
        <v>5.5E-2</v>
      </c>
      <c r="F44" s="171" t="s">
        <v>2008</v>
      </c>
      <c r="G44" s="183">
        <f>项目基本情况!F15</f>
        <v>34.729999999999997</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1.0490999999999999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3466</v>
      </c>
      <c r="D50" s="1065">
        <f t="shared" ref="D50:D58" si="7">SUMIF($J$49:$N$49,C50,J50:N50)</f>
        <v>1.4500000000000001E-2</v>
      </c>
      <c r="E50" s="744">
        <f>ROUND(SUM(D50:D58),4)</f>
        <v>4.9099999999999998E-2</v>
      </c>
      <c r="F50" s="1814">
        <f>IF(E2="商业",SUMIF(L1:L12,G2,N1:N12),"——")</f>
        <v>9.7000000000000003E-2</v>
      </c>
      <c r="G50" s="1063">
        <f>H50</f>
        <v>1.4500000000000001E-2</v>
      </c>
      <c r="H50" s="1066">
        <f t="shared" ref="H50:H58" si="8">IFERROR(ROUNDDOWN($F$50*I50/2,4),"——")</f>
        <v>1.4500000000000001E-2</v>
      </c>
      <c r="I50" s="3367">
        <v>0.3</v>
      </c>
      <c r="J50" s="1064">
        <f t="shared" ref="J50:J58" si="9">K50+$G50</f>
        <v>2.9000000000000001E-2</v>
      </c>
      <c r="K50" s="1064">
        <f t="shared" ref="K50:K58" si="10">$L50+$G50</f>
        <v>1.4500000000000001E-2</v>
      </c>
      <c r="L50" s="1064">
        <v>0</v>
      </c>
      <c r="M50" s="1064">
        <f t="shared" ref="M50:N58" si="11">L50-$G50</f>
        <v>-1.4500000000000001E-2</v>
      </c>
      <c r="N50" s="1064">
        <f t="shared" si="11"/>
        <v>-2.9000000000000001E-2</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t="s">
        <v>3466</v>
      </c>
      <c r="D51" s="1065">
        <f t="shared" si="7"/>
        <v>1.06E-2</v>
      </c>
      <c r="E51" s="745"/>
      <c r="F51" s="1814"/>
      <c r="G51" s="1063">
        <f t="shared" ref="G51:G58" si="12">H51</f>
        <v>1.06E-2</v>
      </c>
      <c r="H51" s="1066">
        <f t="shared" si="8"/>
        <v>1.06E-2</v>
      </c>
      <c r="I51" s="3367">
        <v>0.22</v>
      </c>
      <c r="J51" s="1064">
        <f t="shared" si="9"/>
        <v>2.12E-2</v>
      </c>
      <c r="K51" s="1064">
        <f t="shared" si="10"/>
        <v>1.06E-2</v>
      </c>
      <c r="L51" s="1064">
        <v>0</v>
      </c>
      <c r="M51" s="1064">
        <f t="shared" si="11"/>
        <v>-1.06E-2</v>
      </c>
      <c r="N51" s="1064">
        <f t="shared" si="11"/>
        <v>-2.12E-2</v>
      </c>
      <c r="AA51" s="1120"/>
      <c r="AB51" s="1120"/>
      <c r="AC51" s="1120"/>
      <c r="AD51" s="1120"/>
      <c r="AE51" s="1120"/>
      <c r="AF51" s="1120"/>
      <c r="AG51" s="1120"/>
      <c r="AH51" s="1120"/>
      <c r="AI51" s="1120"/>
      <c r="AJ51" s="1120"/>
      <c r="AK51" s="1120"/>
    </row>
    <row r="52" spans="1:37" s="1119" customFormat="1" ht="36">
      <c r="A52" s="3369" t="s">
        <v>3273</v>
      </c>
      <c r="B52" s="2134">
        <f>估价对象房地状况!C19</f>
        <v>0</v>
      </c>
      <c r="C52" s="2044" t="s">
        <v>3466</v>
      </c>
      <c r="D52" s="1065">
        <f t="shared" si="7"/>
        <v>5.7999999999999996E-3</v>
      </c>
      <c r="E52" s="745"/>
      <c r="F52" s="1814"/>
      <c r="G52" s="1063">
        <f t="shared" si="12"/>
        <v>5.7999999999999996E-3</v>
      </c>
      <c r="H52" s="1066">
        <f t="shared" si="8"/>
        <v>5.7999999999999996E-3</v>
      </c>
      <c r="I52" s="3367">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2054</v>
      </c>
      <c r="B53" s="2135" t="s">
        <v>2055</v>
      </c>
      <c r="C53" s="2044" t="s">
        <v>3466</v>
      </c>
      <c r="D53" s="1065">
        <f t="shared" si="7"/>
        <v>2.3999999999999998E-3</v>
      </c>
      <c r="E53" s="745"/>
      <c r="F53" s="1814"/>
      <c r="G53" s="1063">
        <f t="shared" si="12"/>
        <v>2.3999999999999998E-3</v>
      </c>
      <c r="H53" s="1066">
        <f t="shared" si="8"/>
        <v>2.3999999999999998E-3</v>
      </c>
      <c r="I53" s="3367">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3467</v>
      </c>
      <c r="D54" s="1065">
        <f t="shared" si="7"/>
        <v>-3.8E-3</v>
      </c>
      <c r="E54" s="745"/>
      <c r="F54" s="1814"/>
      <c r="G54" s="1063">
        <f t="shared" si="12"/>
        <v>3.8E-3</v>
      </c>
      <c r="H54" s="1066">
        <f t="shared" si="8"/>
        <v>3.8E-3</v>
      </c>
      <c r="I54" s="3367">
        <v>0.08</v>
      </c>
      <c r="J54" s="1064">
        <f t="shared" si="9"/>
        <v>7.6E-3</v>
      </c>
      <c r="K54" s="1064">
        <f t="shared" si="10"/>
        <v>3.8E-3</v>
      </c>
      <c r="L54" s="1064">
        <v>0</v>
      </c>
      <c r="M54" s="1064">
        <f t="shared" si="11"/>
        <v>-3.8E-3</v>
      </c>
      <c r="N54" s="1064">
        <f t="shared" si="11"/>
        <v>-7.6E-3</v>
      </c>
      <c r="AA54" s="1120"/>
      <c r="AB54" s="1120"/>
      <c r="AC54" s="1120"/>
      <c r="AD54" s="1120"/>
      <c r="AE54" s="1120"/>
      <c r="AF54" s="1120"/>
      <c r="AG54" s="1120"/>
      <c r="AH54" s="1120"/>
      <c r="AI54" s="1120"/>
      <c r="AJ54" s="1120"/>
      <c r="AK54" s="1120"/>
    </row>
    <row r="55" spans="1:37" s="1119" customFormat="1" ht="24">
      <c r="A55" s="2130" t="s">
        <v>2057</v>
      </c>
      <c r="B55" s="2136" t="s">
        <v>2058</v>
      </c>
      <c r="C55" s="2044" t="s">
        <v>3466</v>
      </c>
      <c r="D55" s="1065">
        <f t="shared" si="7"/>
        <v>2.3999999999999998E-3</v>
      </c>
      <c r="E55" s="745"/>
      <c r="F55" s="1814"/>
      <c r="G55" s="1063">
        <f t="shared" si="12"/>
        <v>2.3999999999999998E-3</v>
      </c>
      <c r="H55" s="1066">
        <f t="shared" si="8"/>
        <v>2.3999999999999998E-3</v>
      </c>
      <c r="I55" s="3367">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3468</v>
      </c>
      <c r="D56" s="1065">
        <f t="shared" si="7"/>
        <v>4.7999999999999996E-3</v>
      </c>
      <c r="E56" s="745"/>
      <c r="F56" s="1814"/>
      <c r="G56" s="1063">
        <f t="shared" si="12"/>
        <v>2.3999999999999998E-3</v>
      </c>
      <c r="H56" s="1066">
        <f t="shared" si="8"/>
        <v>2.3999999999999998E-3</v>
      </c>
      <c r="I56" s="3367">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3468</v>
      </c>
      <c r="D57" s="1065">
        <f t="shared" si="7"/>
        <v>7.6E-3</v>
      </c>
      <c r="E57" s="745"/>
      <c r="F57" s="1814"/>
      <c r="G57" s="1063">
        <f t="shared" si="12"/>
        <v>3.8E-3</v>
      </c>
      <c r="H57" s="1066">
        <f t="shared" si="8"/>
        <v>3.8E-3</v>
      </c>
      <c r="I57" s="3367">
        <v>0.08</v>
      </c>
      <c r="J57" s="1064">
        <f t="shared" si="9"/>
        <v>7.6E-3</v>
      </c>
      <c r="K57" s="1064">
        <f t="shared" si="10"/>
        <v>3.8E-3</v>
      </c>
      <c r="L57" s="1064">
        <v>0</v>
      </c>
      <c r="M57" s="1064">
        <f t="shared" si="11"/>
        <v>-3.8E-3</v>
      </c>
      <c r="N57" s="1064">
        <f t="shared" si="11"/>
        <v>-7.6E-3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3468</v>
      </c>
      <c r="D58" s="1065">
        <f t="shared" si="7"/>
        <v>4.7999999999999996E-3</v>
      </c>
      <c r="E58" s="746"/>
      <c r="F58" s="1814"/>
      <c r="G58" s="1063">
        <f t="shared" si="12"/>
        <v>2.3999999999999998E-3</v>
      </c>
      <c r="H58" s="1066">
        <f t="shared" si="8"/>
        <v>2.3999999999999998E-3</v>
      </c>
      <c r="I58" s="3368">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7">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7">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9" t="s">
        <v>3273</v>
      </c>
      <c r="B63" s="2134">
        <f>估价对象房地状况!C19</f>
        <v>0</v>
      </c>
      <c r="C63" s="2044"/>
      <c r="D63" s="1065">
        <f t="shared" si="13"/>
        <v>0</v>
      </c>
      <c r="E63" s="745"/>
      <c r="F63" s="1814"/>
      <c r="G63" s="1063"/>
      <c r="H63" s="1066" t="str">
        <f t="shared" si="14"/>
        <v>——</v>
      </c>
      <c r="I63" s="3367">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7">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7">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7">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7">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7">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8">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3273</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3274</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2616</v>
      </c>
      <c r="B91" s="3378">
        <f>1+E93</f>
        <v>1</v>
      </c>
      <c r="C91" s="3371"/>
      <c r="D91" s="3372"/>
      <c r="E91" s="1814"/>
      <c r="F91" s="1814"/>
      <c r="G91" s="3373"/>
      <c r="H91" s="3374"/>
      <c r="I91" s="3375"/>
      <c r="J91" s="3376"/>
      <c r="K91" s="3376"/>
      <c r="L91" s="3376"/>
      <c r="M91" s="3376"/>
      <c r="N91" s="3376"/>
    </row>
    <row r="92" spans="1:37" ht="24.75">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3277</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3273</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3278</v>
      </c>
      <c r="B96" s="3385" t="s">
        <v>3289</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3279</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3280</v>
      </c>
      <c r="B98" s="3386" t="s">
        <v>3290</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3281</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3282</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3283</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820" t="s">
        <v>3298</v>
      </c>
      <c r="B103" s="3820"/>
      <c r="C103" s="3820"/>
      <c r="D103" s="3820"/>
      <c r="E103" s="3820"/>
      <c r="F103" s="3820"/>
      <c r="G103" s="3820"/>
      <c r="H103" s="3820"/>
      <c r="I103" s="3820"/>
      <c r="J103" s="3820"/>
      <c r="K103" s="3390"/>
      <c r="L103" s="3390"/>
      <c r="M103" s="3390"/>
      <c r="N103" s="3390"/>
    </row>
    <row r="104" spans="1:14">
      <c r="A104" s="3821" t="s">
        <v>3299</v>
      </c>
      <c r="B104" s="3821" t="s">
        <v>3300</v>
      </c>
      <c r="C104" s="3391" t="s">
        <v>3301</v>
      </c>
      <c r="D104" s="3392"/>
      <c r="E104" s="3392"/>
      <c r="F104" s="3392"/>
      <c r="G104" s="3392"/>
      <c r="H104" s="3392"/>
      <c r="I104" s="3392"/>
      <c r="J104" s="3393"/>
      <c r="K104" s="3394"/>
      <c r="L104" s="3394"/>
      <c r="M104" s="3394"/>
      <c r="N104" s="3394"/>
    </row>
    <row r="105" spans="1:14">
      <c r="A105" s="3821"/>
      <c r="B105" s="3821"/>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807"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808"/>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808"/>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808"/>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808"/>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808"/>
      <c r="B111" s="3395" t="s">
        <v>3272</v>
      </c>
      <c r="C111" s="3396">
        <f>$I$3</f>
        <v>11</v>
      </c>
      <c r="D111" s="3396">
        <f t="shared" ref="D111:M111" si="33">$I$3</f>
        <v>11</v>
      </c>
      <c r="E111" s="3396">
        <f t="shared" si="33"/>
        <v>11</v>
      </c>
      <c r="F111" s="3396">
        <f t="shared" si="33"/>
        <v>11</v>
      </c>
      <c r="G111" s="3396">
        <f t="shared" si="33"/>
        <v>11</v>
      </c>
      <c r="H111" s="3396">
        <f t="shared" si="33"/>
        <v>11</v>
      </c>
      <c r="I111" s="3396">
        <f t="shared" si="33"/>
        <v>11</v>
      </c>
      <c r="J111" s="3396">
        <f t="shared" si="33"/>
        <v>11</v>
      </c>
      <c r="K111" s="3396">
        <f t="shared" si="33"/>
        <v>11</v>
      </c>
      <c r="L111" s="3396">
        <f t="shared" si="33"/>
        <v>11</v>
      </c>
      <c r="M111" s="3396">
        <f t="shared" si="33"/>
        <v>11</v>
      </c>
      <c r="N111" s="3396">
        <f>$I$3</f>
        <v>11</v>
      </c>
    </row>
    <row r="112" spans="1:14">
      <c r="A112" s="3809"/>
      <c r="B112" s="3395">
        <v>6</v>
      </c>
      <c r="C112" s="3388">
        <f>(-0.5556*(C111^2)-0.2719*C111+8944)*(10^(-4))</f>
        <v>0.88737814999999998</v>
      </c>
      <c r="D112" s="3388">
        <f>(-0.5556*(D111^2)-0.2719*D111+8944)*(10^(-4))</f>
        <v>0.88737814999999998</v>
      </c>
      <c r="E112" s="3388">
        <f>(-0.7912*(E111^2)-11.3794*E111+8482)*(10^(-4))</f>
        <v>0.82610914000000002</v>
      </c>
      <c r="F112" s="3388">
        <f t="shared" ref="F112:I112" si="34">(-0.7912*(F111^2)-11.3794*F111+8482)*(10^(-4))</f>
        <v>0.82610914000000002</v>
      </c>
      <c r="G112" s="3388">
        <f t="shared" si="34"/>
        <v>0.82610914000000002</v>
      </c>
      <c r="H112" s="3388">
        <f t="shared" si="34"/>
        <v>0.82610914000000002</v>
      </c>
      <c r="I112" s="3388">
        <f t="shared" si="34"/>
        <v>0.82610914000000002</v>
      </c>
      <c r="J112" s="3388">
        <f>(-0.989*(J111^2)-63.78*J111+7771)*(10^(-4))</f>
        <v>0.69497510000000007</v>
      </c>
      <c r="K112" s="3388">
        <f t="shared" ref="K112:N112" si="35">(-0.989*(K111^2)-63.78*K111+7771)*(10^(-4))</f>
        <v>0.69497510000000007</v>
      </c>
      <c r="L112" s="3388">
        <f t="shared" si="35"/>
        <v>0.69497510000000007</v>
      </c>
      <c r="M112" s="3388">
        <f t="shared" si="35"/>
        <v>0.69497510000000007</v>
      </c>
      <c r="N112" s="3388">
        <f t="shared" si="35"/>
        <v>0.69497510000000007</v>
      </c>
    </row>
    <row r="113" spans="1:14">
      <c r="A113" s="3810" t="s">
        <v>3315</v>
      </c>
      <c r="B113" s="3810"/>
      <c r="C113" s="3810"/>
      <c r="D113" s="3810"/>
      <c r="E113" s="3810"/>
      <c r="F113" s="3810"/>
      <c r="G113" s="3810"/>
      <c r="H113" s="3810"/>
      <c r="I113" s="3810"/>
      <c r="J113" s="3810"/>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3316</v>
      </c>
      <c r="B116" s="3416">
        <f>G3</f>
        <v>3.36</v>
      </c>
      <c r="C116" s="3400" t="s">
        <v>3317</v>
      </c>
      <c r="D116" s="3401">
        <f>SUMPRODUCT((A118:A122=F116)*(B117:M117=H116)*B118:M122)</f>
        <v>0.95979999999999999</v>
      </c>
      <c r="E116" s="2000" t="s">
        <v>3318</v>
      </c>
      <c r="F116" s="3402" t="str">
        <f>E2</f>
        <v>商业</v>
      </c>
      <c r="G116" s="2000" t="s">
        <v>3319</v>
      </c>
      <c r="H116" s="3402" t="str">
        <f>G2</f>
        <v>一级</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0.95979999999999999</v>
      </c>
      <c r="C118" s="3388">
        <f>B118</f>
        <v>0.95979999999999999</v>
      </c>
      <c r="D118" s="3388">
        <f>ROUND(0.949-0.014*B116,4)</f>
        <v>0.90200000000000002</v>
      </c>
      <c r="E118" s="3388">
        <f>D118</f>
        <v>0.90200000000000002</v>
      </c>
      <c r="F118" s="3388">
        <f>E118</f>
        <v>0.90200000000000002</v>
      </c>
      <c r="G118" s="3388">
        <f>F118</f>
        <v>0.90200000000000002</v>
      </c>
      <c r="H118" s="3388">
        <f>G118</f>
        <v>0.90200000000000002</v>
      </c>
      <c r="I118" s="3388">
        <f>ROUND(0.8486-0.018*B116,4)</f>
        <v>0.78810000000000002</v>
      </c>
      <c r="J118" s="3388">
        <f t="shared" ref="J118:M122" si="36">I118</f>
        <v>0.78810000000000002</v>
      </c>
      <c r="K118" s="3388">
        <f t="shared" si="36"/>
        <v>0.78810000000000002</v>
      </c>
      <c r="L118" s="3388">
        <f t="shared" si="36"/>
        <v>0.78810000000000002</v>
      </c>
      <c r="M118" s="3411">
        <f t="shared" si="36"/>
        <v>0.78810000000000002</v>
      </c>
      <c r="N118" s="3398"/>
    </row>
    <row r="119" spans="1:14">
      <c r="A119" s="3410" t="s">
        <v>3333</v>
      </c>
      <c r="B119" s="3388">
        <f>ROUND(0.993-0.0112*B116,4)</f>
        <v>0.95540000000000003</v>
      </c>
      <c r="C119" s="3388">
        <f>B119</f>
        <v>0.95540000000000003</v>
      </c>
      <c r="D119" s="3388">
        <f>ROUND(0.9415-0.0142*B116,4)</f>
        <v>0.89380000000000004</v>
      </c>
      <c r="E119" s="3388">
        <f t="shared" ref="E119:H120" si="37">D119</f>
        <v>0.89380000000000004</v>
      </c>
      <c r="F119" s="3388">
        <f t="shared" si="37"/>
        <v>0.89380000000000004</v>
      </c>
      <c r="G119" s="3388">
        <f t="shared" si="37"/>
        <v>0.89380000000000004</v>
      </c>
      <c r="H119" s="3388">
        <f t="shared" si="37"/>
        <v>0.89380000000000004</v>
      </c>
      <c r="I119" s="3388">
        <f>ROUND(0.838-0.0182*B116,4)</f>
        <v>0.77680000000000005</v>
      </c>
      <c r="J119" s="3388">
        <f t="shared" si="36"/>
        <v>0.77680000000000005</v>
      </c>
      <c r="K119" s="3388">
        <f t="shared" si="36"/>
        <v>0.77680000000000005</v>
      </c>
      <c r="L119" s="3388">
        <f t="shared" si="36"/>
        <v>0.77680000000000005</v>
      </c>
      <c r="M119" s="3411">
        <f t="shared" si="36"/>
        <v>0.77680000000000005</v>
      </c>
      <c r="N119" s="3398"/>
    </row>
    <row r="120" spans="1:14">
      <c r="A120" s="3410" t="s">
        <v>3334</v>
      </c>
      <c r="B120" s="3388">
        <f>ROUND(0.9448-0.0115*B116,4)</f>
        <v>0.90620000000000001</v>
      </c>
      <c r="C120" s="3388">
        <f>B120</f>
        <v>0.90620000000000001</v>
      </c>
      <c r="D120" s="3388">
        <f>ROUND(0.937-0.0145*B116,4)</f>
        <v>0.88829999999999998</v>
      </c>
      <c r="E120" s="3388">
        <f t="shared" si="37"/>
        <v>0.88829999999999998</v>
      </c>
      <c r="F120" s="3388">
        <f t="shared" si="37"/>
        <v>0.88829999999999998</v>
      </c>
      <c r="G120" s="3388">
        <f t="shared" si="37"/>
        <v>0.88829999999999998</v>
      </c>
      <c r="H120" s="3388">
        <f t="shared" si="37"/>
        <v>0.88829999999999998</v>
      </c>
      <c r="I120" s="3388">
        <f>ROUND(0.7965-0.0185*B116,4)</f>
        <v>0.73429999999999995</v>
      </c>
      <c r="J120" s="3388">
        <f t="shared" si="36"/>
        <v>0.73429999999999995</v>
      </c>
      <c r="K120" s="3388">
        <f t="shared" si="36"/>
        <v>0.73429999999999995</v>
      </c>
      <c r="L120" s="3388">
        <f t="shared" si="36"/>
        <v>0.73429999999999995</v>
      </c>
      <c r="M120" s="3411">
        <f t="shared" si="36"/>
        <v>0.73429999999999995</v>
      </c>
      <c r="N120" s="3398"/>
    </row>
    <row r="121" spans="1:14" ht="13.5" thickBot="1">
      <c r="A121" s="3412" t="s">
        <v>3335</v>
      </c>
      <c r="B121" s="3413">
        <f>ROUND(0.7836-0.012*B116,4)</f>
        <v>0.74329999999999996</v>
      </c>
      <c r="C121" s="3413">
        <f>B121</f>
        <v>0.74329999999999996</v>
      </c>
      <c r="D121" s="3413">
        <f>ROUND(0.753-0.015*B116,4)</f>
        <v>0.7026</v>
      </c>
      <c r="E121" s="3413">
        <f>D121</f>
        <v>0.7026</v>
      </c>
      <c r="F121" s="3413">
        <f>E121</f>
        <v>0.7026</v>
      </c>
      <c r="G121" s="3413">
        <f>ROUND(0.6612-0.018*B116,4)</f>
        <v>0.60070000000000001</v>
      </c>
      <c r="H121" s="3413">
        <f>G121</f>
        <v>0.60070000000000001</v>
      </c>
      <c r="I121" s="3413">
        <f>ROUND(0.5905-0.019*B116,4)</f>
        <v>0.52669999999999995</v>
      </c>
      <c r="J121" s="3413">
        <f t="shared" si="36"/>
        <v>0.52669999999999995</v>
      </c>
      <c r="K121" s="3413">
        <f t="shared" si="36"/>
        <v>0.52669999999999995</v>
      </c>
      <c r="L121" s="3413">
        <f t="shared" si="36"/>
        <v>0.52669999999999995</v>
      </c>
      <c r="M121" s="3414">
        <f t="shared" si="36"/>
        <v>0.52669999999999995</v>
      </c>
      <c r="N121" s="3398"/>
    </row>
    <row r="122" spans="1:14">
      <c r="A122" s="3415" t="s">
        <v>2616</v>
      </c>
      <c r="B122" s="3388">
        <f>ROUND(0.9404-0.0106*B116,4)</f>
        <v>0.90480000000000005</v>
      </c>
      <c r="C122" s="3388">
        <f>B122</f>
        <v>0.90480000000000005</v>
      </c>
      <c r="D122" s="3388">
        <f>ROUND(0.8955-0.0135*B116,4)</f>
        <v>0.85009999999999997</v>
      </c>
      <c r="E122" s="3388">
        <f t="shared" ref="E122:H122" si="38">D122</f>
        <v>0.85009999999999997</v>
      </c>
      <c r="F122" s="3388">
        <f t="shared" si="38"/>
        <v>0.85009999999999997</v>
      </c>
      <c r="G122" s="3388">
        <f t="shared" si="38"/>
        <v>0.85009999999999997</v>
      </c>
      <c r="H122" s="3388">
        <f t="shared" si="38"/>
        <v>0.85009999999999997</v>
      </c>
      <c r="I122" s="3388">
        <f>ROUND(0.7632-0.0166*B116,4)</f>
        <v>0.70740000000000003</v>
      </c>
      <c r="J122" s="3388">
        <f t="shared" si="36"/>
        <v>0.70740000000000003</v>
      </c>
      <c r="K122" s="3388">
        <f t="shared" si="36"/>
        <v>0.70740000000000003</v>
      </c>
      <c r="L122" s="3388">
        <f t="shared" si="36"/>
        <v>0.70740000000000003</v>
      </c>
      <c r="M122" s="3411">
        <f t="shared" si="36"/>
        <v>0.70740000000000003</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154</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清单</vt:lpstr>
      <vt:lpstr>Sheet1</vt:lpstr>
      <vt:lpstr>数据-取费表</vt:lpstr>
      <vt:lpstr>估价对象房地状况</vt:lpstr>
      <vt:lpstr>系统读取表</vt:lpstr>
      <vt:lpstr>结果表</vt:lpstr>
      <vt:lpstr>比较法-办公</vt:lpstr>
      <vt:lpstr>成本法 (元)</vt:lpstr>
      <vt:lpstr>假设开发法</vt:lpstr>
      <vt:lpstr>收益法</vt:lpstr>
      <vt:lpstr>收益法 (元)</vt:lpstr>
      <vt:lpstr>收益法-酒店模型</vt:lpstr>
      <vt:lpstr>收益法2</vt:lpstr>
      <vt:lpstr>收益法(车库)</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收益法（汇总）</vt:lpstr>
      <vt:lpstr>案例</vt:lpstr>
      <vt:lpstr>成本法</vt:lpstr>
      <vt:lpstr>基准地价修正</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'收益法(车库)'!Print_Area</vt:lpstr>
      <vt:lpstr>'收益法（汇总）'!Print_Area</vt:lpstr>
      <vt:lpstr>收益法2!Print_Area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2024-03-08T05:15:49Z</dcterms:modified>
</cp:coreProperties>
</file>