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土地比较法-住宅、综合" sheetId="39" state="hidden" r:id="rId23"/>
    <sheet name="土地比较法-工业" sheetId="40"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4">'收益法-车库'!$A$1:$AK$69</definedName>
    <definedName name="_xlnm.Print_Area" localSheetId="32">'收益法-联排'!$A$1:$AK$69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34" i="40" l="1"/>
  <c r="E7" i="40"/>
  <c r="E5" i="40"/>
  <c r="L2" i="80"/>
  <c r="E66" i="40" l="1"/>
  <c r="F66" i="40" s="1"/>
  <c r="G66" i="40" s="1"/>
  <c r="H66" i="40" s="1"/>
  <c r="I66" i="40" s="1"/>
  <c r="J66" i="40" s="1"/>
  <c r="K66" i="40" s="1"/>
  <c r="L66" i="40" s="1"/>
  <c r="M66" i="40" s="1"/>
  <c r="N66" i="40" s="1"/>
  <c r="O66" i="40" s="1"/>
  <c r="D66" i="40"/>
  <c r="L4" i="80" l="1"/>
  <c r="L5" i="80"/>
  <c r="L6" i="80"/>
  <c r="L7" i="80"/>
  <c r="L8" i="80"/>
  <c r="L9" i="80"/>
  <c r="L10" i="80"/>
  <c r="L11" i="80"/>
  <c r="L12" i="80"/>
  <c r="L13" i="80"/>
  <c r="L14" i="80"/>
  <c r="L15" i="80"/>
  <c r="L16" i="80"/>
  <c r="L17" i="80"/>
  <c r="L3" i="80"/>
  <c r="D14" i="9"/>
  <c r="D76" i="40"/>
  <c r="F11" i="40" s="1"/>
  <c r="D84" i="40"/>
  <c r="F15" i="40"/>
  <c r="AA15" i="40" s="1"/>
  <c r="D113" i="40"/>
  <c r="H15" i="40"/>
  <c r="AB15" i="40" s="1"/>
  <c r="E113" i="40"/>
  <c r="F113" i="40" s="1"/>
  <c r="G113" i="40" s="1"/>
  <c r="J15" i="40"/>
  <c r="AC15" i="40" s="1"/>
  <c r="F19" i="6"/>
  <c r="D3" i="4"/>
  <c r="J140" i="79"/>
  <c r="K145" i="79" s="1"/>
  <c r="C145" i="79"/>
  <c r="K139" i="79"/>
  <c r="K144" i="79"/>
  <c r="J142" i="79"/>
  <c r="B130" i="79"/>
  <c r="B128" i="79"/>
  <c r="B126" i="79"/>
  <c r="D125" i="79"/>
  <c r="E125" i="79"/>
  <c r="F125" i="79" s="1"/>
  <c r="G125" i="79" s="1"/>
  <c r="D123" i="79"/>
  <c r="E123" i="79"/>
  <c r="F123" i="79" s="1"/>
  <c r="G123" i="79" s="1"/>
  <c r="H123" i="79" s="1"/>
  <c r="I123" i="79" s="1"/>
  <c r="J123" i="79" s="1"/>
  <c r="K123" i="79" s="1"/>
  <c r="L123" i="79" s="1"/>
  <c r="M123" i="79" s="1"/>
  <c r="D119" i="79"/>
  <c r="E119" i="79"/>
  <c r="F119" i="79" s="1"/>
  <c r="G119" i="79" s="1"/>
  <c r="H119" i="79" s="1"/>
  <c r="I119" i="79" s="1"/>
  <c r="J119" i="79" s="1"/>
  <c r="K119" i="79" s="1"/>
  <c r="L119" i="79" s="1"/>
  <c r="M119" i="79" s="1"/>
  <c r="D117" i="79"/>
  <c r="E117" i="79"/>
  <c r="F117" i="79" s="1"/>
  <c r="G117" i="79" s="1"/>
  <c r="D115" i="79"/>
  <c r="E115" i="79"/>
  <c r="F115" i="79" s="1"/>
  <c r="G115" i="79" s="1"/>
  <c r="H115" i="79" s="1"/>
  <c r="I115" i="79" s="1"/>
  <c r="J115" i="79" s="1"/>
  <c r="K115" i="79" s="1"/>
  <c r="L115" i="79" s="1"/>
  <c r="M115" i="79" s="1"/>
  <c r="D113" i="79"/>
  <c r="E113" i="79"/>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B2" i="1"/>
  <c r="C7" i="79"/>
  <c r="C58" i="79" s="1"/>
  <c r="I54" i="79"/>
  <c r="J54" i="79" s="1"/>
  <c r="G54" i="79"/>
  <c r="H54" i="79" s="1"/>
  <c r="E54" i="79"/>
  <c r="F54" i="79" s="1"/>
  <c r="V47" i="79"/>
  <c r="R47" i="79"/>
  <c r="T47" i="79"/>
  <c r="P49" i="79"/>
  <c r="P48" i="79"/>
  <c r="P47" i="79"/>
  <c r="J46" i="79"/>
  <c r="AC46" i="79" s="1"/>
  <c r="H46" i="79"/>
  <c r="F46" i="79"/>
  <c r="AA46" i="79" s="1"/>
  <c r="Q46" i="79"/>
  <c r="Z46" i="79" s="1"/>
  <c r="W46" i="79"/>
  <c r="S46" i="79"/>
  <c r="J45" i="79"/>
  <c r="AC45" i="79"/>
  <c r="H45" i="79"/>
  <c r="AB45" i="79"/>
  <c r="F45" i="79"/>
  <c r="AA45" i="79"/>
  <c r="Q45" i="79"/>
  <c r="Z45" i="79"/>
  <c r="W45" i="79"/>
  <c r="U45" i="79"/>
  <c r="S45" i="79"/>
  <c r="J44" i="79"/>
  <c r="AC44" i="79" s="1"/>
  <c r="H44" i="79"/>
  <c r="F44" i="79"/>
  <c r="AA44" i="79" s="1"/>
  <c r="Q44" i="79"/>
  <c r="Z44" i="79" s="1"/>
  <c r="W44" i="79"/>
  <c r="J43" i="79"/>
  <c r="AC43" i="79"/>
  <c r="H43" i="79"/>
  <c r="AB43" i="79" s="1"/>
  <c r="F43" i="79"/>
  <c r="AA43" i="79" s="1"/>
  <c r="Q43" i="79"/>
  <c r="Z43" i="79" s="1"/>
  <c r="W43" i="79"/>
  <c r="S43" i="79"/>
  <c r="J42" i="79"/>
  <c r="AC42" i="79"/>
  <c r="H42" i="79"/>
  <c r="AB42" i="79"/>
  <c r="F42" i="79"/>
  <c r="AA42" i="79"/>
  <c r="Q42" i="79"/>
  <c r="Z42" i="79"/>
  <c r="W42" i="79"/>
  <c r="U42" i="79"/>
  <c r="S42" i="79"/>
  <c r="J41" i="79"/>
  <c r="AC41" i="79" s="1"/>
  <c r="H41" i="79"/>
  <c r="AB41" i="79" s="1"/>
  <c r="F41" i="79"/>
  <c r="AA41" i="79" s="1"/>
  <c r="Q41" i="79"/>
  <c r="Z41" i="79" s="1"/>
  <c r="W41" i="79"/>
  <c r="S41" i="79"/>
  <c r="J40" i="79"/>
  <c r="AC40" i="79"/>
  <c r="H40" i="79"/>
  <c r="AB40" i="79"/>
  <c r="F40" i="79"/>
  <c r="AA40" i="79"/>
  <c r="Q40" i="79"/>
  <c r="Z40" i="79"/>
  <c r="W40" i="79"/>
  <c r="U40" i="79"/>
  <c r="S40" i="79"/>
  <c r="J39" i="79"/>
  <c r="AC39" i="79" s="1"/>
  <c r="H39" i="79"/>
  <c r="AB39" i="79" s="1"/>
  <c r="F39" i="79"/>
  <c r="AA39" i="79" s="1"/>
  <c r="Q39" i="79"/>
  <c r="Z39" i="79" s="1"/>
  <c r="W39" i="79"/>
  <c r="S39" i="79"/>
  <c r="J38" i="79"/>
  <c r="AC38" i="79"/>
  <c r="H38" i="79"/>
  <c r="AB38" i="79"/>
  <c r="F38" i="79"/>
  <c r="AA38" i="79"/>
  <c r="Q38" i="79"/>
  <c r="Z38" i="79"/>
  <c r="W38" i="79"/>
  <c r="U38" i="79"/>
  <c r="S38" i="79"/>
  <c r="J37" i="79"/>
  <c r="AC37" i="79" s="1"/>
  <c r="H37" i="79"/>
  <c r="AB37" i="79" s="1"/>
  <c r="F37" i="79"/>
  <c r="AA37" i="79" s="1"/>
  <c r="Q37" i="79"/>
  <c r="Z37" i="79" s="1"/>
  <c r="W37" i="79"/>
  <c r="S37" i="79"/>
  <c r="J36" i="79"/>
  <c r="AC36" i="79"/>
  <c r="H36" i="79"/>
  <c r="AB36" i="79"/>
  <c r="F36" i="79"/>
  <c r="AA36" i="79"/>
  <c r="Q36" i="79"/>
  <c r="Z36" i="79"/>
  <c r="W36" i="79"/>
  <c r="U36" i="79"/>
  <c r="S36" i="79"/>
  <c r="J35" i="79"/>
  <c r="AC35" i="79" s="1"/>
  <c r="H35" i="79"/>
  <c r="AB35" i="79" s="1"/>
  <c r="F35" i="79"/>
  <c r="AA35" i="79" s="1"/>
  <c r="Q35" i="79"/>
  <c r="Z35" i="79" s="1"/>
  <c r="W35" i="79"/>
  <c r="S35" i="79"/>
  <c r="J34" i="79"/>
  <c r="AC34" i="79"/>
  <c r="H34" i="79"/>
  <c r="AB34" i="79"/>
  <c r="F34" i="79"/>
  <c r="AA34" i="79"/>
  <c r="Q34" i="79"/>
  <c r="Z34" i="79"/>
  <c r="W34" i="79"/>
  <c r="U34" i="79"/>
  <c r="S34" i="79"/>
  <c r="J33" i="79"/>
  <c r="AC33" i="79" s="1"/>
  <c r="H33" i="79"/>
  <c r="AB33" i="79" s="1"/>
  <c r="F33" i="79"/>
  <c r="AA33" i="79" s="1"/>
  <c r="Q33" i="79"/>
  <c r="Z33" i="79" s="1"/>
  <c r="W33" i="79"/>
  <c r="S33" i="79"/>
  <c r="J32" i="79"/>
  <c r="AC32" i="79"/>
  <c r="H32" i="79"/>
  <c r="AB32" i="79"/>
  <c r="F32" i="79"/>
  <c r="AA32" i="79" s="1"/>
  <c r="Q32" i="79"/>
  <c r="Z32" i="79" s="1"/>
  <c r="W32" i="79"/>
  <c r="U32" i="79"/>
  <c r="S32" i="79"/>
  <c r="J31" i="79"/>
  <c r="AC31" i="79"/>
  <c r="H31" i="79"/>
  <c r="AB31" i="79"/>
  <c r="F31" i="79"/>
  <c r="AA31" i="79"/>
  <c r="Q31" i="79"/>
  <c r="Z31" i="79"/>
  <c r="W31" i="79"/>
  <c r="U31" i="79"/>
  <c r="S31" i="79"/>
  <c r="J30" i="79"/>
  <c r="AC30" i="79" s="1"/>
  <c r="H30" i="79"/>
  <c r="AB30" i="79" s="1"/>
  <c r="F30" i="79"/>
  <c r="AA30" i="79" s="1"/>
  <c r="Q30" i="79"/>
  <c r="Z30" i="79" s="1"/>
  <c r="W30" i="79"/>
  <c r="S30" i="79"/>
  <c r="J29" i="79"/>
  <c r="AC29" i="79"/>
  <c r="H29" i="79"/>
  <c r="AB29" i="79"/>
  <c r="F29" i="79"/>
  <c r="AA29" i="79"/>
  <c r="Q29" i="79"/>
  <c r="Z29" i="79"/>
  <c r="W29" i="79"/>
  <c r="U29" i="79"/>
  <c r="S29" i="79"/>
  <c r="J28" i="79"/>
  <c r="AC28" i="79" s="1"/>
  <c r="H28" i="79"/>
  <c r="AB28" i="79" s="1"/>
  <c r="F28" i="79"/>
  <c r="AA28" i="79" s="1"/>
  <c r="Q28" i="79"/>
  <c r="Z28" i="79" s="1"/>
  <c r="W28" i="79"/>
  <c r="S28" i="79"/>
  <c r="J27" i="79"/>
  <c r="AC27" i="79"/>
  <c r="H27" i="79"/>
  <c r="AB27" i="79"/>
  <c r="F27" i="79"/>
  <c r="AA27" i="79"/>
  <c r="Q27" i="79"/>
  <c r="Z27" i="79"/>
  <c r="W27" i="79"/>
  <c r="U27" i="79"/>
  <c r="S27" i="79"/>
  <c r="J26" i="79"/>
  <c r="AC26" i="79" s="1"/>
  <c r="H26" i="79"/>
  <c r="AB26" i="79" s="1"/>
  <c r="F26" i="79"/>
  <c r="AA26" i="79" s="1"/>
  <c r="Q26" i="79"/>
  <c r="Z26" i="79" s="1"/>
  <c r="W26" i="79"/>
  <c r="S26" i="79"/>
  <c r="J25" i="79"/>
  <c r="AC25" i="79"/>
  <c r="H25" i="79"/>
  <c r="AB25" i="79"/>
  <c r="F25" i="79"/>
  <c r="AA25" i="79"/>
  <c r="Q25" i="79"/>
  <c r="Z25" i="79"/>
  <c r="W25" i="79"/>
  <c r="U25" i="79"/>
  <c r="S25" i="79"/>
  <c r="J23" i="79"/>
  <c r="AC23" i="79" s="1"/>
  <c r="H23" i="79"/>
  <c r="AB23" i="79" s="1"/>
  <c r="F23" i="79"/>
  <c r="AA23" i="79" s="1"/>
  <c r="Q23" i="79"/>
  <c r="Z23" i="79" s="1"/>
  <c r="W23" i="79"/>
  <c r="S23" i="79"/>
  <c r="C23" i="79"/>
  <c r="J21" i="79"/>
  <c r="AC21" i="79" s="1"/>
  <c r="H21" i="79"/>
  <c r="AB21" i="79" s="1"/>
  <c r="F21" i="79"/>
  <c r="AA21" i="79" s="1"/>
  <c r="Q21" i="79"/>
  <c r="Z21" i="79" s="1"/>
  <c r="W21" i="79"/>
  <c r="S21" i="79"/>
  <c r="C21" i="79"/>
  <c r="J19" i="79"/>
  <c r="AC19" i="79" s="1"/>
  <c r="H19" i="79"/>
  <c r="F19" i="79"/>
  <c r="AA19" i="79" s="1"/>
  <c r="Q19" i="79"/>
  <c r="Z19" i="79" s="1"/>
  <c r="W19" i="79"/>
  <c r="C19" i="79"/>
  <c r="J17" i="79"/>
  <c r="AC17" i="79" s="1"/>
  <c r="H17" i="79"/>
  <c r="F17" i="79"/>
  <c r="AA17" i="79" s="1"/>
  <c r="Q17" i="79"/>
  <c r="Z17" i="79" s="1"/>
  <c r="W17" i="79"/>
  <c r="S17" i="79"/>
  <c r="C17" i="79"/>
  <c r="J15" i="79"/>
  <c r="AC15" i="79" s="1"/>
  <c r="H15" i="79"/>
  <c r="F15" i="79"/>
  <c r="AA15" i="79" s="1"/>
  <c r="Q15" i="79"/>
  <c r="Z15" i="79" s="1"/>
  <c r="W15" i="79"/>
  <c r="C15" i="79"/>
  <c r="J14" i="79"/>
  <c r="AC14" i="79" s="1"/>
  <c r="H14" i="79"/>
  <c r="F14" i="79"/>
  <c r="AA14" i="79" s="1"/>
  <c r="Q14" i="79"/>
  <c r="Z14" i="79" s="1"/>
  <c r="W14" i="79"/>
  <c r="S14" i="79"/>
  <c r="J13" i="79"/>
  <c r="AC13" i="79"/>
  <c r="H13" i="79"/>
  <c r="AB13" i="79"/>
  <c r="F13" i="79"/>
  <c r="AA13" i="79"/>
  <c r="Q13" i="79"/>
  <c r="Z13" i="79"/>
  <c r="W13" i="79"/>
  <c r="U13" i="79"/>
  <c r="S13" i="79"/>
  <c r="J12" i="79"/>
  <c r="AC12" i="79" s="1"/>
  <c r="H12" i="79"/>
  <c r="F12" i="79"/>
  <c r="AA12" i="79" s="1"/>
  <c r="Q12" i="79"/>
  <c r="Z12" i="79" s="1"/>
  <c r="W12" i="79"/>
  <c r="J11" i="79"/>
  <c r="AC11" i="79"/>
  <c r="H11" i="79"/>
  <c r="AB11" i="79"/>
  <c r="F11" i="79"/>
  <c r="AA11" i="79"/>
  <c r="Q11" i="79"/>
  <c r="Z11" i="79"/>
  <c r="W11" i="79"/>
  <c r="U11" i="79"/>
  <c r="S11" i="79"/>
  <c r="J10" i="79"/>
  <c r="AC10" i="79" s="1"/>
  <c r="H10" i="79"/>
  <c r="F10" i="79"/>
  <c r="AA10" i="79" s="1"/>
  <c r="Q10" i="79"/>
  <c r="Z10" i="79" s="1"/>
  <c r="W10" i="79"/>
  <c r="S10" i="79"/>
  <c r="J9" i="79"/>
  <c r="AC9" i="79"/>
  <c r="H9" i="79"/>
  <c r="AB9" i="79"/>
  <c r="F9" i="79"/>
  <c r="AA9" i="79"/>
  <c r="Q9" i="79"/>
  <c r="Z9" i="79"/>
  <c r="W9" i="79"/>
  <c r="U9" i="79"/>
  <c r="S9" i="79"/>
  <c r="J8" i="79"/>
  <c r="AC8" i="79" s="1"/>
  <c r="H8" i="79"/>
  <c r="F8" i="79"/>
  <c r="AA8" i="79" s="1"/>
  <c r="S8" i="7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6" i="1"/>
  <c r="A7" i="1"/>
  <c r="G1" i="78" s="1"/>
  <c r="A8" i="1"/>
  <c r="A9" i="1"/>
  <c r="R9" i="1" s="1"/>
  <c r="K9" i="1"/>
  <c r="M9" i="1" s="1"/>
  <c r="S9" i="1"/>
  <c r="T9" i="1" s="1"/>
  <c r="E19" i="6"/>
  <c r="K6" i="1" s="1"/>
  <c r="M6" i="1" s="1"/>
  <c r="E20" i="6"/>
  <c r="S7" i="1"/>
  <c r="T7" i="1" s="1"/>
  <c r="K8" i="1"/>
  <c r="M8" i="1" s="1"/>
  <c r="S8" i="1"/>
  <c r="T8" i="1" s="1"/>
  <c r="F15" i="78"/>
  <c r="F17" i="78"/>
  <c r="F18" i="78"/>
  <c r="F20" i="78"/>
  <c r="C1" i="73"/>
  <c r="J1" i="73" s="1"/>
  <c r="B22" i="1"/>
  <c r="E1" i="73" s="1"/>
  <c r="K1" i="73" s="1"/>
  <c r="F23" i="78"/>
  <c r="F21" i="78"/>
  <c r="B43" i="1"/>
  <c r="B41" i="1"/>
  <c r="F28" i="78" s="1"/>
  <c r="C28" i="78" s="1"/>
  <c r="C42" i="1"/>
  <c r="L1" i="73"/>
  <c r="F33" i="78"/>
  <c r="F61" i="78" s="1"/>
  <c r="B52" i="1"/>
  <c r="F34" i="78"/>
  <c r="L19" i="6"/>
  <c r="L20" i="6"/>
  <c r="R8" i="1"/>
  <c r="AE9" i="1"/>
  <c r="G1" i="15"/>
  <c r="M47" i="15"/>
  <c r="J50" i="15"/>
  <c r="J51" i="15" s="1"/>
  <c r="AE7" i="1"/>
  <c r="AE8" i="1"/>
  <c r="M47" i="78"/>
  <c r="F9" i="1"/>
  <c r="J50" i="78"/>
  <c r="J51" i="78"/>
  <c r="D9" i="1"/>
  <c r="D6" i="1"/>
  <c r="K59" i="78"/>
  <c r="P74" i="78"/>
  <c r="Q72" i="78"/>
  <c r="F62" i="78"/>
  <c r="P61" i="78"/>
  <c r="J53" i="78"/>
  <c r="Q52" i="78" s="1"/>
  <c r="Q59" i="78"/>
  <c r="B24" i="1"/>
  <c r="F59" i="78"/>
  <c r="Q58" i="78"/>
  <c r="Q51" i="78"/>
  <c r="D46" i="78"/>
  <c r="F31" i="78"/>
  <c r="AG9" i="1"/>
  <c r="M18" i="78"/>
  <c r="M19" i="78"/>
  <c r="M20" i="78"/>
  <c r="D24" i="78"/>
  <c r="D23" i="78"/>
  <c r="D22" i="78"/>
  <c r="M17" i="78"/>
  <c r="G1" i="77"/>
  <c r="F15" i="77"/>
  <c r="F17" i="77"/>
  <c r="F18" i="77"/>
  <c r="F20" i="77"/>
  <c r="F23" i="77"/>
  <c r="F21" i="77"/>
  <c r="F33" i="77"/>
  <c r="F61" i="77" s="1"/>
  <c r="F34" i="77"/>
  <c r="M47" i="77"/>
  <c r="J50" i="77"/>
  <c r="J51" i="77"/>
  <c r="K59" i="77"/>
  <c r="P74" i="77"/>
  <c r="Q72" i="77"/>
  <c r="F62" i="77"/>
  <c r="P61" i="77"/>
  <c r="J53" i="77"/>
  <c r="F1" i="77" s="1"/>
  <c r="Q59" i="77"/>
  <c r="F59" i="77"/>
  <c r="Q58" i="77"/>
  <c r="Q52" i="77"/>
  <c r="Q51" i="77"/>
  <c r="D46" i="77"/>
  <c r="F31" i="77"/>
  <c r="M18" i="77"/>
  <c r="M19" i="77"/>
  <c r="M20" i="77"/>
  <c r="D24" i="77"/>
  <c r="D23" i="77"/>
  <c r="D22" i="77"/>
  <c r="M17" i="77"/>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M18" i="9"/>
  <c r="B118" i="9" s="1"/>
  <c r="B14" i="74" s="1"/>
  <c r="J5" i="71"/>
  <c r="J4" i="71"/>
  <c r="O4" i="71" s="1"/>
  <c r="Y3" i="71" s="1"/>
  <c r="Z3" i="71" s="1"/>
  <c r="K5" i="71"/>
  <c r="K4" i="71"/>
  <c r="P4" i="71" s="1"/>
  <c r="AA3" i="71" s="1"/>
  <c r="L5" i="71"/>
  <c r="L4" i="71"/>
  <c r="Q4" i="71" s="1"/>
  <c r="AB3" i="71" s="1"/>
  <c r="I5" i="71"/>
  <c r="I4" i="71"/>
  <c r="N4" i="71" s="1"/>
  <c r="X3" i="71" s="1"/>
  <c r="N8" i="71"/>
  <c r="B8" i="71" s="1"/>
  <c r="N7" i="71"/>
  <c r="N6" i="71"/>
  <c r="N5" i="71"/>
  <c r="Q8" i="71"/>
  <c r="F8" i="71" s="1"/>
  <c r="F7" i="71" s="1"/>
  <c r="F6" i="71" s="1"/>
  <c r="F5" i="71" s="1"/>
  <c r="Q7" i="71"/>
  <c r="Q6" i="71"/>
  <c r="Q5" i="71"/>
  <c r="P8" i="71"/>
  <c r="E8" i="71" s="1"/>
  <c r="P7" i="71"/>
  <c r="P6" i="71"/>
  <c r="P5" i="71"/>
  <c r="O8" i="71"/>
  <c r="C8" i="71" s="1"/>
  <c r="O7" i="71"/>
  <c r="O6" i="71"/>
  <c r="O5" i="71"/>
  <c r="A2" i="53"/>
  <c r="K59" i="67"/>
  <c r="P61" i="67" s="1"/>
  <c r="K59" i="15"/>
  <c r="P74" i="15" s="1"/>
  <c r="P61" i="15"/>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s="1"/>
  <c r="AG3" i="71"/>
  <c r="AH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S48" i="71" s="1"/>
  <c r="F47" i="71"/>
  <c r="F46"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O37" i="71"/>
  <c r="C38" i="71"/>
  <c r="N37" i="71"/>
  <c r="B38" i="71"/>
  <c r="B39" i="71" s="1"/>
  <c r="B40" i="71" s="1"/>
  <c r="S40" i="71" s="1"/>
  <c r="D37" i="71"/>
  <c r="Q36" i="71"/>
  <c r="P36" i="71"/>
  <c r="O36" i="71"/>
  <c r="N36" i="71"/>
  <c r="Q35" i="71"/>
  <c r="P35" i="71"/>
  <c r="O35" i="71"/>
  <c r="N35" i="71"/>
  <c r="Q34" i="71"/>
  <c r="P34" i="71"/>
  <c r="O34" i="71"/>
  <c r="N34" i="71"/>
  <c r="O33" i="71"/>
  <c r="C34" i="71"/>
  <c r="Q33" i="71"/>
  <c r="F34" i="71"/>
  <c r="F35" i="71" s="1"/>
  <c r="F36" i="71" s="1"/>
  <c r="V36"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T28" i="71"/>
  <c r="Q28" i="71"/>
  <c r="P28" i="71"/>
  <c r="O28" i="71"/>
  <c r="N28" i="71"/>
  <c r="D28" i="71"/>
  <c r="Q27" i="71"/>
  <c r="P27" i="71"/>
  <c r="O27" i="71"/>
  <c r="N27" i="71"/>
  <c r="Q26" i="71"/>
  <c r="P26" i="71"/>
  <c r="O26" i="71"/>
  <c r="N26" i="71"/>
  <c r="Q25" i="71"/>
  <c r="F26" i="71"/>
  <c r="F27" i="71" s="1"/>
  <c r="F28" i="71" s="1"/>
  <c r="V28" i="71" s="1"/>
  <c r="P25" i="71"/>
  <c r="E26" i="71" s="1"/>
  <c r="E27" i="71" s="1"/>
  <c r="E28" i="71" s="1"/>
  <c r="U28" i="71" s="1"/>
  <c r="O25" i="71"/>
  <c r="C26" i="71"/>
  <c r="N25" i="71"/>
  <c r="B26" i="71"/>
  <c r="B27" i="71" s="1"/>
  <c r="B28" i="71" s="1"/>
  <c r="S28" i="71" s="1"/>
  <c r="D25" i="71"/>
  <c r="Q24" i="71"/>
  <c r="P24" i="71"/>
  <c r="O24" i="71"/>
  <c r="N24" i="71"/>
  <c r="Q23" i="71"/>
  <c r="P23" i="71"/>
  <c r="O23" i="71"/>
  <c r="N23" i="71"/>
  <c r="Q22" i="71"/>
  <c r="P22" i="71"/>
  <c r="O22" i="71"/>
  <c r="N22" i="71"/>
  <c r="Q21" i="71"/>
  <c r="F22" i="71"/>
  <c r="F23" i="71" s="1"/>
  <c r="F24" i="71" s="1"/>
  <c r="V24" i="71" s="1"/>
  <c r="P21" i="71"/>
  <c r="E22" i="71" s="1"/>
  <c r="E23" i="71" s="1"/>
  <c r="E24" i="71" s="1"/>
  <c r="U24" i="71" s="1"/>
  <c r="O21" i="71"/>
  <c r="C22" i="71"/>
  <c r="N21" i="71"/>
  <c r="B22" i="71"/>
  <c r="B23" i="71" s="1"/>
  <c r="B24" i="71" s="1"/>
  <c r="S24" i="71" s="1"/>
  <c r="D21" i="71"/>
  <c r="Q20" i="71"/>
  <c r="P20" i="71"/>
  <c r="O20" i="71"/>
  <c r="N20" i="71"/>
  <c r="Q19" i="71"/>
  <c r="AB19" i="71"/>
  <c r="P19" i="71"/>
  <c r="AA19" i="71"/>
  <c r="O19" i="71"/>
  <c r="Y19" i="71"/>
  <c r="Z19" i="71" s="1"/>
  <c r="N19" i="71"/>
  <c r="X19" i="71" s="1"/>
  <c r="Q18" i="71"/>
  <c r="AB18" i="71" s="1"/>
  <c r="P18" i="71"/>
  <c r="O18" i="71"/>
  <c r="Y18" i="71" s="1"/>
  <c r="Z18" i="71" s="1"/>
  <c r="N18" i="71"/>
  <c r="Q17" i="71"/>
  <c r="F18" i="71"/>
  <c r="F19" i="71" s="1"/>
  <c r="F20" i="71" s="1"/>
  <c r="V20" i="71" s="1"/>
  <c r="P17" i="71"/>
  <c r="O17" i="71"/>
  <c r="N17" i="71"/>
  <c r="B18" i="71" s="1"/>
  <c r="B19" i="71" s="1"/>
  <c r="B20" i="71" s="1"/>
  <c r="S20" i="71" s="1"/>
  <c r="D17" i="71"/>
  <c r="Q16" i="71"/>
  <c r="AB16" i="71" s="1"/>
  <c r="P16" i="71"/>
  <c r="O16" i="71"/>
  <c r="Y16" i="71"/>
  <c r="Z16" i="71" s="1"/>
  <c r="N16" i="71"/>
  <c r="Q15" i="71"/>
  <c r="AB15" i="71"/>
  <c r="P15" i="71"/>
  <c r="O15" i="71"/>
  <c r="Y15" i="71" s="1"/>
  <c r="Z15" i="71" s="1"/>
  <c r="N15" i="71"/>
  <c r="Q14" i="71"/>
  <c r="AB14" i="71" s="1"/>
  <c r="P14" i="71"/>
  <c r="AA14" i="71" s="1"/>
  <c r="O14" i="71"/>
  <c r="Y14" i="71"/>
  <c r="Z14" i="71" s="1"/>
  <c r="N14" i="71"/>
  <c r="Q13" i="71"/>
  <c r="F14" i="71"/>
  <c r="F15" i="71" s="1"/>
  <c r="F16" i="71" s="1"/>
  <c r="V16" i="71" s="1"/>
  <c r="P13" i="71"/>
  <c r="O13" i="71"/>
  <c r="N13" i="71"/>
  <c r="D13" i="71"/>
  <c r="Q12" i="71"/>
  <c r="AB12" i="71" s="1"/>
  <c r="P12" i="71"/>
  <c r="O12" i="71"/>
  <c r="Y12" i="71"/>
  <c r="Z12" i="71" s="1"/>
  <c r="N12" i="71"/>
  <c r="X11" i="71" s="1"/>
  <c r="Q11" i="71"/>
  <c r="AB11" i="71"/>
  <c r="P11" i="71"/>
  <c r="O11" i="71"/>
  <c r="Y11" i="71" s="1"/>
  <c r="Z11" i="71" s="1"/>
  <c r="N11" i="71"/>
  <c r="Q10" i="71"/>
  <c r="AB10" i="71" s="1"/>
  <c r="P10" i="71"/>
  <c r="O10" i="71"/>
  <c r="Y10" i="71"/>
  <c r="Z10" i="71" s="1"/>
  <c r="N10" i="71"/>
  <c r="X10" i="71" s="1"/>
  <c r="Q9" i="71"/>
  <c r="F10" i="71"/>
  <c r="F11" i="71" s="1"/>
  <c r="F12" i="71" s="1"/>
  <c r="V12" i="71" s="1"/>
  <c r="P9" i="71"/>
  <c r="E10" i="71" s="1"/>
  <c r="E11" i="71" s="1"/>
  <c r="E12" i="71" s="1"/>
  <c r="U12" i="71" s="1"/>
  <c r="O9" i="71"/>
  <c r="N9" i="71"/>
  <c r="D9" i="71"/>
  <c r="B10" i="71"/>
  <c r="B11" i="71" s="1"/>
  <c r="B12" i="71" s="1"/>
  <c r="S12" i="71" s="1"/>
  <c r="X9" i="71"/>
  <c r="B14" i="71"/>
  <c r="B15" i="71" s="1"/>
  <c r="B16" i="71" s="1"/>
  <c r="S16" i="71" s="1"/>
  <c r="X13" i="71"/>
  <c r="E18" i="71"/>
  <c r="E19" i="71" s="1"/>
  <c r="E20" i="71" s="1"/>
  <c r="U20" i="71" s="1"/>
  <c r="AA17" i="71"/>
  <c r="N48" i="71"/>
  <c r="E14" i="71"/>
  <c r="E15" i="71" s="1"/>
  <c r="E16" i="71" s="1"/>
  <c r="U16" i="71" s="1"/>
  <c r="AA13" i="71"/>
  <c r="C10" i="71"/>
  <c r="Y9" i="71"/>
  <c r="Z9" i="71" s="1"/>
  <c r="AB9" i="71"/>
  <c r="AA10" i="71"/>
  <c r="AA11" i="71"/>
  <c r="AA12" i="71"/>
  <c r="C14" i="71"/>
  <c r="C15" i="71"/>
  <c r="X14" i="71"/>
  <c r="X15" i="71"/>
  <c r="AA15" i="71"/>
  <c r="X16" i="71"/>
  <c r="AA16" i="71"/>
  <c r="C18" i="71"/>
  <c r="C19" i="71" s="1"/>
  <c r="Y17" i="71"/>
  <c r="Z17" i="71"/>
  <c r="AB17" i="71"/>
  <c r="X18" i="71"/>
  <c r="AA18" i="71"/>
  <c r="Y5" i="71"/>
  <c r="Z5" i="71"/>
  <c r="Y6" i="71"/>
  <c r="Z6" i="71"/>
  <c r="Y7" i="71"/>
  <c r="Z7" i="71"/>
  <c r="Y8" i="71"/>
  <c r="Z8" i="71"/>
  <c r="X5" i="71"/>
  <c r="X6" i="71"/>
  <c r="X7" i="71"/>
  <c r="X8" i="71"/>
  <c r="C11" i="71"/>
  <c r="D10" i="71"/>
  <c r="D14" i="71"/>
  <c r="D18" i="71"/>
  <c r="C23" i="71"/>
  <c r="D22" i="71"/>
  <c r="C27" i="71"/>
  <c r="D27" i="71"/>
  <c r="D26" i="71"/>
  <c r="C31" i="71"/>
  <c r="D30" i="71"/>
  <c r="E39" i="71"/>
  <c r="E40" i="71"/>
  <c r="U40" i="71" s="1"/>
  <c r="U48" i="71"/>
  <c r="E47" i="71"/>
  <c r="C35" i="71"/>
  <c r="D34" i="71"/>
  <c r="C39" i="71"/>
  <c r="D38" i="71"/>
  <c r="Q47" i="71"/>
  <c r="T48" i="71"/>
  <c r="O48" i="71"/>
  <c r="D48" i="71"/>
  <c r="C47" i="71"/>
  <c r="O47" i="71" s="1"/>
  <c r="Q48" i="71"/>
  <c r="C51" i="71"/>
  <c r="D51" i="71" s="1"/>
  <c r="E51" i="71"/>
  <c r="E50" i="71"/>
  <c r="D52" i="71"/>
  <c r="C55" i="71"/>
  <c r="C54" i="71" s="1"/>
  <c r="D54" i="71" s="1"/>
  <c r="E55" i="71"/>
  <c r="E54" i="71"/>
  <c r="D56" i="71"/>
  <c r="C59" i="71"/>
  <c r="C58" i="71" s="1"/>
  <c r="D58" i="71" s="1"/>
  <c r="E59" i="71"/>
  <c r="E58" i="71"/>
  <c r="D60" i="71"/>
  <c r="C63" i="71"/>
  <c r="D63" i="71" s="1"/>
  <c r="C67" i="71"/>
  <c r="AB5" i="71"/>
  <c r="AB6" i="71"/>
  <c r="AB7" i="71"/>
  <c r="AB8" i="71"/>
  <c r="AA5" i="71"/>
  <c r="AA6" i="71"/>
  <c r="AA7" i="71"/>
  <c r="AA8" i="71"/>
  <c r="C46" i="71"/>
  <c r="O46" i="71" s="1"/>
  <c r="D47" i="71"/>
  <c r="C62" i="71"/>
  <c r="D62" i="71" s="1"/>
  <c r="D55" i="71"/>
  <c r="D67" i="71"/>
  <c r="C66" i="71"/>
  <c r="D66" i="71" s="1"/>
  <c r="D59" i="71"/>
  <c r="C50" i="71"/>
  <c r="D50" i="71" s="1"/>
  <c r="C40" i="71"/>
  <c r="D40" i="71" s="1"/>
  <c r="D39" i="71"/>
  <c r="C36" i="71"/>
  <c r="D36" i="71" s="1"/>
  <c r="D35" i="71"/>
  <c r="P47" i="71"/>
  <c r="E46" i="71"/>
  <c r="C32" i="71"/>
  <c r="D32" i="71" s="1"/>
  <c r="D31" i="71"/>
  <c r="C24" i="71"/>
  <c r="D24" i="71" s="1"/>
  <c r="D23" i="71"/>
  <c r="C16" i="71"/>
  <c r="D16" i="71" s="1"/>
  <c r="D15" i="71"/>
  <c r="C12" i="71"/>
  <c r="D12" i="71" s="1"/>
  <c r="D11" i="71"/>
  <c r="P45" i="71"/>
  <c r="P46" i="71"/>
  <c r="D46" i="71"/>
  <c r="T12" i="71"/>
  <c r="T16" i="71"/>
  <c r="T24"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s="1"/>
  <c r="C21" i="34"/>
  <c r="Q21" i="33"/>
  <c r="Z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U18" i="35"/>
  <c r="AC18" i="35"/>
  <c r="W18" i="35"/>
  <c r="J21" i="37"/>
  <c r="AC21" i="37" s="1"/>
  <c r="G84" i="34"/>
  <c r="J21" i="34"/>
  <c r="AC21" i="34" s="1"/>
  <c r="G83" i="33"/>
  <c r="J21" i="33"/>
  <c r="AC21" i="33" s="1"/>
  <c r="H21" i="21"/>
  <c r="AB21" i="21" s="1"/>
  <c r="F38" i="69"/>
  <c r="E37" i="69"/>
  <c r="F36" i="69"/>
  <c r="F35" i="69"/>
  <c r="F21" i="69"/>
  <c r="C21" i="69" s="1"/>
  <c r="F20" i="69"/>
  <c r="E10" i="69"/>
  <c r="E9" i="69"/>
  <c r="F7" i="69"/>
  <c r="C7" i="69"/>
  <c r="W21" i="37"/>
  <c r="W21" i="34"/>
  <c r="W21" i="33"/>
  <c r="U21" i="21"/>
  <c r="J21" i="21"/>
  <c r="W21" i="21" s="1"/>
  <c r="F38" i="68"/>
  <c r="E37" i="68"/>
  <c r="F36" i="68"/>
  <c r="F35" i="68"/>
  <c r="F21" i="68"/>
  <c r="C21" i="68" s="1"/>
  <c r="F20" i="68"/>
  <c r="E10" i="68"/>
  <c r="E9" i="68"/>
  <c r="F7"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c r="F10" i="1"/>
  <c r="F11" i="1"/>
  <c r="F12" i="1"/>
  <c r="F13" i="1"/>
  <c r="D10" i="1"/>
  <c r="D11" i="1"/>
  <c r="D12" i="1"/>
  <c r="D13" i="1"/>
  <c r="D7" i="1"/>
  <c r="D8" i="1"/>
  <c r="B8" i="1"/>
  <c r="E8" i="1"/>
  <c r="A10" i="1"/>
  <c r="A11" i="1"/>
  <c r="F3" i="35" s="1"/>
  <c r="A12" i="1"/>
  <c r="A13" i="1"/>
  <c r="B13" i="1" s="1"/>
  <c r="E13" i="1" s="1"/>
  <c r="B11" i="1"/>
  <c r="E11" i="1" s="1"/>
  <c r="B7" i="1"/>
  <c r="E7" i="1" s="1"/>
  <c r="K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c r="B13" i="53"/>
  <c r="B29" i="72"/>
  <c r="R35" i="4"/>
  <c r="Q35" i="4"/>
  <c r="P35" i="4"/>
  <c r="O35" i="4"/>
  <c r="N35" i="4"/>
  <c r="M35" i="4"/>
  <c r="L35" i="4"/>
  <c r="K34" i="4"/>
  <c r="T34" i="4" s="1"/>
  <c r="G13" i="1"/>
  <c r="G11" i="1"/>
  <c r="I15" i="4"/>
  <c r="H15" i="4"/>
  <c r="F6" i="1" s="1"/>
  <c r="E15" i="4"/>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M10" i="1"/>
  <c r="O10" i="1"/>
  <c r="B23" i="1"/>
  <c r="D78" i="9"/>
  <c r="E21" i="6"/>
  <c r="F23" i="15"/>
  <c r="D24" i="15" s="1"/>
  <c r="O8" i="1"/>
  <c r="P8" i="1"/>
  <c r="O13" i="1"/>
  <c r="P13" i="1"/>
  <c r="E22" i="6"/>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H35" i="39" s="1"/>
  <c r="AB35" i="39" s="1"/>
  <c r="B112" i="39"/>
  <c r="J30" i="36"/>
  <c r="AC30" i="36" s="1"/>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E76" i="40"/>
  <c r="F76" i="40" s="1"/>
  <c r="G76" i="40" s="1"/>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D96" i="40"/>
  <c r="E96" i="40"/>
  <c r="F96" i="40" s="1"/>
  <c r="G96" i="40" s="1"/>
  <c r="H96" i="40" s="1"/>
  <c r="I96" i="40" s="1"/>
  <c r="J96" i="40" s="1"/>
  <c r="K96" i="40" s="1"/>
  <c r="L96" i="40" s="1"/>
  <c r="M96" i="40" s="1"/>
  <c r="B95" i="40"/>
  <c r="D92" i="40"/>
  <c r="E92" i="40" s="1"/>
  <c r="D90" i="40"/>
  <c r="E90" i="40"/>
  <c r="F90" i="40" s="1"/>
  <c r="G90" i="40" s="1"/>
  <c r="D88" i="40"/>
  <c r="E88" i="40"/>
  <c r="D86" i="40"/>
  <c r="E86" i="40" s="1"/>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U33" i="33"/>
  <c r="S40" i="33"/>
  <c r="W39" i="33"/>
  <c r="H39" i="37"/>
  <c r="AB39" i="37"/>
  <c r="S27" i="35"/>
  <c r="W8" i="40"/>
  <c r="AB39"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F35" i="40"/>
  <c r="AA35" i="40" s="1"/>
  <c r="H23" i="40"/>
  <c r="AB23" i="40" s="1"/>
  <c r="H17" i="40"/>
  <c r="U17" i="40" s="1"/>
  <c r="W15"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23" i="40"/>
  <c r="AA23" i="40" s="1"/>
  <c r="J17" i="40"/>
  <c r="W17" i="40" s="1"/>
  <c r="S15"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AA29" i="35"/>
  <c r="AA42" i="34"/>
  <c r="S42" i="34"/>
  <c r="AC38" i="34"/>
  <c r="AA38" i="34"/>
  <c r="J37" i="34"/>
  <c r="AC37" i="34" s="1"/>
  <c r="J11" i="33"/>
  <c r="W11" i="33" s="1"/>
  <c r="S28" i="34"/>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s="1"/>
  <c r="F123" i="33"/>
  <c r="G123" i="33" s="1"/>
  <c r="H123" i="33" s="1"/>
  <c r="I123" i="33" s="1"/>
  <c r="J123" i="33" s="1"/>
  <c r="K123" i="33" s="1"/>
  <c r="L123" i="33" s="1"/>
  <c r="M123" i="33" s="1"/>
  <c r="H42" i="33"/>
  <c r="AB42" i="33" s="1"/>
  <c r="G125" i="33"/>
  <c r="J43" i="33"/>
  <c r="AC43" i="33"/>
  <c r="U43" i="33"/>
  <c r="S28" i="31"/>
  <c r="S27" i="31"/>
  <c r="S26" i="31"/>
  <c r="AC32" i="36"/>
  <c r="AC33" i="36"/>
  <c r="U35" i="35"/>
  <c r="AA12" i="35"/>
  <c r="W23" i="35"/>
  <c r="AB28" i="37"/>
  <c r="U33" i="37"/>
  <c r="U39" i="37"/>
  <c r="W26" i="37"/>
  <c r="AC8" i="37"/>
  <c r="U26" i="37"/>
  <c r="W47" i="34"/>
  <c r="AB13" i="34"/>
  <c r="W37" i="34"/>
  <c r="AB37" i="34"/>
  <c r="AC36" i="34"/>
  <c r="AA13" i="33"/>
  <c r="AC31" i="33"/>
  <c r="AC45" i="33"/>
  <c r="W44" i="33"/>
  <c r="U11" i="33"/>
  <c r="U19" i="21"/>
  <c r="U26"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I4" i="4"/>
  <c r="A2" i="9"/>
  <c r="N2" i="43"/>
  <c r="F59" i="43"/>
  <c r="BO5" i="3"/>
  <c r="BM5" i="3"/>
  <c r="F29" i="6" s="1"/>
  <c r="E29" i="6" s="1"/>
  <c r="BJ5" i="3"/>
  <c r="BH5" i="3"/>
  <c r="BF5" i="3"/>
  <c r="BD5" i="3"/>
  <c r="BQ5" i="3"/>
  <c r="F28" i="6" s="1"/>
  <c r="AC5" i="3"/>
  <c r="BS5" i="3"/>
  <c r="BP5" i="3"/>
  <c r="BN5" i="3"/>
  <c r="BK5" i="3"/>
  <c r="BI5" i="3"/>
  <c r="BG5" i="3"/>
  <c r="BE5" i="3"/>
  <c r="E12" i="6" s="1"/>
  <c r="E57" i="40" s="1"/>
  <c r="BC5" i="3"/>
  <c r="BT5" i="3"/>
  <c r="BB5" i="3"/>
  <c r="BR5" i="3"/>
  <c r="G28" i="6" s="1"/>
  <c r="G30" i="6" s="1"/>
  <c r="E8" i="6"/>
  <c r="F27" i="6" s="1"/>
  <c r="N4" i="43"/>
  <c r="F36" i="43"/>
  <c r="F81" i="43"/>
  <c r="H83" i="43"/>
  <c r="H113" i="43"/>
  <c r="F48" i="43"/>
  <c r="H52" i="43" s="1"/>
  <c r="N7" i="43"/>
  <c r="F70" i="43"/>
  <c r="H73" i="43"/>
  <c r="M6" i="43"/>
  <c r="M11" i="43"/>
  <c r="E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E98" i="40"/>
  <c r="F98" i="40" s="1"/>
  <c r="G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74"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O9" i="1"/>
  <c r="P9" i="1"/>
  <c r="D93" i="9"/>
  <c r="E15" i="6"/>
  <c r="E60" i="40" s="1"/>
  <c r="E13" i="6"/>
  <c r="E58" i="40" s="1"/>
  <c r="G29" i="6"/>
  <c r="AB34" i="36"/>
  <c r="U34" i="36"/>
  <c r="AB33" i="36"/>
  <c r="U33" i="36"/>
  <c r="AC12" i="39"/>
  <c r="W12" i="39"/>
  <c r="AC39" i="40"/>
  <c r="W39" i="40"/>
  <c r="F22" i="43"/>
  <c r="B113" i="43"/>
  <c r="B115" i="43"/>
  <c r="C115" i="43" s="1"/>
  <c r="K101" i="43"/>
  <c r="K103" i="43" s="1"/>
  <c r="F101" i="43"/>
  <c r="F104" i="43" s="1"/>
  <c r="N101" i="43"/>
  <c r="N102" i="43" s="1"/>
  <c r="E22" i="43"/>
  <c r="G101" i="43"/>
  <c r="G105" i="43"/>
  <c r="C101" i="43"/>
  <c r="C104" i="43"/>
  <c r="J101" i="43"/>
  <c r="J104" i="43"/>
  <c r="N104" i="46"/>
  <c r="W12" i="33"/>
  <c r="AC12" i="33"/>
  <c r="AA32" i="36"/>
  <c r="S32" i="36"/>
  <c r="AA39" i="34"/>
  <c r="U30" i="33"/>
  <c r="AC13" i="34"/>
  <c r="AA47" i="34"/>
  <c r="W28" i="37"/>
  <c r="S19" i="39"/>
  <c r="F12" i="33"/>
  <c r="H12" i="39"/>
  <c r="AB12" i="39" s="1"/>
  <c r="F39" i="40"/>
  <c r="S12" i="1"/>
  <c r="R12" i="1"/>
  <c r="B12" i="1"/>
  <c r="E12" i="1"/>
  <c r="S10" i="1"/>
  <c r="AQ10" i="1"/>
  <c r="R10" i="1"/>
  <c r="B10" i="1"/>
  <c r="E10" i="1" s="1"/>
  <c r="D1" i="66"/>
  <c r="E10" i="66" s="1"/>
  <c r="K12" i="1"/>
  <c r="M12" i="1" s="1"/>
  <c r="O12" i="1"/>
  <c r="P12" i="1"/>
  <c r="S13" i="1"/>
  <c r="AR13" i="1" s="1"/>
  <c r="R13" i="1"/>
  <c r="S11" i="1"/>
  <c r="AQ11" i="1"/>
  <c r="R11" i="1"/>
  <c r="AR9" i="1"/>
  <c r="J51" i="67"/>
  <c r="H100" i="43"/>
  <c r="C30" i="66"/>
  <c r="E26" i="66"/>
  <c r="AA34" i="33"/>
  <c r="D117" i="43"/>
  <c r="E117" i="43"/>
  <c r="F117" i="43" s="1"/>
  <c r="G117" i="43"/>
  <c r="H117" i="43" s="1"/>
  <c r="F53" i="9"/>
  <c r="S22" i="31"/>
  <c r="J100" i="43"/>
  <c r="AB37" i="40"/>
  <c r="S35" i="40"/>
  <c r="U35" i="40"/>
  <c r="W38" i="40"/>
  <c r="AA32" i="40"/>
  <c r="S23" i="40"/>
  <c r="AC17" i="40"/>
  <c r="AB27" i="40"/>
  <c r="AA19"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G121" i="33"/>
  <c r="H121" i="33" s="1"/>
  <c r="I121" i="33" s="1"/>
  <c r="J121" i="33" s="1"/>
  <c r="K121" i="33" s="1"/>
  <c r="L121" i="33" s="1"/>
  <c r="M121" i="33" s="1"/>
  <c r="U42" i="33"/>
  <c r="S42" i="33"/>
  <c r="F36" i="33"/>
  <c r="G111" i="33"/>
  <c r="H108" i="33"/>
  <c r="I108" i="33" s="1"/>
  <c r="J108" i="33" s="1"/>
  <c r="K108" i="33" s="1"/>
  <c r="L108" i="33" s="1"/>
  <c r="M108" i="33" s="1"/>
  <c r="J35" i="33"/>
  <c r="S37" i="33"/>
  <c r="AA37" i="33"/>
  <c r="S39" i="33"/>
  <c r="F101" i="33"/>
  <c r="G101" i="33" s="1"/>
  <c r="H101" i="33"/>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c r="M20" i="67"/>
  <c r="F34" i="15"/>
  <c r="F62" i="15" s="1"/>
  <c r="E10" i="6"/>
  <c r="E11" i="6"/>
  <c r="E61" i="39" s="1"/>
  <c r="E65" i="39"/>
  <c r="G31" i="6"/>
  <c r="J56" i="9"/>
  <c r="J57" i="9"/>
  <c r="A24" i="51"/>
  <c r="B18" i="72"/>
  <c r="U29" i="34"/>
  <c r="C106" i="43"/>
  <c r="E14" i="6"/>
  <c r="E64" i="39"/>
  <c r="E5" i="6"/>
  <c r="D9" i="11"/>
  <c r="C9" i="11" s="1"/>
  <c r="J105" i="43"/>
  <c r="I115" i="43"/>
  <c r="J115" i="43"/>
  <c r="K115" i="43" s="1"/>
  <c r="L115" i="43" s="1"/>
  <c r="M115" i="43" s="1"/>
  <c r="G102" i="43"/>
  <c r="P10" i="1"/>
  <c r="H22" i="43"/>
  <c r="D22" i="43" s="1"/>
  <c r="L101" i="43"/>
  <c r="L109" i="43"/>
  <c r="H101" i="43"/>
  <c r="D101" i="43"/>
  <c r="M101" i="43"/>
  <c r="I101" i="43"/>
  <c r="E101" i="43"/>
  <c r="G22" i="43"/>
  <c r="E32" i="6"/>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c r="K118" i="43" s="1"/>
  <c r="L118" i="43" s="1"/>
  <c r="M118" i="43" s="1"/>
  <c r="D116" i="43"/>
  <c r="E116" i="43" s="1"/>
  <c r="F116" i="43" s="1"/>
  <c r="G116" i="43" s="1"/>
  <c r="H116" i="43" s="1"/>
  <c r="D118" i="43"/>
  <c r="E118" i="43"/>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c r="F115" i="43" s="1"/>
  <c r="G115" i="43" s="1"/>
  <c r="G106" i="43"/>
  <c r="K106" i="43"/>
  <c r="K105" i="43"/>
  <c r="C102" i="43"/>
  <c r="D102" i="43"/>
  <c r="H102" i="43"/>
  <c r="L102" i="43"/>
  <c r="F103" i="43"/>
  <c r="H103" i="43"/>
  <c r="I103" i="43"/>
  <c r="L103" i="43"/>
  <c r="M103" i="43"/>
  <c r="E104" i="43"/>
  <c r="H104" i="43"/>
  <c r="L104" i="43"/>
  <c r="M104" i="43"/>
  <c r="N104" i="43"/>
  <c r="F105" i="43"/>
  <c r="H105" i="43"/>
  <c r="I105" i="43"/>
  <c r="L105" i="43"/>
  <c r="M105" i="43"/>
  <c r="E106" i="43"/>
  <c r="H106" i="43"/>
  <c r="J106" i="43"/>
  <c r="L106" i="43"/>
  <c r="D107" i="43"/>
  <c r="H107" i="43"/>
  <c r="L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C7" i="21"/>
  <c r="C58" i="21" s="1"/>
  <c r="C7" i="40"/>
  <c r="C63" i="40"/>
  <c r="M47" i="9"/>
  <c r="G19" i="43"/>
  <c r="P23" i="43" s="1"/>
  <c r="T35" i="4"/>
  <c r="A19" i="51"/>
  <c r="B14" i="72" s="1"/>
  <c r="C46" i="36"/>
  <c r="D46" i="36" s="1"/>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E62" i="39"/>
  <c r="E56" i="39"/>
  <c r="E51" i="40"/>
  <c r="B6" i="1"/>
  <c r="E6" i="1" s="1"/>
  <c r="K11" i="1"/>
  <c r="M11" i="1"/>
  <c r="O11" i="1"/>
  <c r="P11" i="1"/>
  <c r="AP6" i="1"/>
  <c r="B9" i="1"/>
  <c r="E9" i="1" s="1"/>
  <c r="G1" i="69"/>
  <c r="G1" i="67"/>
  <c r="U32" i="40"/>
  <c r="AB31" i="40"/>
  <c r="S37" i="40"/>
  <c r="W34" i="40"/>
  <c r="W19" i="40"/>
  <c r="W27" i="40"/>
  <c r="W37" i="40"/>
  <c r="AC14" i="40"/>
  <c r="S13" i="40"/>
  <c r="S33"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B7" i="49"/>
  <c r="G4" i="4" s="1"/>
  <c r="K5" i="4" s="1"/>
  <c r="B47" i="48" s="1"/>
  <c r="B14" i="49"/>
  <c r="E22" i="49"/>
  <c r="D23" i="15"/>
  <c r="D22" i="15"/>
  <c r="B5" i="49"/>
  <c r="B13" i="49"/>
  <c r="B11" i="49"/>
  <c r="E21" i="49"/>
  <c r="E9" i="49"/>
  <c r="B6" i="49"/>
  <c r="B8" i="49"/>
  <c r="E11" i="49"/>
  <c r="J53" i="67"/>
  <c r="AQ13" i="1"/>
  <c r="O6" i="1"/>
  <c r="P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P24" i="43"/>
  <c r="B66" i="40"/>
  <c r="C28" i="15"/>
  <c r="E30" i="6"/>
  <c r="K15" i="1"/>
  <c r="T13" i="1"/>
  <c r="E16" i="6"/>
  <c r="C77" i="9"/>
  <c r="C74" i="9" s="1"/>
  <c r="E66" i="39"/>
  <c r="E7" i="70"/>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W23" i="21" s="1"/>
  <c r="F85" i="21"/>
  <c r="G85" i="21"/>
  <c r="H23" i="21"/>
  <c r="S13" i="21"/>
  <c r="D6" i="52"/>
  <c r="D121" i="9"/>
  <c r="D7" i="52" s="1"/>
  <c r="K120" i="9"/>
  <c r="S6" i="43"/>
  <c r="C23" i="43"/>
  <c r="C21" i="43" s="1"/>
  <c r="S4" i="43"/>
  <c r="S3" i="43"/>
  <c r="S7" i="43"/>
  <c r="J22" i="43"/>
  <c r="K14" i="1"/>
  <c r="M14" i="1" s="1"/>
  <c r="O14" i="1"/>
  <c r="P14" i="1"/>
  <c r="P21" i="43"/>
  <c r="J59" i="9"/>
  <c r="J61" i="9" s="1"/>
  <c r="E109" i="43"/>
  <c r="H109" i="43"/>
  <c r="AR8" i="1"/>
  <c r="AQ8" i="1"/>
  <c r="AQ7" i="1"/>
  <c r="R22" i="31"/>
  <c r="B21" i="31" s="1"/>
  <c r="O19" i="43"/>
  <c r="P22" i="43"/>
  <c r="P25" i="43"/>
  <c r="B71" i="39" s="1"/>
  <c r="C5" i="43"/>
  <c r="E52" i="37"/>
  <c r="F52" i="37" s="1"/>
  <c r="E48" i="35"/>
  <c r="F48" i="35"/>
  <c r="G48" i="35" s="1"/>
  <c r="E59" i="34"/>
  <c r="F59" i="34" s="1"/>
  <c r="C65" i="40"/>
  <c r="D63" i="40"/>
  <c r="L27" i="6"/>
  <c r="AP7" i="1"/>
  <c r="O7" i="1"/>
  <c r="O16" i="1" s="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A18" i="62"/>
  <c r="B64" i="72"/>
  <c r="B1" i="74"/>
  <c r="U32" i="39"/>
  <c r="AB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P7" i="1"/>
  <c r="E63" i="40"/>
  <c r="E65" i="40" s="1"/>
  <c r="D65" i="40"/>
  <c r="G39" i="43"/>
  <c r="I39" i="43"/>
  <c r="F1" i="67"/>
  <c r="Q52" i="67"/>
  <c r="AC11" i="37"/>
  <c r="W11" i="34"/>
  <c r="AC11" i="34"/>
  <c r="C13" i="12"/>
  <c r="P16" i="1"/>
  <c r="C11" i="12" s="1"/>
  <c r="C12" i="12" s="1"/>
  <c r="F34" i="11"/>
  <c r="F11" i="12"/>
  <c r="C23" i="12" s="1"/>
  <c r="F34" i="68"/>
  <c r="F63" i="40"/>
  <c r="G63" i="40" s="1"/>
  <c r="F65" i="40"/>
  <c r="AG6" i="1"/>
  <c r="H112" i="9"/>
  <c r="D21" i="53" s="1"/>
  <c r="B39" i="72" s="1"/>
  <c r="H111" i="9"/>
  <c r="D126" i="9"/>
  <c r="I14" i="74" s="1"/>
  <c r="B8" i="74" s="1"/>
  <c r="D19" i="53"/>
  <c r="D59" i="9"/>
  <c r="M55" i="9" s="1"/>
  <c r="B38" i="72"/>
  <c r="D20" i="53"/>
  <c r="B40" i="72"/>
  <c r="F9" i="77"/>
  <c r="M27" i="78"/>
  <c r="M6" i="67"/>
  <c r="F6" i="15"/>
  <c r="L48" i="77"/>
  <c r="M8" i="67"/>
  <c r="F26" i="78"/>
  <c r="F6" i="78"/>
  <c r="F8" i="15"/>
  <c r="D34" i="9"/>
  <c r="F26" i="15"/>
  <c r="D35" i="9"/>
  <c r="M22" i="15"/>
  <c r="F13" i="67"/>
  <c r="C76" i="67"/>
  <c r="F6" i="77"/>
  <c r="F38" i="67"/>
  <c r="J15" i="77"/>
  <c r="AO10" i="1"/>
  <c r="M9" i="67"/>
  <c r="L47" i="77"/>
  <c r="D6" i="73"/>
  <c r="L47" i="67"/>
  <c r="E13" i="76"/>
  <c r="D2" i="79"/>
  <c r="F8" i="77"/>
  <c r="M24" i="67"/>
  <c r="F37" i="67"/>
  <c r="F37" i="78"/>
  <c r="F42" i="67"/>
  <c r="AO11" i="1"/>
  <c r="M6" i="77"/>
  <c r="F7" i="73"/>
  <c r="F9" i="15"/>
  <c r="M27" i="77"/>
  <c r="M6" i="15"/>
  <c r="M8" i="78"/>
  <c r="F6" i="73"/>
  <c r="F26" i="77"/>
  <c r="J15" i="78"/>
  <c r="E2" i="69"/>
  <c r="C76" i="78"/>
  <c r="F37" i="15"/>
  <c r="M9" i="15"/>
  <c r="J15" i="67"/>
  <c r="F20" i="31"/>
  <c r="F43" i="15"/>
  <c r="F36" i="78"/>
  <c r="M27" i="15"/>
  <c r="D3" i="73"/>
  <c r="D2" i="21"/>
  <c r="M28" i="77"/>
  <c r="M22" i="78"/>
  <c r="F8" i="67"/>
  <c r="F40" i="67"/>
  <c r="F38" i="15"/>
  <c r="F42" i="15"/>
  <c r="E2" i="68"/>
  <c r="F16" i="67"/>
  <c r="F6" i="67"/>
  <c r="F36" i="77"/>
  <c r="F5" i="73"/>
  <c r="F42" i="77"/>
  <c r="M24" i="15"/>
  <c r="F3" i="73"/>
  <c r="M6" i="78"/>
  <c r="D2" i="33"/>
  <c r="D5" i="73"/>
  <c r="F13" i="15"/>
  <c r="F4" i="73"/>
  <c r="M28" i="67"/>
  <c r="F13" i="77"/>
  <c r="F41" i="78"/>
  <c r="M29" i="15"/>
  <c r="M8" i="77"/>
  <c r="L48" i="78"/>
  <c r="M26" i="77"/>
  <c r="M23" i="67"/>
  <c r="M24" i="78"/>
  <c r="F42" i="78"/>
  <c r="L47" i="78"/>
  <c r="F16" i="78"/>
  <c r="M26" i="15"/>
  <c r="F9" i="78"/>
  <c r="D2" i="36"/>
  <c r="M28" i="15"/>
  <c r="E7" i="76"/>
  <c r="M8" i="15"/>
  <c r="F26" i="67"/>
  <c r="AO9" i="1"/>
  <c r="D2" i="37"/>
  <c r="F9" i="67"/>
  <c r="D7" i="73"/>
  <c r="M28" i="78"/>
  <c r="E12" i="76"/>
  <c r="F41" i="77"/>
  <c r="F40" i="77"/>
  <c r="L48" i="15"/>
  <c r="B10" i="76"/>
  <c r="B11" i="76"/>
  <c r="L47" i="15"/>
  <c r="L48" i="67"/>
  <c r="B8" i="76"/>
  <c r="B9" i="76"/>
  <c r="E11" i="76"/>
  <c r="D9" i="68"/>
  <c r="F13" i="78"/>
  <c r="M23" i="78"/>
  <c r="C36" i="68"/>
  <c r="M23" i="15"/>
  <c r="D2" i="34"/>
  <c r="AO8" i="1"/>
  <c r="D4" i="73"/>
  <c r="B13" i="76"/>
  <c r="M9" i="77"/>
  <c r="F40" i="78"/>
  <c r="E9" i="76"/>
  <c r="B7" i="76"/>
  <c r="AO7" i="1"/>
  <c r="F38" i="78"/>
  <c r="F16" i="77"/>
  <c r="M23" i="77"/>
  <c r="F8" i="78"/>
  <c r="F40" i="15"/>
  <c r="M24" i="77"/>
  <c r="F7" i="15"/>
  <c r="M26" i="67"/>
  <c r="E10" i="76"/>
  <c r="C76" i="77"/>
  <c r="M9" i="78"/>
  <c r="D2" i="35"/>
  <c r="F38" i="77"/>
  <c r="AO13" i="1"/>
  <c r="F41" i="67"/>
  <c r="F36" i="67"/>
  <c r="M22" i="77"/>
  <c r="C76" i="15"/>
  <c r="E8" i="76"/>
  <c r="M27" i="67"/>
  <c r="F16" i="15"/>
  <c r="J15" i="15"/>
  <c r="F27" i="68"/>
  <c r="B12" i="76"/>
  <c r="F36" i="15"/>
  <c r="M26" i="78"/>
  <c r="M22" i="67"/>
  <c r="AO12" i="1"/>
  <c r="F37" i="77"/>
  <c r="C40" i="69" l="1"/>
  <c r="C8" i="74"/>
  <c r="G65" i="40"/>
  <c r="H63" i="40"/>
  <c r="G59" i="34"/>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F7" i="21"/>
  <c r="H115" i="43"/>
  <c r="D113" i="43"/>
  <c r="H48" i="35"/>
  <c r="I48" i="35" s="1"/>
  <c r="J48" i="35" s="1"/>
  <c r="K48" i="35" s="1"/>
  <c r="L48" i="35" s="1"/>
  <c r="M48" i="35" s="1"/>
  <c r="N48" i="35" s="1"/>
  <c r="O48" i="35" s="1"/>
  <c r="J7" i="35"/>
  <c r="G52" i="37"/>
  <c r="H52" i="37" s="1"/>
  <c r="I52" i="37" s="1"/>
  <c r="J52" i="37" s="1"/>
  <c r="K52" i="37" s="1"/>
  <c r="L52" i="37" s="1"/>
  <c r="M52" i="37" s="1"/>
  <c r="N52" i="37" s="1"/>
  <c r="O52" i="37" s="1"/>
  <c r="H7" i="37"/>
  <c r="F7" i="37"/>
  <c r="J7" i="36"/>
  <c r="E46" i="36"/>
  <c r="F46" i="36" s="1"/>
  <c r="G46" i="36" s="1"/>
  <c r="H46" i="36" s="1"/>
  <c r="I46" i="36" s="1"/>
  <c r="J46" i="36" s="1"/>
  <c r="K46" i="36" s="1"/>
  <c r="L46" i="36" s="1"/>
  <c r="M46" i="36" s="1"/>
  <c r="N46" i="36" s="1"/>
  <c r="O46" i="36" s="1"/>
  <c r="H7" i="36" s="1"/>
  <c r="H7" i="33"/>
  <c r="D58" i="33"/>
  <c r="E58" i="33" s="1"/>
  <c r="F58" i="33" s="1"/>
  <c r="G58" i="33" s="1"/>
  <c r="H58" i="33" s="1"/>
  <c r="I58" i="33" s="1"/>
  <c r="J58" i="33" s="1"/>
  <c r="K58" i="33" s="1"/>
  <c r="L58" i="33" s="1"/>
  <c r="M58" i="33" s="1"/>
  <c r="N58" i="33" s="1"/>
  <c r="O58" i="33" s="1"/>
  <c r="D68" i="39"/>
  <c r="C70" i="39"/>
  <c r="I109" i="43"/>
  <c r="I102" i="43"/>
  <c r="I107" i="43"/>
  <c r="D109" i="43"/>
  <c r="D104" i="43"/>
  <c r="D106" i="43"/>
  <c r="S12" i="21"/>
  <c r="AA12" i="21"/>
  <c r="AC27" i="34"/>
  <c r="W27" i="34"/>
  <c r="D12" i="52"/>
  <c r="D127" i="9"/>
  <c r="D13" i="52" s="1"/>
  <c r="F7" i="34"/>
  <c r="J7" i="37"/>
  <c r="F7" i="35"/>
  <c r="H7" i="35"/>
  <c r="C30" i="69"/>
  <c r="C48" i="68"/>
  <c r="W17" i="21"/>
  <c r="E61" i="40"/>
  <c r="I106" i="43"/>
  <c r="D105" i="43"/>
  <c r="I104" i="43"/>
  <c r="D103" i="43"/>
  <c r="E102" i="43"/>
  <c r="E103" i="43"/>
  <c r="E105" i="43"/>
  <c r="E107" i="43"/>
  <c r="M109" i="43"/>
  <c r="M102" i="43"/>
  <c r="M106" i="43"/>
  <c r="M107" i="43"/>
  <c r="J28" i="40"/>
  <c r="F28" i="40"/>
  <c r="H98" i="40"/>
  <c r="I98" i="40" s="1"/>
  <c r="J98" i="40" s="1"/>
  <c r="K98" i="40" s="1"/>
  <c r="L98" i="40" s="1"/>
  <c r="M98" i="40" s="1"/>
  <c r="H28" i="40"/>
  <c r="W26" i="33"/>
  <c r="AC26" i="33"/>
  <c r="J12" i="36"/>
  <c r="H12" i="36"/>
  <c r="J24" i="36"/>
  <c r="H24" i="36"/>
  <c r="C20" i="71"/>
  <c r="D19" i="71"/>
  <c r="C43" i="71"/>
  <c r="D42" i="71"/>
  <c r="T8" i="71"/>
  <c r="D8" i="71"/>
  <c r="U8" i="71" s="1"/>
  <c r="C7" i="71"/>
  <c r="V8" i="71"/>
  <c r="E7" i="71"/>
  <c r="E6" i="71" s="1"/>
  <c r="E5" i="71" s="1"/>
  <c r="E4" i="71" s="1"/>
  <c r="F4" i="71"/>
  <c r="B7" i="71"/>
  <c r="B6" i="71" s="1"/>
  <c r="B5" i="71" s="1"/>
  <c r="S8" i="71"/>
  <c r="S32" i="37"/>
  <c r="S20" i="35"/>
  <c r="AB20" i="36"/>
  <c r="S27" i="36"/>
  <c r="W39" i="39"/>
  <c r="S30" i="40"/>
  <c r="AC34" i="33"/>
  <c r="H49" i="43"/>
  <c r="AC11" i="39"/>
  <c r="AC13" i="40"/>
  <c r="U12" i="37"/>
  <c r="AC46" i="21"/>
  <c r="W44" i="21"/>
  <c r="W14" i="37"/>
  <c r="U14" i="40"/>
  <c r="S44" i="34"/>
  <c r="W31" i="34"/>
  <c r="AB30" i="21"/>
  <c r="AA13" i="35"/>
  <c r="U23" i="40"/>
  <c r="U30" i="35"/>
  <c r="S34" i="21"/>
  <c r="W33" i="33"/>
  <c r="U35" i="33"/>
  <c r="S9" i="33"/>
  <c r="F26" i="33"/>
  <c r="S34" i="34"/>
  <c r="H12" i="21"/>
  <c r="J12" i="21"/>
  <c r="H38" i="40"/>
  <c r="Q46" i="71"/>
  <c r="Q45" i="71"/>
  <c r="G5" i="3"/>
  <c r="B3" i="3" s="1"/>
  <c r="O45" i="71"/>
  <c r="AB13" i="71"/>
  <c r="Y13" i="71"/>
  <c r="Z13" i="71" s="1"/>
  <c r="X12" i="71"/>
  <c r="X17" i="71"/>
  <c r="AA9" i="71"/>
  <c r="B47" i="71"/>
  <c r="AH10" i="43"/>
  <c r="AD10" i="43"/>
  <c r="Z10" i="43"/>
  <c r="AG10" i="43"/>
  <c r="AC10" i="43"/>
  <c r="P74" i="67"/>
  <c r="K13" i="1"/>
  <c r="M13" i="1" s="1"/>
  <c r="M100" i="43"/>
  <c r="I100" i="43"/>
  <c r="E100" i="43"/>
  <c r="D100" i="43"/>
  <c r="C40" i="68"/>
  <c r="F32" i="77"/>
  <c r="F60" i="77" s="1"/>
  <c r="F28" i="77"/>
  <c r="C28" i="77" s="1"/>
  <c r="F1" i="78"/>
  <c r="R7" i="1"/>
  <c r="F32" i="78"/>
  <c r="F60" i="78" s="1"/>
  <c r="K7" i="1"/>
  <c r="BL414" i="3"/>
  <c r="AZ414" i="3" s="1"/>
  <c r="BA413" i="3"/>
  <c r="AZ413" i="3" s="1"/>
  <c r="BL410" i="3"/>
  <c r="AZ410" i="3" s="1"/>
  <c r="BA409" i="3"/>
  <c r="AZ409" i="3" s="1"/>
  <c r="BL406" i="3"/>
  <c r="AZ406" i="3" s="1"/>
  <c r="BA405" i="3"/>
  <c r="AZ405" i="3" s="1"/>
  <c r="BL402" i="3"/>
  <c r="AZ402" i="3" s="1"/>
  <c r="BA401" i="3"/>
  <c r="AZ401" i="3" s="1"/>
  <c r="AZ187" i="3"/>
  <c r="BL412" i="3"/>
  <c r="AZ412" i="3" s="1"/>
  <c r="BA411" i="3"/>
  <c r="AZ411" i="3" s="1"/>
  <c r="BL408" i="3"/>
  <c r="AZ408" i="3" s="1"/>
  <c r="BA407" i="3"/>
  <c r="AZ407" i="3" s="1"/>
  <c r="BL404" i="3"/>
  <c r="AZ404" i="3" s="1"/>
  <c r="BA403" i="3"/>
  <c r="AZ403" i="3" s="1"/>
  <c r="BL400" i="3"/>
  <c r="AZ400" i="3" s="1"/>
  <c r="BL191" i="3"/>
  <c r="AZ191" i="3" s="1"/>
  <c r="BA190" i="3"/>
  <c r="AZ190" i="3" s="1"/>
  <c r="BL187" i="3"/>
  <c r="BA186" i="3"/>
  <c r="AZ186" i="3" s="1"/>
  <c r="BL183" i="3"/>
  <c r="AZ183" i="3" s="1"/>
  <c r="BA192" i="3"/>
  <c r="AZ192" i="3" s="1"/>
  <c r="BL189" i="3"/>
  <c r="AZ189" i="3" s="1"/>
  <c r="BA188" i="3"/>
  <c r="AZ188" i="3" s="1"/>
  <c r="BL185" i="3"/>
  <c r="AZ185" i="3" s="1"/>
  <c r="BA184" i="3"/>
  <c r="AZ184" i="3" s="1"/>
  <c r="BA100" i="3"/>
  <c r="AZ100" i="3" s="1"/>
  <c r="BL97" i="3"/>
  <c r="AZ97" i="3" s="1"/>
  <c r="BA96" i="3"/>
  <c r="AZ96" i="3" s="1"/>
  <c r="BL93" i="3"/>
  <c r="AZ93" i="3" s="1"/>
  <c r="BA92" i="3"/>
  <c r="AZ92" i="3" s="1"/>
  <c r="BL89" i="3"/>
  <c r="AZ89" i="3" s="1"/>
  <c r="BA88" i="3"/>
  <c r="AZ88" i="3" s="1"/>
  <c r="BL85" i="3"/>
  <c r="AZ85" i="3" s="1"/>
  <c r="BA84" i="3"/>
  <c r="AZ84"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W8" i="79"/>
  <c r="AB8" i="79"/>
  <c r="U8" i="79"/>
  <c r="S12" i="79"/>
  <c r="AB12" i="79"/>
  <c r="U12" i="79"/>
  <c r="S15" i="79"/>
  <c r="AB15" i="79"/>
  <c r="U15" i="79"/>
  <c r="S19" i="79"/>
  <c r="AB19" i="79"/>
  <c r="U19" i="79"/>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BL13" i="3"/>
  <c r="BL5" i="3" s="1"/>
  <c r="AB10" i="79"/>
  <c r="U10" i="79"/>
  <c r="AB14" i="79"/>
  <c r="U14" i="79"/>
  <c r="AB17" i="79"/>
  <c r="U17" i="79"/>
  <c r="U33" i="79"/>
  <c r="U35" i="79"/>
  <c r="U37" i="79"/>
  <c r="U39" i="79"/>
  <c r="U41" i="79"/>
  <c r="U43" i="79"/>
  <c r="S44" i="79"/>
  <c r="AB44" i="79"/>
  <c r="U44" i="79"/>
  <c r="D58" i="79"/>
  <c r="E58" i="79" s="1"/>
  <c r="F58" i="79" s="1"/>
  <c r="G58" i="79" s="1"/>
  <c r="H58" i="79" s="1"/>
  <c r="I58" i="79" s="1"/>
  <c r="J58" i="79" s="1"/>
  <c r="K58" i="79" s="1"/>
  <c r="L58" i="79" s="1"/>
  <c r="M58" i="79" s="1"/>
  <c r="N58" i="79" s="1"/>
  <c r="O58" i="79" s="1"/>
  <c r="U21" i="79"/>
  <c r="U23" i="79"/>
  <c r="U26" i="79"/>
  <c r="U28" i="79"/>
  <c r="U30" i="79"/>
  <c r="AB46" i="79"/>
  <c r="U46" i="79"/>
  <c r="K141" i="79"/>
  <c r="K143" i="79"/>
  <c r="F36" i="40"/>
  <c r="AA11" i="40"/>
  <c r="S11" i="40"/>
  <c r="J11" i="40"/>
  <c r="AC11" i="40" s="1"/>
  <c r="H11" i="40"/>
  <c r="E4" i="49"/>
  <c r="B4" i="49"/>
  <c r="E5" i="49"/>
  <c r="E10" i="49"/>
  <c r="E8" i="49"/>
  <c r="E16" i="49"/>
  <c r="B9" i="49"/>
  <c r="E4" i="4" s="1"/>
  <c r="B5" i="62" s="1"/>
  <c r="B73" i="72" s="1"/>
  <c r="E6" i="49"/>
  <c r="E7" i="49"/>
  <c r="B16" i="49"/>
  <c r="C4" i="4" s="1"/>
  <c r="B4" i="62" s="1"/>
  <c r="B71" i="72" s="1"/>
  <c r="B22" i="49"/>
  <c r="B10" i="49"/>
  <c r="C36" i="11"/>
  <c r="C15" i="12"/>
  <c r="F17" i="40"/>
  <c r="F86" i="40"/>
  <c r="G86" i="40" s="1"/>
  <c r="F92" i="40"/>
  <c r="G92" i="40" s="1"/>
  <c r="J23" i="40"/>
  <c r="H36" i="40"/>
  <c r="J36" i="40"/>
  <c r="H113" i="40"/>
  <c r="I113" i="40" s="1"/>
  <c r="J113" i="40" s="1"/>
  <c r="K113" i="40" s="1"/>
  <c r="L113" i="40" s="1"/>
  <c r="M113" i="40" s="1"/>
  <c r="B7" i="70"/>
  <c r="B20" i="31"/>
  <c r="B8" i="70"/>
  <c r="F69" i="67"/>
  <c r="C9" i="68"/>
  <c r="F65" i="67"/>
  <c r="C6" i="15"/>
  <c r="I54" i="67"/>
  <c r="J57" i="67"/>
  <c r="J55" i="67" s="1"/>
  <c r="J58" i="67" s="1"/>
  <c r="Q50" i="67" s="1"/>
  <c r="L56" i="67"/>
  <c r="C27" i="15"/>
  <c r="F71" i="15"/>
  <c r="F51" i="15"/>
  <c r="M59" i="15"/>
  <c r="L58" i="15"/>
  <c r="N59" i="15"/>
  <c r="L59" i="15"/>
  <c r="L58" i="67"/>
  <c r="L59" i="67"/>
  <c r="N59" i="67"/>
  <c r="M59" i="67"/>
  <c r="F65" i="15"/>
  <c r="F70" i="67"/>
  <c r="C47" i="68"/>
  <c r="D45" i="68" s="1"/>
  <c r="C29" i="68"/>
  <c r="D27" i="68" s="1"/>
  <c r="F66" i="67"/>
  <c r="Q71" i="15"/>
  <c r="F68" i="15"/>
  <c r="C27" i="67"/>
  <c r="F66" i="15"/>
  <c r="F68" i="67"/>
  <c r="F51" i="67"/>
  <c r="M7" i="15"/>
  <c r="J6" i="15" s="1"/>
  <c r="F50" i="15"/>
  <c r="Q71" i="67"/>
  <c r="F64" i="67"/>
  <c r="F64" i="15"/>
  <c r="B13" i="70"/>
  <c r="B12" i="70"/>
  <c r="E20" i="43"/>
  <c r="J57" i="77"/>
  <c r="J55" i="77" s="1"/>
  <c r="J58" i="77" s="1"/>
  <c r="Q50" i="77" s="1"/>
  <c r="I54" i="77"/>
  <c r="L56" i="77"/>
  <c r="Q71" i="77"/>
  <c r="F69" i="77"/>
  <c r="F51" i="77"/>
  <c r="B9" i="70"/>
  <c r="B11" i="70"/>
  <c r="B10" i="70"/>
  <c r="L59" i="77"/>
  <c r="M59" i="77"/>
  <c r="L58" i="77"/>
  <c r="N59" i="77"/>
  <c r="F68" i="77"/>
  <c r="J57" i="78"/>
  <c r="J55" i="78" s="1"/>
  <c r="J58" i="78" s="1"/>
  <c r="Q50" i="78" s="1"/>
  <c r="L56" i="78"/>
  <c r="I54" i="78"/>
  <c r="Q71" i="78"/>
  <c r="F69" i="78"/>
  <c r="F68" i="78"/>
  <c r="I1" i="73"/>
  <c r="B39" i="1" s="1"/>
  <c r="F66" i="77"/>
  <c r="F65" i="77"/>
  <c r="F64" i="77"/>
  <c r="C27" i="77"/>
  <c r="L59" i="78"/>
  <c r="L58" i="78"/>
  <c r="N59" i="78"/>
  <c r="M59" i="78"/>
  <c r="J53" i="15"/>
  <c r="I54" i="15"/>
  <c r="L56" i="15"/>
  <c r="J57" i="15"/>
  <c r="J55" i="15" s="1"/>
  <c r="J58" i="15" s="1"/>
  <c r="Q50" i="15" s="1"/>
  <c r="L57" i="15"/>
  <c r="L60" i="15"/>
  <c r="F66" i="78"/>
  <c r="F65" i="78"/>
  <c r="F64" i="78"/>
  <c r="F51" i="78"/>
  <c r="C27" i="78"/>
  <c r="M21" i="78"/>
  <c r="F7" i="67"/>
  <c r="F7" i="77"/>
  <c r="F7" i="78"/>
  <c r="F35" i="67"/>
  <c r="F35" i="77"/>
  <c r="F43" i="78"/>
  <c r="M29" i="78"/>
  <c r="M21" i="67"/>
  <c r="F35" i="78"/>
  <c r="F43" i="77"/>
  <c r="M29" i="77"/>
  <c r="C16" i="15"/>
  <c r="M21" i="77"/>
  <c r="F43" i="67"/>
  <c r="M29" i="67"/>
  <c r="G1" i="73"/>
  <c r="M7" i="78" l="1"/>
  <c r="J6" i="78" s="1"/>
  <c r="F50" i="78"/>
  <c r="C6" i="78"/>
  <c r="M7" i="77"/>
  <c r="J6" i="77" s="1"/>
  <c r="F50" i="77"/>
  <c r="C6" i="77"/>
  <c r="F71" i="78"/>
  <c r="F71" i="77"/>
  <c r="F71" i="67"/>
  <c r="F50" i="67"/>
  <c r="M7" i="67"/>
  <c r="J6" i="67" s="1"/>
  <c r="C6" i="67"/>
  <c r="F63" i="77"/>
  <c r="C62" i="77" s="1"/>
  <c r="C34" i="77"/>
  <c r="F63" i="78"/>
  <c r="C62" i="78" s="1"/>
  <c r="C34" i="78"/>
  <c r="J20" i="77"/>
  <c r="J20" i="78"/>
  <c r="F63" i="67"/>
  <c r="C62" i="67" s="1"/>
  <c r="C34" i="67"/>
  <c r="J20" i="67"/>
  <c r="AB7" i="36"/>
  <c r="T36" i="36" s="1"/>
  <c r="G36" i="36" s="1"/>
  <c r="U7" i="36"/>
  <c r="C49" i="78"/>
  <c r="F7" i="79"/>
  <c r="H7" i="79"/>
  <c r="AZ14" i="3"/>
  <c r="BA5" i="3"/>
  <c r="E27" i="6" s="1"/>
  <c r="AZ13" i="3"/>
  <c r="AZ5" i="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2" i="21"/>
  <c r="W12" i="21"/>
  <c r="B4" i="71"/>
  <c r="C6" i="71"/>
  <c r="D7" i="71"/>
  <c r="D43" i="71"/>
  <c r="C44" i="71"/>
  <c r="T20" i="71"/>
  <c r="D20" i="71"/>
  <c r="AC24" i="36"/>
  <c r="W24" i="36"/>
  <c r="AC12" i="36"/>
  <c r="W12" i="36"/>
  <c r="AC28" i="40"/>
  <c r="W28" i="40"/>
  <c r="AA7" i="35"/>
  <c r="R38" i="35" s="1"/>
  <c r="S7" i="35"/>
  <c r="E68" i="39"/>
  <c r="D70" i="39"/>
  <c r="U7" i="33"/>
  <c r="AB7" i="33"/>
  <c r="T48" i="33" s="1"/>
  <c r="G48" i="33" s="1"/>
  <c r="J7" i="33"/>
  <c r="W7" i="36"/>
  <c r="AC7" i="36"/>
  <c r="V36" i="36" s="1"/>
  <c r="I36" i="36" s="1"/>
  <c r="U7" i="37"/>
  <c r="AB7" i="37"/>
  <c r="T42" i="37" s="1"/>
  <c r="G42" i="37" s="1"/>
  <c r="AC7" i="35"/>
  <c r="V38" i="35" s="1"/>
  <c r="I38" i="35" s="1"/>
  <c r="W7" i="35"/>
  <c r="J7" i="21"/>
  <c r="J7" i="34"/>
  <c r="H7" i="34"/>
  <c r="H65" i="40"/>
  <c r="I63" i="40"/>
  <c r="AA36" i="40"/>
  <c r="S36" i="40"/>
  <c r="J7" i="79"/>
  <c r="M7" i="1"/>
  <c r="Q16" i="1"/>
  <c r="H16" i="1"/>
  <c r="C34" i="69"/>
  <c r="G16" i="1"/>
  <c r="K16" i="1"/>
  <c r="N47" i="71"/>
  <c r="B46" i="71"/>
  <c r="AB38" i="40"/>
  <c r="U38" i="40"/>
  <c r="AB12" i="21"/>
  <c r="U12" i="21"/>
  <c r="S26" i="33"/>
  <c r="AA26" i="33"/>
  <c r="U24" i="36"/>
  <c r="AB24" i="36"/>
  <c r="U12" i="36"/>
  <c r="AB12" i="36"/>
  <c r="U28" i="40"/>
  <c r="AB28" i="40"/>
  <c r="S28" i="40"/>
  <c r="AA28" i="40"/>
  <c r="AB7" i="35"/>
  <c r="T38" i="35" s="1"/>
  <c r="G38" i="35" s="1"/>
  <c r="U7" i="35"/>
  <c r="AC7" i="37"/>
  <c r="V42" i="37" s="1"/>
  <c r="I42" i="37" s="1"/>
  <c r="W7" i="37"/>
  <c r="S7" i="34"/>
  <c r="AA7" i="34"/>
  <c r="R49" i="34" s="1"/>
  <c r="F7" i="33"/>
  <c r="F7" i="36"/>
  <c r="S7" i="37"/>
  <c r="AA7" i="37"/>
  <c r="R42" i="37" s="1"/>
  <c r="S7" i="21"/>
  <c r="AA7" i="21"/>
  <c r="R48" i="21" s="1"/>
  <c r="H7" i="21"/>
  <c r="B40" i="1"/>
  <c r="F24" i="77" s="1"/>
  <c r="C24" i="77" s="1"/>
  <c r="K4" i="4"/>
  <c r="B46" i="48" s="1"/>
  <c r="B4" i="72" s="1"/>
  <c r="W11" i="40"/>
  <c r="AB11" i="40"/>
  <c r="U11" i="40"/>
  <c r="AA17" i="40"/>
  <c r="S17" i="40"/>
  <c r="AC23" i="40"/>
  <c r="W23" i="40"/>
  <c r="AC36" i="40"/>
  <c r="W36" i="40"/>
  <c r="AB36" i="40"/>
  <c r="U36" i="40"/>
  <c r="C49" i="67"/>
  <c r="F1" i="15"/>
  <c r="Q52" i="15"/>
  <c r="Q74" i="78"/>
  <c r="Q61" i="78"/>
  <c r="F11" i="78"/>
  <c r="M11" i="78"/>
  <c r="M11" i="77"/>
  <c r="M11" i="15"/>
  <c r="J10" i="15" s="1"/>
  <c r="J5" i="15" s="1"/>
  <c r="M11" i="67"/>
  <c r="J10" i="67" s="1"/>
  <c r="J5" i="67" s="1"/>
  <c r="F11" i="77"/>
  <c r="F11" i="67"/>
  <c r="F11" i="15"/>
  <c r="Q73" i="67"/>
  <c r="Q60" i="67"/>
  <c r="Q66" i="15"/>
  <c r="Q57" i="15"/>
  <c r="Q73" i="78"/>
  <c r="Q60" i="78"/>
  <c r="Q73" i="77"/>
  <c r="Q60" i="77"/>
  <c r="Q74" i="77"/>
  <c r="Q61" i="77"/>
  <c r="C49" i="77"/>
  <c r="O17" i="43"/>
  <c r="P17" i="43"/>
  <c r="N17" i="43"/>
  <c r="M17" i="43"/>
  <c r="Q61" i="67"/>
  <c r="Q74" i="67"/>
  <c r="Q74" i="15"/>
  <c r="Q61" i="15"/>
  <c r="Q73" i="15"/>
  <c r="Q60" i="15"/>
  <c r="C49" i="15"/>
  <c r="C16" i="67"/>
  <c r="C14" i="78"/>
  <c r="C17" i="77"/>
  <c r="C16" i="77"/>
  <c r="C17" i="78"/>
  <c r="C16" i="78"/>
  <c r="AE6" i="1"/>
  <c r="C14" i="67"/>
  <c r="C14" i="77"/>
  <c r="C17" i="67"/>
  <c r="J10" i="78" l="1"/>
  <c r="J5" i="78" s="1"/>
  <c r="J18" i="78" s="1"/>
  <c r="J10" i="77"/>
  <c r="J5" i="77" s="1"/>
  <c r="J18" i="77" s="1"/>
  <c r="F24" i="78"/>
  <c r="C24" i="78" s="1"/>
  <c r="C15" i="77"/>
  <c r="C18" i="77"/>
  <c r="C18" i="78"/>
  <c r="C15" i="78"/>
  <c r="C18" i="67"/>
  <c r="C15" i="67"/>
  <c r="E48" i="21"/>
  <c r="R49" i="21"/>
  <c r="R43" i="37"/>
  <c r="E42" i="37"/>
  <c r="S7" i="36"/>
  <c r="AA7" i="36"/>
  <c r="R36" i="36" s="1"/>
  <c r="I47" i="37"/>
  <c r="J47" i="37" s="1"/>
  <c r="I46" i="37"/>
  <c r="J46" i="37" s="1"/>
  <c r="G43" i="35"/>
  <c r="H43" i="35" s="1"/>
  <c r="G42" i="35"/>
  <c r="H42" i="35" s="1"/>
  <c r="H10" i="40"/>
  <c r="J10" i="39"/>
  <c r="F10" i="39"/>
  <c r="J10" i="40"/>
  <c r="F10" i="40"/>
  <c r="H10" i="39"/>
  <c r="M16" i="1"/>
  <c r="J63" i="40"/>
  <c r="I65" i="40"/>
  <c r="U7" i="34"/>
  <c r="AB7" i="34"/>
  <c r="T49" i="34" s="1"/>
  <c r="G49" i="34" s="1"/>
  <c r="AC7" i="21"/>
  <c r="V48" i="21" s="1"/>
  <c r="I48" i="21" s="1"/>
  <c r="W7" i="21"/>
  <c r="I42" i="35"/>
  <c r="J42" i="35" s="1"/>
  <c r="G52" i="33"/>
  <c r="H52" i="33" s="1"/>
  <c r="T44" i="71"/>
  <c r="D44" i="71"/>
  <c r="E3" i="6"/>
  <c r="AY6" i="3"/>
  <c r="AA7" i="79"/>
  <c r="R48" i="79" s="1"/>
  <c r="S7" i="79"/>
  <c r="AB7" i="21"/>
  <c r="T48" i="21" s="1"/>
  <c r="G48" i="21" s="1"/>
  <c r="U7" i="21"/>
  <c r="AA7" i="33"/>
  <c r="R48" i="33" s="1"/>
  <c r="S7" i="33"/>
  <c r="E49" i="34"/>
  <c r="R50" i="34"/>
  <c r="N46" i="71"/>
  <c r="N45" i="71"/>
  <c r="C38" i="69"/>
  <c r="C35" i="69"/>
  <c r="F28" i="12"/>
  <c r="C29" i="12" s="1"/>
  <c r="D28" i="12" s="1"/>
  <c r="F27" i="11"/>
  <c r="F27" i="69"/>
  <c r="AC7" i="79"/>
  <c r="V48" i="79" s="1"/>
  <c r="I48" i="79" s="1"/>
  <c r="W7" i="79"/>
  <c r="AC7" i="34"/>
  <c r="V49" i="34" s="1"/>
  <c r="I49" i="34" s="1"/>
  <c r="W7" i="34"/>
  <c r="G46" i="37"/>
  <c r="H46" i="37" s="1"/>
  <c r="G47" i="37"/>
  <c r="H47" i="37" s="1"/>
  <c r="I40" i="36"/>
  <c r="J40" i="36" s="1"/>
  <c r="W7" i="33"/>
  <c r="AC7" i="33"/>
  <c r="V48" i="33" s="1"/>
  <c r="I48" i="33" s="1"/>
  <c r="F68" i="39"/>
  <c r="E70" i="39"/>
  <c r="R39" i="35"/>
  <c r="E38" i="35"/>
  <c r="D6" i="71"/>
  <c r="C5" i="71"/>
  <c r="AC6" i="3"/>
  <c r="H6" i="3"/>
  <c r="E6" i="3" s="1"/>
  <c r="E31" i="6"/>
  <c r="K22" i="6"/>
  <c r="M22" i="6" s="1"/>
  <c r="I22" i="6" s="1"/>
  <c r="S22" i="6" s="1"/>
  <c r="K25" i="6"/>
  <c r="M25" i="6" s="1"/>
  <c r="I25" i="6" s="1"/>
  <c r="S25" i="6" s="1"/>
  <c r="K23" i="6"/>
  <c r="M23" i="6" s="1"/>
  <c r="I23" i="6" s="1"/>
  <c r="S23" i="6" s="1"/>
  <c r="K21" i="6"/>
  <c r="M21" i="6" s="1"/>
  <c r="I21" i="6" s="1"/>
  <c r="S21" i="6" s="1"/>
  <c r="K24" i="6"/>
  <c r="M24" i="6" s="1"/>
  <c r="I24" i="6" s="1"/>
  <c r="S24" i="6" s="1"/>
  <c r="K26" i="6"/>
  <c r="M26" i="6" s="1"/>
  <c r="I26" i="6" s="1"/>
  <c r="S26" i="6" s="1"/>
  <c r="K20" i="6"/>
  <c r="M20" i="6" s="1"/>
  <c r="I20" i="6" s="1"/>
  <c r="S20" i="6" s="1"/>
  <c r="K19" i="6"/>
  <c r="AB7" i="79"/>
  <c r="T48" i="79" s="1"/>
  <c r="G48" i="79" s="1"/>
  <c r="U7" i="79"/>
  <c r="G40" i="36"/>
  <c r="H40" i="36" s="1"/>
  <c r="G41" i="36"/>
  <c r="H41" i="36" s="1"/>
  <c r="F22" i="68"/>
  <c r="C44" i="68" s="1"/>
  <c r="D41" i="68" s="1"/>
  <c r="F22" i="11"/>
  <c r="C26" i="11" s="1"/>
  <c r="D22" i="11" s="1"/>
  <c r="F25" i="12"/>
  <c r="C26" i="12" s="1"/>
  <c r="D25" i="12" s="1"/>
  <c r="F22" i="69"/>
  <c r="C26" i="69" s="1"/>
  <c r="D22" i="69" s="1"/>
  <c r="F24" i="15"/>
  <c r="C24" i="15" s="1"/>
  <c r="F24" i="67"/>
  <c r="C24" i="67" s="1"/>
  <c r="J24" i="15"/>
  <c r="J18" i="15"/>
  <c r="J26" i="15"/>
  <c r="J24" i="67"/>
  <c r="J18" i="67"/>
  <c r="J26" i="67"/>
  <c r="J29" i="67" s="1"/>
  <c r="C10" i="67"/>
  <c r="C5" i="67" s="1"/>
  <c r="C53" i="67"/>
  <c r="C48" i="67" s="1"/>
  <c r="C53" i="78"/>
  <c r="C48" i="78" s="1"/>
  <c r="C10" i="78"/>
  <c r="C5" i="78" s="1"/>
  <c r="C53" i="15"/>
  <c r="C48" i="15" s="1"/>
  <c r="C10" i="15"/>
  <c r="C5" i="15" s="1"/>
  <c r="C10" i="77"/>
  <c r="C5" i="77" s="1"/>
  <c r="C53" i="77"/>
  <c r="C48" i="77" s="1"/>
  <c r="F41" i="15"/>
  <c r="J26" i="78" l="1"/>
  <c r="J29" i="78" s="1"/>
  <c r="J24" i="78"/>
  <c r="J26" i="77"/>
  <c r="J29" i="77" s="1"/>
  <c r="J24" i="77"/>
  <c r="C19" i="77"/>
  <c r="C20" i="77" s="1"/>
  <c r="C26" i="77" s="1"/>
  <c r="C19" i="67"/>
  <c r="C20" i="67" s="1"/>
  <c r="C26" i="67" s="1"/>
  <c r="C19" i="78"/>
  <c r="C20" i="78" s="1"/>
  <c r="C26" i="78" s="1"/>
  <c r="C44" i="11"/>
  <c r="D41" i="11" s="1"/>
  <c r="S6" i="1"/>
  <c r="M19" i="6"/>
  <c r="K27" i="6"/>
  <c r="C38" i="35"/>
  <c r="C39" i="35"/>
  <c r="B2" i="35" s="1"/>
  <c r="B3" i="35" s="1"/>
  <c r="G68" i="39"/>
  <c r="F70" i="39"/>
  <c r="I54" i="34"/>
  <c r="J54" i="34" s="1"/>
  <c r="I53" i="34"/>
  <c r="J53" i="34" s="1"/>
  <c r="C47" i="69"/>
  <c r="D45" i="69" s="1"/>
  <c r="C29" i="69"/>
  <c r="D27" i="69" s="1"/>
  <c r="E54" i="34"/>
  <c r="F54" i="34" s="1"/>
  <c r="E53" i="34"/>
  <c r="F53" i="34" s="1"/>
  <c r="R49" i="33"/>
  <c r="E48" i="33"/>
  <c r="G52" i="21"/>
  <c r="H52" i="21" s="1"/>
  <c r="G53" i="21"/>
  <c r="H53" i="21" s="1"/>
  <c r="E48" i="79"/>
  <c r="R49" i="79"/>
  <c r="D3" i="79"/>
  <c r="D3" i="21"/>
  <c r="D19" i="11"/>
  <c r="C19" i="11" s="1"/>
  <c r="D37" i="11"/>
  <c r="C37" i="11" s="1"/>
  <c r="D14" i="12"/>
  <c r="D3" i="34"/>
  <c r="D3" i="33"/>
  <c r="E6" i="6"/>
  <c r="C17" i="4"/>
  <c r="B4" i="52" s="1"/>
  <c r="B43" i="72" s="1"/>
  <c r="D3" i="37"/>
  <c r="I52" i="21"/>
  <c r="J52" i="21" s="1"/>
  <c r="I53" i="21"/>
  <c r="J53" i="21" s="1"/>
  <c r="J65" i="40"/>
  <c r="K63" i="40"/>
  <c r="AB10" i="39"/>
  <c r="U10" i="39"/>
  <c r="W10" i="40"/>
  <c r="AC10" i="40"/>
  <c r="AC10" i="39"/>
  <c r="W10" i="39"/>
  <c r="E36" i="36"/>
  <c r="R37" i="36"/>
  <c r="E47" i="37"/>
  <c r="F47" i="37" s="1"/>
  <c r="E46" i="37"/>
  <c r="F46" i="37" s="1"/>
  <c r="C49" i="21"/>
  <c r="B2" i="21" s="1"/>
  <c r="B3" i="21" s="1"/>
  <c r="C48" i="21"/>
  <c r="G53" i="79"/>
  <c r="H53" i="79" s="1"/>
  <c r="G52" i="79"/>
  <c r="H52" i="79" s="1"/>
  <c r="C4" i="71"/>
  <c r="D4" i="71" s="1"/>
  <c r="D5" i="71"/>
  <c r="M20" i="43"/>
  <c r="C19" i="43" s="1"/>
  <c r="E42" i="35"/>
  <c r="F42" i="35" s="1"/>
  <c r="E43" i="35"/>
  <c r="F43" i="35" s="1"/>
  <c r="I52" i="33"/>
  <c r="J52" i="33" s="1"/>
  <c r="I53" i="33"/>
  <c r="J53" i="33" s="1"/>
  <c r="I52" i="79"/>
  <c r="J52" i="79" s="1"/>
  <c r="I53" i="79"/>
  <c r="J53" i="79" s="1"/>
  <c r="C47" i="11"/>
  <c r="D45" i="11" s="1"/>
  <c r="C29" i="11"/>
  <c r="D27" i="11" s="1"/>
  <c r="C50" i="34"/>
  <c r="B2" i="34" s="1"/>
  <c r="B3" i="34" s="1"/>
  <c r="C49" i="34"/>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72" i="3"/>
  <c r="AY544" i="3"/>
  <c r="AY541" i="3"/>
  <c r="BE6" i="3"/>
  <c r="AY553" i="3"/>
  <c r="AY97" i="3"/>
  <c r="AY108" i="3"/>
  <c r="AY77" i="3"/>
  <c r="AY61" i="3"/>
  <c r="AY76" i="3"/>
  <c r="AY60" i="3"/>
  <c r="AY28" i="3"/>
  <c r="AY206" i="3"/>
  <c r="AY201" i="3"/>
  <c r="AY185" i="3"/>
  <c r="AY154" i="3"/>
  <c r="AY149" i="3"/>
  <c r="AY118" i="3"/>
  <c r="AY125" i="3"/>
  <c r="AY294" i="3"/>
  <c r="AY263" i="3"/>
  <c r="AY247" i="3"/>
  <c r="AY262" i="3"/>
  <c r="AY230" i="3"/>
  <c r="AY214" i="3"/>
  <c r="AY397" i="3"/>
  <c r="AY374" i="3"/>
  <c r="AY357" i="3"/>
  <c r="AY554" i="3"/>
  <c r="BJ6" i="3"/>
  <c r="AY104" i="3"/>
  <c r="AY41" i="3"/>
  <c r="AY56" i="3"/>
  <c r="AY202" i="3"/>
  <c r="AY166" i="3"/>
  <c r="AY177" i="3"/>
  <c r="AY114" i="3"/>
  <c r="AY290" i="3"/>
  <c r="AY259" i="3"/>
  <c r="AY242" i="3"/>
  <c r="AY210" i="3"/>
  <c r="AY377" i="3"/>
  <c r="AY349" i="3"/>
  <c r="AY333" i="3"/>
  <c r="AY348" i="3"/>
  <c r="AY316" i="3"/>
  <c r="AY475" i="3"/>
  <c r="AY472" i="3"/>
  <c r="AY457" i="3"/>
  <c r="AY446" i="3"/>
  <c r="AY414" i="3"/>
  <c r="AY398" i="3"/>
  <c r="AY411" i="3"/>
  <c r="AY581" i="3"/>
  <c r="BM6" i="3"/>
  <c r="AY585" i="3"/>
  <c r="AY534" i="3"/>
  <c r="AY571" i="3"/>
  <c r="AY495" i="3"/>
  <c r="AY510" i="3"/>
  <c r="AY16" i="3"/>
  <c r="AY584" i="3"/>
  <c r="AY514" i="3"/>
  <c r="AY519" i="3"/>
  <c r="AY101" i="3"/>
  <c r="AY65" i="3"/>
  <c r="AY48" i="3"/>
  <c r="AY37" i="3"/>
  <c r="AY189" i="3"/>
  <c r="AY169" i="3"/>
  <c r="AY137" i="3"/>
  <c r="AY287" i="3"/>
  <c r="AY251" i="3"/>
  <c r="AY234" i="3"/>
  <c r="AY223" i="3"/>
  <c r="AY369" i="3"/>
  <c r="AY364" i="3"/>
  <c r="AY329" i="3"/>
  <c r="AY344" i="3"/>
  <c r="AY328" i="3"/>
  <c r="AY487" i="3"/>
  <c r="AY471" i="3"/>
  <c r="AY468" i="3"/>
  <c r="AY453" i="3"/>
  <c r="AY442" i="3"/>
  <c r="AY410" i="3"/>
  <c r="AY423" i="3"/>
  <c r="AY407" i="3"/>
  <c r="AY506" i="3"/>
  <c r="AY14" i="3"/>
  <c r="AY522" i="3"/>
  <c r="AY515" i="3"/>
  <c r="AY551" i="3"/>
  <c r="AY545" i="3"/>
  <c r="BP6" i="3"/>
  <c r="AY563" i="3"/>
  <c r="AY79" i="3"/>
  <c r="AY62" i="3"/>
  <c r="AY19" i="3"/>
  <c r="AY172" i="3"/>
  <c r="AY151" i="3"/>
  <c r="AY301" i="3"/>
  <c r="AY265" i="3"/>
  <c r="AY248" i="3"/>
  <c r="AY394" i="3"/>
  <c r="AY383" i="3"/>
  <c r="AY347" i="3"/>
  <c r="AY330" i="3"/>
  <c r="AY482" i="3"/>
  <c r="AY440" i="3"/>
  <c r="AY408" i="3"/>
  <c r="AY500" i="3"/>
  <c r="AY547" i="3"/>
  <c r="AY528" i="3"/>
  <c r="AY576" i="3"/>
  <c r="AY102" i="3"/>
  <c r="AY39" i="3"/>
  <c r="AY54" i="3"/>
  <c r="AY200" i="3"/>
  <c r="AY195" i="3"/>
  <c r="AY175" i="3"/>
  <c r="AY136" i="3"/>
  <c r="AY288" i="3"/>
  <c r="AY257" i="3"/>
  <c r="AY240" i="3"/>
  <c r="AY386" i="3"/>
  <c r="AY351" i="3"/>
  <c r="AY307" i="3"/>
  <c r="AY477" i="3"/>
  <c r="AY443" i="3"/>
  <c r="AY432" i="3"/>
  <c r="AY413" i="3"/>
  <c r="AY521" i="3"/>
  <c r="AY566"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58" i="3"/>
  <c r="AY327" i="3"/>
  <c r="AY342" i="3"/>
  <c r="AY310" i="3"/>
  <c r="AY465" i="3"/>
  <c r="AY463" i="3"/>
  <c r="AY452" i="3"/>
  <c r="AY420" i="3"/>
  <c r="AY433" i="3"/>
  <c r="AY401" i="3"/>
  <c r="AY513" i="3"/>
  <c r="AY549" i="3"/>
  <c r="BK6" i="3"/>
  <c r="AY569" i="3"/>
  <c r="AY533" i="3"/>
  <c r="AY92" i="3"/>
  <c r="AY45" i="3"/>
  <c r="AY44" i="3"/>
  <c r="AY33" i="3"/>
  <c r="AY190" i="3"/>
  <c r="AY170" i="3"/>
  <c r="AY138" i="3"/>
  <c r="AY165" i="3"/>
  <c r="AY133" i="3"/>
  <c r="AY299" i="3"/>
  <c r="AY283" i="3"/>
  <c r="AY278" i="3"/>
  <c r="AY231" i="3"/>
  <c r="AY246" i="3"/>
  <c r="AY219" i="3"/>
  <c r="AY392" i="3"/>
  <c r="AY381" i="3"/>
  <c r="AY360" i="3"/>
  <c r="BH6" i="3"/>
  <c r="AY109" i="3"/>
  <c r="AY73" i="3"/>
  <c r="AY24" i="3"/>
  <c r="AY197" i="3"/>
  <c r="AY145" i="3"/>
  <c r="AY295" i="3"/>
  <c r="AY274" i="3"/>
  <c r="AY388" i="3"/>
  <c r="AY353" i="3"/>
  <c r="AY317" i="3"/>
  <c r="AY332" i="3"/>
  <c r="AY491" i="3"/>
  <c r="AY488" i="3"/>
  <c r="AY462" i="3"/>
  <c r="AY430" i="3"/>
  <c r="AY427" i="3"/>
  <c r="BQ6" i="3"/>
  <c r="AY561" i="3"/>
  <c r="BF6" i="3"/>
  <c r="AY546" i="3"/>
  <c r="BG6" i="3"/>
  <c r="AY501" i="3"/>
  <c r="AY494" i="3"/>
  <c r="AY582" i="3"/>
  <c r="AY96" i="3"/>
  <c r="AY80" i="3"/>
  <c r="AY194" i="3"/>
  <c r="AY158" i="3"/>
  <c r="AY129" i="3"/>
  <c r="AY282" i="3"/>
  <c r="AY266" i="3"/>
  <c r="AY380" i="3"/>
  <c r="AY345" i="3"/>
  <c r="AY313" i="3"/>
  <c r="AY312" i="3"/>
  <c r="AY484" i="3"/>
  <c r="AY458" i="3"/>
  <c r="AY426" i="3"/>
  <c r="AY439" i="3"/>
  <c r="AY579" i="3"/>
  <c r="AY499" i="3"/>
  <c r="AY575" i="3"/>
  <c r="AY537" i="3"/>
  <c r="AY530" i="3"/>
  <c r="AY548" i="3"/>
  <c r="AY493" i="3"/>
  <c r="AY110" i="3"/>
  <c r="AY47" i="3"/>
  <c r="AY30" i="3"/>
  <c r="AY203" i="3"/>
  <c r="AY140" i="3"/>
  <c r="AY120" i="3"/>
  <c r="AY296" i="3"/>
  <c r="AY233" i="3"/>
  <c r="AY216" i="3"/>
  <c r="AY359" i="3"/>
  <c r="AY315" i="3"/>
  <c r="AY485" i="3"/>
  <c r="AY451" i="3"/>
  <c r="AY421" i="3"/>
  <c r="AY13" i="3"/>
  <c r="AY568" i="3"/>
  <c r="AY107" i="3"/>
  <c r="AY71" i="3"/>
  <c r="AY22" i="3"/>
  <c r="AY164" i="3"/>
  <c r="AY143" i="3"/>
  <c r="AY293" i="3"/>
  <c r="AY272" i="3"/>
  <c r="AY208" i="3"/>
  <c r="AY375" i="3"/>
  <c r="AY339" i="3"/>
  <c r="AY322" i="3"/>
  <c r="AY474" i="3"/>
  <c r="AY400" i="3"/>
  <c r="AY15" i="3"/>
  <c r="AY583" i="3"/>
  <c r="G53" i="33"/>
  <c r="H53" i="33" s="1"/>
  <c r="I43" i="35"/>
  <c r="J43" i="35" s="1"/>
  <c r="G54" i="34"/>
  <c r="H54" i="34" s="1"/>
  <c r="G53" i="34"/>
  <c r="H53" i="34" s="1"/>
  <c r="N16" i="1"/>
  <c r="L16" i="1"/>
  <c r="C34" i="11"/>
  <c r="AA10" i="40"/>
  <c r="S10" i="40"/>
  <c r="S10" i="39"/>
  <c r="AA10" i="39"/>
  <c r="AB10" i="40"/>
  <c r="U10" i="40"/>
  <c r="C42" i="37"/>
  <c r="C43" i="37"/>
  <c r="B2" i="37" s="1"/>
  <c r="B3" i="37" s="1"/>
  <c r="E53" i="21"/>
  <c r="F53" i="21" s="1"/>
  <c r="E52" i="21"/>
  <c r="F52" i="21" s="1"/>
  <c r="C44" i="69"/>
  <c r="D41" i="69" s="1"/>
  <c r="C24" i="11"/>
  <c r="C26" i="68"/>
  <c r="D22" i="68" s="1"/>
  <c r="C23" i="11"/>
  <c r="F69" i="15"/>
  <c r="J29" i="15"/>
  <c r="C60" i="77"/>
  <c r="C66" i="77"/>
  <c r="C66" i="15"/>
  <c r="C60" i="15"/>
  <c r="C32" i="77"/>
  <c r="C38" i="77"/>
  <c r="C32" i="78"/>
  <c r="C38" i="78"/>
  <c r="C60" i="67"/>
  <c r="C66" i="67"/>
  <c r="C23" i="67"/>
  <c r="C29" i="67" s="1"/>
  <c r="C32" i="15"/>
  <c r="C38" i="15"/>
  <c r="C23" i="78"/>
  <c r="C29" i="78" s="1"/>
  <c r="C60" i="78"/>
  <c r="C66" i="78"/>
  <c r="C32" i="67"/>
  <c r="C38" i="67"/>
  <c r="C17" i="15"/>
  <c r="D10" i="68"/>
  <c r="C23" i="77" l="1"/>
  <c r="C29" i="77" s="1"/>
  <c r="J59" i="77" s="1"/>
  <c r="J60" i="77" s="1"/>
  <c r="L46" i="77" s="1"/>
  <c r="C10" i="68"/>
  <c r="D19" i="68"/>
  <c r="C35" i="11"/>
  <c r="C38" i="11"/>
  <c r="C33" i="11"/>
  <c r="C37" i="36"/>
  <c r="B2" i="36" s="1"/>
  <c r="B3" i="36" s="1"/>
  <c r="C36" i="36"/>
  <c r="L63" i="40"/>
  <c r="K65" i="40"/>
  <c r="D17" i="12"/>
  <c r="C17" i="12" s="1"/>
  <c r="C14" i="12"/>
  <c r="C16" i="12" s="1"/>
  <c r="C20" i="11"/>
  <c r="C25" i="11" s="1"/>
  <c r="C22" i="11" s="1"/>
  <c r="E53" i="79"/>
  <c r="F53" i="79" s="1"/>
  <c r="E52" i="79"/>
  <c r="F52" i="79" s="1"/>
  <c r="C48" i="33"/>
  <c r="C49" i="33"/>
  <c r="B2" i="33" s="1"/>
  <c r="B3" i="33" s="1"/>
  <c r="H68" i="39"/>
  <c r="G70" i="39"/>
  <c r="T6" i="1"/>
  <c r="E6" i="70"/>
  <c r="E2" i="70" s="1"/>
  <c r="AQ6" i="1"/>
  <c r="AR6" i="1"/>
  <c r="S16" i="1"/>
  <c r="F50" i="11"/>
  <c r="F50" i="69"/>
  <c r="F50" i="68"/>
  <c r="D19" i="6"/>
  <c r="H20" i="6"/>
  <c r="D20" i="6"/>
  <c r="R20" i="6" s="1"/>
  <c r="D26" i="6"/>
  <c r="C18" i="4"/>
  <c r="D8" i="6"/>
  <c r="D23" i="6"/>
  <c r="D14" i="6"/>
  <c r="D6" i="6"/>
  <c r="D9" i="6"/>
  <c r="D10" i="6"/>
  <c r="D29" i="6"/>
  <c r="H23" i="6"/>
  <c r="H26" i="6"/>
  <c r="D25" i="6"/>
  <c r="D15" i="6"/>
  <c r="D22" i="6"/>
  <c r="D21" i="6"/>
  <c r="R21" i="6" s="1"/>
  <c r="D24" i="6"/>
  <c r="D5" i="6"/>
  <c r="D12" i="6"/>
  <c r="D11" i="6"/>
  <c r="D13" i="6"/>
  <c r="D28" i="6"/>
  <c r="D30" i="6" s="1"/>
  <c r="H25" i="6"/>
  <c r="H22" i="6"/>
  <c r="H21" i="6"/>
  <c r="H24" i="6"/>
  <c r="C33" i="43"/>
  <c r="C35" i="43"/>
  <c r="C29" i="43"/>
  <c r="C36" i="43"/>
  <c r="C34" i="43"/>
  <c r="T11" i="43"/>
  <c r="V11" i="43" s="1"/>
  <c r="T12" i="43"/>
  <c r="V12" i="43" s="1"/>
  <c r="T3" i="43"/>
  <c r="V3" i="43" s="1"/>
  <c r="T2" i="43"/>
  <c r="V2" i="43" s="1"/>
  <c r="T5" i="43"/>
  <c r="V5" i="43" s="1"/>
  <c r="T4" i="43"/>
  <c r="V4" i="43" s="1"/>
  <c r="C39" i="43"/>
  <c r="E39" i="43" s="1"/>
  <c r="C38" i="43"/>
  <c r="T16" i="43"/>
  <c r="V16" i="43" s="1"/>
  <c r="T14" i="43"/>
  <c r="V14" i="43" s="1"/>
  <c r="T9" i="43"/>
  <c r="V9" i="43" s="1"/>
  <c r="T7" i="43"/>
  <c r="V7" i="43" s="1"/>
  <c r="T8" i="43"/>
  <c r="V8" i="43" s="1"/>
  <c r="T15" i="43"/>
  <c r="V15" i="43" s="1"/>
  <c r="T13" i="43"/>
  <c r="V13" i="43" s="1"/>
  <c r="T10" i="43"/>
  <c r="V10" i="43" s="1"/>
  <c r="T6" i="43"/>
  <c r="V6" i="43" s="1"/>
  <c r="C37" i="43"/>
  <c r="E41" i="36"/>
  <c r="F41" i="36" s="1"/>
  <c r="E40" i="36"/>
  <c r="F40" i="36" s="1"/>
  <c r="I41" i="36"/>
  <c r="J41" i="36" s="1"/>
  <c r="D10" i="11"/>
  <c r="C10" i="11" s="1"/>
  <c r="D20" i="12"/>
  <c r="C20" i="12" s="1"/>
  <c r="C18" i="12" s="1"/>
  <c r="D10" i="69"/>
  <c r="C49" i="79"/>
  <c r="B2" i="79" s="1"/>
  <c r="B3" i="79" s="1"/>
  <c r="C48" i="79"/>
  <c r="E53" i="33"/>
  <c r="F53" i="33" s="1"/>
  <c r="E52" i="33"/>
  <c r="F52" i="33" s="1"/>
  <c r="I19" i="6"/>
  <c r="H19" i="6" s="1"/>
  <c r="H27" i="6" s="1"/>
  <c r="M27" i="6"/>
  <c r="J59" i="15"/>
  <c r="J60" i="15" s="1"/>
  <c r="Q48" i="15" s="1"/>
  <c r="C13" i="67"/>
  <c r="J19" i="67"/>
  <c r="J17" i="67" s="1"/>
  <c r="C36" i="67"/>
  <c r="C33" i="67"/>
  <c r="C31" i="67" s="1"/>
  <c r="C57" i="67"/>
  <c r="Q49" i="67"/>
  <c r="J14" i="67"/>
  <c r="J59" i="67"/>
  <c r="J60" i="67" s="1"/>
  <c r="C13" i="78"/>
  <c r="C33" i="78"/>
  <c r="C31" i="78" s="1"/>
  <c r="C57" i="78"/>
  <c r="Q49" i="78"/>
  <c r="J19" i="78"/>
  <c r="J17" i="78" s="1"/>
  <c r="C36" i="78"/>
  <c r="J14" i="78"/>
  <c r="J59" i="78"/>
  <c r="J60" i="78" s="1"/>
  <c r="C14" i="15"/>
  <c r="C34" i="68"/>
  <c r="C28" i="11" l="1"/>
  <c r="C27" i="11" s="1"/>
  <c r="C31" i="11" s="1"/>
  <c r="C36" i="77"/>
  <c r="C57" i="77"/>
  <c r="C64" i="77" s="1"/>
  <c r="C13" i="77"/>
  <c r="Q70" i="77" s="1"/>
  <c r="C33" i="77"/>
  <c r="C31" i="77" s="1"/>
  <c r="Q49" i="77"/>
  <c r="J19" i="77"/>
  <c r="J17" i="77" s="1"/>
  <c r="J14" i="77"/>
  <c r="J22" i="77" s="1"/>
  <c r="C38" i="68"/>
  <c r="C35" i="68"/>
  <c r="C15" i="15"/>
  <c r="C18" i="15"/>
  <c r="G37" i="43"/>
  <c r="I37" i="43" s="1"/>
  <c r="E37" i="43"/>
  <c r="G38" i="43"/>
  <c r="I38" i="43" s="1"/>
  <c r="E38" i="43"/>
  <c r="G34" i="43"/>
  <c r="I34" i="43" s="1"/>
  <c r="E34" i="43"/>
  <c r="C30" i="43"/>
  <c r="E30" i="43" s="1"/>
  <c r="E29" i="43"/>
  <c r="C26" i="43" s="1"/>
  <c r="E33" i="43"/>
  <c r="G33" i="43"/>
  <c r="I33" i="43" s="1"/>
  <c r="R24" i="6"/>
  <c r="R22" i="6"/>
  <c r="R25" i="6"/>
  <c r="D16" i="6"/>
  <c r="R26" i="6"/>
  <c r="R19" i="6"/>
  <c r="M19" i="9"/>
  <c r="C118" i="9" s="1"/>
  <c r="C14" i="74" s="1"/>
  <c r="B2" i="74" s="1"/>
  <c r="D8" i="74" s="1"/>
  <c r="L19" i="9"/>
  <c r="D27" i="6"/>
  <c r="D31" i="6" s="1"/>
  <c r="T16" i="1"/>
  <c r="I68" i="39"/>
  <c r="H70" i="39"/>
  <c r="L65" i="40"/>
  <c r="M63" i="40"/>
  <c r="D37" i="68"/>
  <c r="C37" i="68" s="1"/>
  <c r="C19" i="68"/>
  <c r="C24" i="68" s="1"/>
  <c r="S19" i="6"/>
  <c r="S27" i="6" s="1"/>
  <c r="I27" i="6"/>
  <c r="L18" i="9"/>
  <c r="D19" i="69"/>
  <c r="C10" i="69"/>
  <c r="C8" i="69" s="1"/>
  <c r="C5" i="69" s="1"/>
  <c r="E36" i="43"/>
  <c r="G36" i="43"/>
  <c r="I36" i="43" s="1"/>
  <c r="G35" i="43"/>
  <c r="I35" i="43" s="1"/>
  <c r="E35" i="43"/>
  <c r="R23" i="6"/>
  <c r="A7" i="51"/>
  <c r="B7" i="72" s="1"/>
  <c r="C4" i="52"/>
  <c r="B45" i="72" s="1"/>
  <c r="A10" i="51"/>
  <c r="B9" i="72" s="1"/>
  <c r="C21" i="12"/>
  <c r="C39" i="11"/>
  <c r="C42" i="11"/>
  <c r="L46" i="15"/>
  <c r="C75" i="77"/>
  <c r="Q48" i="77"/>
  <c r="C37" i="77"/>
  <c r="Q48" i="78"/>
  <c r="L46" i="78"/>
  <c r="Q48" i="67"/>
  <c r="L46" i="67"/>
  <c r="J22" i="78"/>
  <c r="J13" i="78"/>
  <c r="J23" i="78" s="1"/>
  <c r="C61" i="78"/>
  <c r="C59" i="78" s="1"/>
  <c r="C64" i="78"/>
  <c r="C75" i="78"/>
  <c r="Q70" i="78"/>
  <c r="C37" i="78"/>
  <c r="C30" i="78" s="1"/>
  <c r="C39" i="78" s="1"/>
  <c r="C56" i="78"/>
  <c r="C65" i="78" s="1"/>
  <c r="J13" i="67"/>
  <c r="J23" i="67" s="1"/>
  <c r="J22" i="67"/>
  <c r="C61" i="67"/>
  <c r="C59" i="67" s="1"/>
  <c r="C64" i="67"/>
  <c r="C56" i="67"/>
  <c r="C65" i="67" s="1"/>
  <c r="C37" i="67"/>
  <c r="C30" i="67" s="1"/>
  <c r="C39" i="67" s="1"/>
  <c r="Q70" i="67"/>
  <c r="C75" i="67"/>
  <c r="C61" i="15"/>
  <c r="C30" i="77" l="1"/>
  <c r="C39" i="77" s="1"/>
  <c r="Q69" i="77" s="1"/>
  <c r="Q68" i="77" s="1"/>
  <c r="C56" i="77"/>
  <c r="C65" i="77" s="1"/>
  <c r="C61" i="77"/>
  <c r="C59" i="77" s="1"/>
  <c r="J13" i="77"/>
  <c r="J23" i="77" s="1"/>
  <c r="J16" i="77" s="1"/>
  <c r="J25" i="77" s="1"/>
  <c r="C19" i="15"/>
  <c r="C20" i="15" s="1"/>
  <c r="C33" i="68"/>
  <c r="C42" i="68" s="1"/>
  <c r="C43" i="11"/>
  <c r="C41" i="11" s="1"/>
  <c r="C46" i="11"/>
  <c r="C45" i="11" s="1"/>
  <c r="C22" i="12"/>
  <c r="C30" i="12" s="1"/>
  <c r="C28" i="12" s="1"/>
  <c r="C23" i="69"/>
  <c r="J68" i="39"/>
  <c r="I70" i="39"/>
  <c r="I6" i="6"/>
  <c r="I5" i="6"/>
  <c r="C27" i="43"/>
  <c r="C19" i="69"/>
  <c r="C24" i="69" s="1"/>
  <c r="D37" i="69"/>
  <c r="C37" i="69" s="1"/>
  <c r="C33" i="69" s="1"/>
  <c r="M65" i="40"/>
  <c r="N63" i="40"/>
  <c r="R6" i="1"/>
  <c r="R27" i="6"/>
  <c r="B2" i="43"/>
  <c r="J16" i="67"/>
  <c r="J25" i="67" s="1"/>
  <c r="J16" i="78"/>
  <c r="J25" i="78" s="1"/>
  <c r="C40" i="67"/>
  <c r="Q69" i="67"/>
  <c r="Q68" i="67" s="1"/>
  <c r="C40" i="78"/>
  <c r="Q69" i="78"/>
  <c r="Q68" i="78" s="1"/>
  <c r="C80" i="67"/>
  <c r="C79" i="67" s="1"/>
  <c r="C58" i="78"/>
  <c r="C67" i="78" s="1"/>
  <c r="C68" i="78" s="1"/>
  <c r="C58" i="67"/>
  <c r="C67" i="67" s="1"/>
  <c r="C68" i="67" s="1"/>
  <c r="C80" i="78"/>
  <c r="C79" i="78" s="1"/>
  <c r="E6" i="76"/>
  <c r="L51" i="78"/>
  <c r="F35" i="15"/>
  <c r="B6" i="76"/>
  <c r="M21" i="15"/>
  <c r="L51" i="67"/>
  <c r="C80" i="77" l="1"/>
  <c r="C79" i="77" s="1"/>
  <c r="C40" i="77"/>
  <c r="Q56" i="77" s="1"/>
  <c r="C58" i="77"/>
  <c r="C67" i="77" s="1"/>
  <c r="C68" i="77" s="1"/>
  <c r="C71" i="77" s="1"/>
  <c r="C26" i="15"/>
  <c r="C23" i="15"/>
  <c r="C39" i="68"/>
  <c r="C27" i="12"/>
  <c r="C25" i="12" s="1"/>
  <c r="C32" i="12" s="1"/>
  <c r="B2" i="12" s="1"/>
  <c r="B3" i="12" s="1"/>
  <c r="C49" i="11"/>
  <c r="C51" i="11" s="1"/>
  <c r="C52" i="11" s="1"/>
  <c r="B2" i="11" s="1"/>
  <c r="B3" i="11" s="1"/>
  <c r="B2" i="76"/>
  <c r="E2" i="76"/>
  <c r="J20" i="15"/>
  <c r="C34" i="15"/>
  <c r="F63" i="15"/>
  <c r="C62" i="15" s="1"/>
  <c r="C59" i="15" s="1"/>
  <c r="B3" i="43"/>
  <c r="O63" i="40"/>
  <c r="O65" i="40" s="1"/>
  <c r="N65" i="40"/>
  <c r="J7" i="40" s="1"/>
  <c r="C39" i="69"/>
  <c r="C42" i="69"/>
  <c r="K68" i="39"/>
  <c r="J70" i="39"/>
  <c r="R16" i="1"/>
  <c r="C20" i="69"/>
  <c r="C83" i="77"/>
  <c r="C82" i="77" s="1"/>
  <c r="C43" i="77"/>
  <c r="Q67" i="78"/>
  <c r="L57" i="78"/>
  <c r="L60" i="78" s="1"/>
  <c r="Q67" i="67"/>
  <c r="L57" i="67"/>
  <c r="L60" i="67" s="1"/>
  <c r="C71" i="78"/>
  <c r="C46" i="78"/>
  <c r="Q65" i="67"/>
  <c r="Q56" i="67"/>
  <c r="Q47" i="67"/>
  <c r="Q53" i="67" s="1"/>
  <c r="D2" i="67"/>
  <c r="C43" i="67"/>
  <c r="C83" i="67"/>
  <c r="C82" i="67" s="1"/>
  <c r="C45" i="67"/>
  <c r="C46" i="67" s="1"/>
  <c r="C71" i="67"/>
  <c r="Q56" i="78"/>
  <c r="Q47" i="78"/>
  <c r="Q53" i="78" s="1"/>
  <c r="C43" i="78"/>
  <c r="B2" i="78"/>
  <c r="B3" i="78" s="1"/>
  <c r="Q65" i="78"/>
  <c r="C83" i="78"/>
  <c r="C82" i="78" s="1"/>
  <c r="L51" i="77"/>
  <c r="L57" i="77" l="1"/>
  <c r="L60" i="77" s="1"/>
  <c r="Q67" i="77"/>
  <c r="Q65" i="77"/>
  <c r="B2" i="77"/>
  <c r="B3" i="77" s="1"/>
  <c r="Q47" i="77"/>
  <c r="Q53" i="77" s="1"/>
  <c r="C46" i="77"/>
  <c r="C29" i="15"/>
  <c r="Q49" i="15" s="1"/>
  <c r="C43" i="68"/>
  <c r="C41" i="68" s="1"/>
  <c r="C46" i="68"/>
  <c r="C45" i="68" s="1"/>
  <c r="B3" i="76"/>
  <c r="W7" i="40"/>
  <c r="AC7" i="40"/>
  <c r="V42" i="40" s="1"/>
  <c r="I42" i="40" s="1"/>
  <c r="C56" i="11"/>
  <c r="C57" i="11" s="1"/>
  <c r="C28" i="69"/>
  <c r="C27" i="69" s="1"/>
  <c r="C25" i="69"/>
  <c r="C22" i="69" s="1"/>
  <c r="L68" i="39"/>
  <c r="K70" i="39"/>
  <c r="C46" i="69"/>
  <c r="C45" i="69" s="1"/>
  <c r="C43" i="69"/>
  <c r="C41" i="69" s="1"/>
  <c r="F7" i="40"/>
  <c r="H7" i="40"/>
  <c r="B2" i="67"/>
  <c r="B3" i="67"/>
  <c r="Q57" i="67"/>
  <c r="Q62" i="67" s="1"/>
  <c r="Q66" i="67"/>
  <c r="Q75" i="67" s="1"/>
  <c r="Q66" i="78"/>
  <c r="Q75" i="78" s="1"/>
  <c r="Q57" i="78"/>
  <c r="Q62" i="78" s="1"/>
  <c r="Q57" i="77" l="1"/>
  <c r="Q62" i="77" s="1"/>
  <c r="Q66" i="77"/>
  <c r="Q75" i="77" s="1"/>
  <c r="C13" i="15"/>
  <c r="Q70" i="15" s="1"/>
  <c r="C36" i="15"/>
  <c r="J14" i="15"/>
  <c r="J19" i="15"/>
  <c r="J17" i="15" s="1"/>
  <c r="C33" i="15"/>
  <c r="C31" i="15" s="1"/>
  <c r="C57" i="15"/>
  <c r="C64" i="15" s="1"/>
  <c r="C49" i="69"/>
  <c r="C51" i="69" s="1"/>
  <c r="C31" i="69"/>
  <c r="C49" i="68"/>
  <c r="C51" i="68" s="1"/>
  <c r="U7" i="40"/>
  <c r="AB7" i="40"/>
  <c r="T42" i="40" s="1"/>
  <c r="I46" i="40"/>
  <c r="J46" i="40" s="1"/>
  <c r="AA7" i="40"/>
  <c r="R42" i="40" s="1"/>
  <c r="E42" i="40" s="1"/>
  <c r="E46" i="40" s="1"/>
  <c r="F46" i="40" s="1"/>
  <c r="S7" i="40"/>
  <c r="M68" i="39"/>
  <c r="L70" i="39"/>
  <c r="C52" i="69" l="1"/>
  <c r="B2" i="69" s="1"/>
  <c r="B3" i="69" s="1"/>
  <c r="C75" i="15"/>
  <c r="C56" i="15"/>
  <c r="C65" i="15" s="1"/>
  <c r="C58" i="15" s="1"/>
  <c r="C67" i="15" s="1"/>
  <c r="C68" i="15" s="1"/>
  <c r="C71" i="15" s="1"/>
  <c r="C37" i="15"/>
  <c r="C30" i="15" s="1"/>
  <c r="C39" i="15" s="1"/>
  <c r="J22" i="15"/>
  <c r="J13" i="15"/>
  <c r="J23" i="15" s="1"/>
  <c r="N68" i="39"/>
  <c r="M70" i="39"/>
  <c r="I47" i="40"/>
  <c r="J47" i="40" s="1"/>
  <c r="R43" i="40"/>
  <c r="G42" i="40"/>
  <c r="L51" i="15"/>
  <c r="C57" i="69" l="1"/>
  <c r="C56" i="69" s="1"/>
  <c r="C80" i="15"/>
  <c r="C79" i="15" s="1"/>
  <c r="Q67" i="15"/>
  <c r="C40" i="15"/>
  <c r="Q69" i="15"/>
  <c r="Q68" i="15" s="1"/>
  <c r="J16" i="15"/>
  <c r="J25" i="15" s="1"/>
  <c r="C42" i="40"/>
  <c r="C43" i="40"/>
  <c r="E47" i="40"/>
  <c r="F47" i="40" s="1"/>
  <c r="G46" i="40"/>
  <c r="H46" i="40" s="1"/>
  <c r="G47" i="40"/>
  <c r="H47" i="40" s="1"/>
  <c r="O68" i="39"/>
  <c r="O70" i="39" s="1"/>
  <c r="N70" i="39"/>
  <c r="C46" i="15" l="1"/>
  <c r="C83" i="15"/>
  <c r="C82" i="15" s="1"/>
  <c r="Q47" i="15"/>
  <c r="Q53" i="15" s="1"/>
  <c r="C43" i="15"/>
  <c r="Q56" i="15"/>
  <c r="Q62" i="15" s="1"/>
  <c r="Q65" i="15"/>
  <c r="Q75" i="15" s="1"/>
  <c r="B2" i="15"/>
  <c r="J7" i="39"/>
  <c r="H7" i="39"/>
  <c r="F7" i="39"/>
  <c r="B51" i="40"/>
  <c r="F51" i="40" s="1"/>
  <c r="B55" i="40"/>
  <c r="F55" i="40" s="1"/>
  <c r="B59" i="40"/>
  <c r="F59" i="40" s="1"/>
  <c r="B54" i="40"/>
  <c r="F54" i="40" s="1"/>
  <c r="B58" i="40"/>
  <c r="F58" i="40" s="1"/>
  <c r="B53" i="40"/>
  <c r="F53" i="40" s="1"/>
  <c r="B57" i="40"/>
  <c r="F57" i="40" s="1"/>
  <c r="B52" i="40"/>
  <c r="F52" i="40" s="1"/>
  <c r="B56" i="40"/>
  <c r="F56" i="40" s="1"/>
  <c r="B60" i="40"/>
  <c r="F60" i="40" s="1"/>
  <c r="AO6" i="1"/>
  <c r="D19" i="9"/>
  <c r="D102" i="9" l="1"/>
  <c r="D21" i="9"/>
  <c r="B6" i="70"/>
  <c r="B2" i="70" s="1"/>
  <c r="B3" i="70" s="1"/>
  <c r="B3" i="15"/>
  <c r="AA7" i="39"/>
  <c r="R47" i="39" s="1"/>
  <c r="S7" i="39"/>
  <c r="F61" i="40"/>
  <c r="AB7" i="39"/>
  <c r="T47" i="39" s="1"/>
  <c r="G47" i="39" s="1"/>
  <c r="U7" i="39"/>
  <c r="W7" i="39"/>
  <c r="AC7" i="39"/>
  <c r="V47" i="39" s="1"/>
  <c r="I47" i="39" s="1"/>
  <c r="D20" i="9"/>
  <c r="D103" i="9" l="1"/>
  <c r="G52" i="39"/>
  <c r="H52" i="39" s="1"/>
  <c r="G51" i="39"/>
  <c r="H51" i="39" s="1"/>
  <c r="I51" i="39"/>
  <c r="J51" i="39" s="1"/>
  <c r="B2" i="40"/>
  <c r="B3" i="40" s="1"/>
  <c r="C6" i="68"/>
  <c r="C7" i="68" s="1"/>
  <c r="C5" i="68" s="1"/>
  <c r="R48" i="39"/>
  <c r="E47" i="39"/>
  <c r="E51" i="39" l="1"/>
  <c r="F51" i="39" s="1"/>
  <c r="E52" i="39"/>
  <c r="F52" i="39" s="1"/>
  <c r="C23" i="68"/>
  <c r="C20" i="68"/>
  <c r="C25" i="68" s="1"/>
  <c r="I52" i="39"/>
  <c r="J52" i="39" s="1"/>
  <c r="C48" i="39"/>
  <c r="C47" i="39"/>
  <c r="C28" i="68" l="1"/>
  <c r="C27" i="68" s="1"/>
  <c r="C22" i="68"/>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31" i="68" l="1"/>
  <c r="C52" i="68" s="1"/>
  <c r="C57" i="68" s="1"/>
  <c r="C56" i="68" s="1"/>
  <c r="B2" i="68" l="1"/>
  <c r="C19" i="9"/>
  <c r="B3" i="68"/>
  <c r="C21" i="9" l="1"/>
  <c r="C102" i="9"/>
  <c r="D22" i="9"/>
  <c r="G19" i="9"/>
  <c r="C20" i="9"/>
  <c r="G20" i="9" l="1"/>
  <c r="C103" i="9"/>
  <c r="C32" i="9"/>
  <c r="G21" i="9"/>
  <c r="H118" i="9" l="1"/>
  <c r="C35" i="9"/>
  <c r="F118" i="9" l="1"/>
  <c r="C34" i="9"/>
  <c r="D118" i="9" s="1"/>
  <c r="I118" i="9"/>
  <c r="D14" i="74"/>
  <c r="C104" i="9"/>
  <c r="H119" i="9"/>
  <c r="H5" i="52" s="1"/>
  <c r="H101" i="9"/>
  <c r="H4" i="52"/>
  <c r="B5" i="74" l="1"/>
  <c r="E14" i="74"/>
  <c r="F14" i="74"/>
  <c r="D4" i="52"/>
  <c r="B47" i="72" s="1"/>
  <c r="D119" i="9"/>
  <c r="D5" i="52" s="1"/>
  <c r="B49" i="72" s="1"/>
  <c r="H109" i="9"/>
  <c r="D5" i="53"/>
  <c r="H107" i="9"/>
  <c r="M48" i="9"/>
  <c r="D45" i="9"/>
  <c r="H102" i="9"/>
  <c r="D7" i="53" s="1"/>
  <c r="B21" i="72" s="1"/>
  <c r="I4" i="52"/>
  <c r="C105" i="9"/>
  <c r="F119" i="9"/>
  <c r="F5" i="52" s="1"/>
  <c r="B53" i="72" s="1"/>
  <c r="G118" i="9"/>
  <c r="G4" i="52" s="1"/>
  <c r="B52" i="72" s="1"/>
  <c r="F4" i="52"/>
  <c r="B51" i="72" s="1"/>
  <c r="E118" i="9" l="1"/>
  <c r="E4" i="52" s="1"/>
  <c r="B48" i="72" s="1"/>
  <c r="C78" i="9"/>
  <c r="C73" i="9" s="1"/>
  <c r="D55" i="9"/>
  <c r="M53" i="9" s="1"/>
  <c r="D53" i="9"/>
  <c r="D52" i="9"/>
  <c r="C85" i="9"/>
  <c r="C64" i="9"/>
  <c r="C63" i="9" s="1"/>
  <c r="C67" i="9" s="1"/>
  <c r="C68" i="9" s="1"/>
  <c r="D54" i="9" s="1"/>
  <c r="C93" i="9"/>
  <c r="C86" i="9" s="1"/>
  <c r="C72" i="9"/>
  <c r="H108" i="9"/>
  <c r="D15" i="53" s="1"/>
  <c r="B31" i="72" s="1"/>
  <c r="D122" i="9"/>
  <c r="D13" i="53"/>
  <c r="D124" i="9"/>
  <c r="H110" i="9"/>
  <c r="D18" i="53" s="1"/>
  <c r="B35" i="72" s="1"/>
  <c r="M49" i="9"/>
  <c r="D16" i="53"/>
  <c r="B20" i="72"/>
  <c r="D6" i="53"/>
  <c r="B22" i="72" s="1"/>
  <c r="C5" i="74"/>
  <c r="D5" i="74"/>
  <c r="C79" i="9" l="1"/>
  <c r="C80" i="9" s="1"/>
  <c r="E80" i="9" s="1"/>
  <c r="E81" i="9" s="1"/>
  <c r="D17" i="53"/>
  <c r="B36" i="72" s="1"/>
  <c r="B34" i="72"/>
  <c r="B30" i="72"/>
  <c r="D14" i="53"/>
  <c r="B32" i="72" s="1"/>
  <c r="C95" i="9"/>
  <c r="C96" i="9" s="1"/>
  <c r="E96" i="9" s="1"/>
  <c r="E97" i="9" s="1"/>
  <c r="L66" i="9"/>
  <c r="M66" i="9" s="1"/>
  <c r="L67" i="9"/>
  <c r="M67" i="9" s="1"/>
  <c r="L63" i="9"/>
  <c r="M63" i="9" s="1"/>
  <c r="L68" i="9"/>
  <c r="M68" i="9" s="1"/>
  <c r="L64" i="9"/>
  <c r="M64" i="9" s="1"/>
  <c r="L65" i="9"/>
  <c r="M65" i="9" s="1"/>
  <c r="D125" i="9"/>
  <c r="D11" i="52" s="1"/>
  <c r="D10" i="52"/>
  <c r="H14" i="74"/>
  <c r="B7" i="74" s="1"/>
  <c r="G14" i="74"/>
  <c r="B6" i="74" s="1"/>
  <c r="D123" i="9"/>
  <c r="D9" i="52" s="1"/>
  <c r="D8" i="52"/>
  <c r="C97" i="9" l="1"/>
  <c r="D58" i="9" s="1"/>
  <c r="D56" i="9" s="1"/>
  <c r="M54" i="9" s="1"/>
  <c r="N57" i="9" s="1"/>
  <c r="P57" i="9" s="1"/>
  <c r="C81" i="9"/>
  <c r="D7" i="74"/>
  <c r="C7" i="74"/>
  <c r="M69" i="9"/>
  <c r="N69" i="9" s="1"/>
  <c r="C6" i="74"/>
  <c r="D6" i="74"/>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<sst xmlns="http://schemas.openxmlformats.org/spreadsheetml/2006/main" count="8622" uniqueCount="3206">
  <si>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</si>
  <si>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</si>
  <si>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</si>
  <si>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</si>
  <si>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</si>
  <si>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</si>
  <si>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</si>
  <si>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</si>
  <si>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</si>
  <si>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</si>
  <si>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</si>
  <si>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</si>
  <si>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</si>
  <si>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</si>
  <si>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</si>
  <si>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</si>
  <si>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</si>
  <si>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</si>
  <si>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</si>
  <si>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</si>
  <si>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</si>
  <si>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</si>
  <si>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</si>
  <si>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</si>
  <si>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</si>
  <si>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</si>
  <si>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</si>
  <si>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</si>
  <si>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</si>
  <si>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</si>
  <si>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</si>
  <si>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</si>
  <si>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</si>
  <si>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</si>
  <si>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</si>
  <si>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</si>
  <si>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</si>
  <si>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</si>
  <si>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</si>
  <si>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</si>
  <si>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</si>
  <si>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</si>
  <si>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</si>
  <si>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</si>
  <si>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</si>
  <si>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</si>
  <si>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</si>
  <si>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</si>
  <si>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</si>
  <si>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</si>
  <si>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</si>
  <si>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</si>
  <si>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</si>
  <si>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</si>
  <si>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</si>
  <si>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</si>
  <si>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</si>
  <si>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</si>
  <si>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</si>
  <si>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</si>
  <si>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</si>
  <si>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</si>
  <si>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</si>
  <si>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</si>
  <si>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</si>
  <si>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</si>
  <si>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</si>
  <si>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</si>
  <si>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</si>
  <si>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</si>
  <si>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</si>
  <si>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</si>
  <si>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</si>
  <si>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</si>
  <si>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</si>
  <si>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</si>
  <si>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</si>
  <si>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</si>
  <si>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</si>
  <si>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</si>
  <si>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</si>
  <si>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</si>
  <si>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</si>
  <si>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</si>
  <si>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</si>
  <si>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</si>
  <si>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</si>
  <si>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</si>
  <si>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</si>
  <si>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</si>
  <si>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</si>
  <si>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</si>
  <si>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</si>
  <si>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</si>
  <si>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</si>
  <si>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</si>
  <si>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</si>
  <si>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</si>
  <si>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</si>
  <si>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</si>
  <si>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</si>
  <si>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</si>
  <si>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</si>
  <si>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</si>
  <si>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</si>
  <si>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</si>
  <si>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</si>
  <si>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</si>
  <si>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</si>
  <si>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</si>
  <si>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</si>
  <si>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</si>
  <si>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</si>
  <si>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</si>
  <si>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</si>
  <si>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</si>
  <si>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</si>
  <si>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</si>
  <si>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</si>
  <si>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</si>
  <si>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</si>
  <si>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</si>
  <si>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</si>
  <si>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</si>
  <si>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</si>
  <si>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</si>
  <si>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</si>
  <si>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</si>
  <si>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</si>
  <si>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</si>
  <si>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</si>
  <si>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</si>
  <si>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</si>
  <si>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</si>
  <si>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</si>
  <si>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</si>
  <si>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</si>
  <si>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</si>
  <si>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</si>
  <si>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</si>
  <si>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</si>
  <si>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</si>
  <si>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</si>
  <si>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</si>
  <si>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</si>
  <si>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</si>
  <si>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</si>
  <si>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</si>
  <si>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</si>
  <si>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</si>
  <si>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</si>
  <si>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</si>
  <si>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</si>
  <si>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</si>
  <si>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</si>
  <si>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</si>
  <si>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</si>
  <si>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</si>
  <si>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</si>
  <si>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</si>
  <si>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</si>
  <si>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</si>
  <si>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</si>
  <si>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</si>
  <si>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</si>
  <si>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</si>
  <si>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</si>
  <si>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</si>
  <si>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</si>
  <si>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</si>
  <si>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</si>
  <si>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</si>
  <si>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</si>
  <si>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</si>
  <si>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</si>
  <si>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</si>
  <si>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</si>
  <si>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</si>
  <si>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</si>
  <si>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</si>
  <si>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</si>
  <si>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</si>
  <si>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</si>
  <si>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</si>
  <si>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</si>
  <si>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</si>
  <si>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</si>
  <si>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</si>
  <si>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</si>
  <si>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</si>
  <si>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</si>
  <si>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</si>
  <si>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</si>
  <si>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</si>
  <si>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</si>
  <si>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</si>
  <si>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</si>
  <si>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</si>
  <si>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</si>
  <si>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</si>
  <si>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</si>
  <si>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</si>
  <si>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</si>
  <si>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</si>
  <si>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</si>
  <si>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</si>
  <si>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</si>
  <si>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</si>
  <si>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</si>
  <si>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</si>
  <si>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</si>
  <si>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</si>
  <si>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</si>
  <si>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</si>
  <si>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</si>
  <si>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</si>
  <si>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</si>
  <si>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</si>
  <si>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</si>
  <si>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</si>
  <si>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</si>
  <si>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</si>
  <si>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</si>
  <si>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</si>
  <si>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</si>
  <si>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</si>
  <si>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</si>
  <si>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</si>
  <si>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</si>
  <si>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</si>
  <si>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</si>
  <si>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</si>
  <si>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</si>
  <si>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</si>
  <si>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</si>
  <si>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</si>
  <si>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</si>
  <si>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</si>
  <si>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</si>
  <si>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</si>
  <si>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</si>
  <si>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</si>
  <si>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</si>
  <si>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</si>
  <si>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</si>
  <si>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</si>
  <si>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</si>
  <si>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</si>
  <si>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</si>
  <si>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</si>
  <si>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</si>
  <si>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</si>
  <si>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</si>
  <si>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</si>
  <si>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</si>
  <si>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</si>
  <si>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</si>
  <si>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</si>
  <si>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</si>
  <si>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</si>
  <si>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</si>
  <si>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</si>
  <si>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</si>
  <si>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</si>
  <si>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</si>
  <si>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</si>
  <si>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</si>
  <si>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</si>
  <si>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</si>
  <si>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</si>
  <si>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</si>
  <si>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</si>
  <si>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</si>
  <si>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</si>
  <si>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</si>
  <si>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</si>
  <si>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</si>
  <si>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</si>
  <si>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</si>
  <si>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</si>
  <si>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</si>
  <si>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</si>
  <si>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</si>
  <si>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</si>
  <si>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</si>
  <si>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</si>
  <si>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</si>
  <si>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</si>
  <si>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</si>
  <si>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</si>
  <si>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</si>
  <si>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</si>
  <si>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</si>
  <si>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</si>
  <si>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</si>
  <si>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</si>
  <si>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</si>
  <si>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</si>
  <si>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</si>
  <si>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</si>
  <si>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</si>
  <si>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</si>
  <si>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</si>
  <si>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</si>
  <si>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</si>
  <si>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</si>
  <si>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</si>
  <si>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</si>
  <si>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</si>
  <si>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</si>
  <si>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</si>
  <si>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</si>
  <si>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</si>
  <si>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</si>
  <si>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</si>
  <si>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</si>
  <si>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</si>
  <si>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</si>
  <si>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</si>
  <si>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</si>
  <si>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</si>
  <si>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</si>
  <si>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</si>
  <si>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</si>
  <si>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</si>
  <si>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</si>
  <si>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</si>
  <si>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</si>
  <si>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</si>
  <si>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</si>
  <si>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</si>
  <si>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</si>
  <si>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</si>
  <si>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</si>
  <si>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</si>
  <si>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</si>
  <si>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</si>
  <si>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</si>
  <si>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</si>
  <si>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</si>
  <si>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</si>
  <si>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</si>
  <si>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</si>
  <si>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</si>
  <si>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</si>
  <si>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</si>
  <si>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</si>
  <si>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</si>
  <si>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</si>
  <si>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</si>
  <si>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</si>
  <si>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</si>
  <si>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</si>
  <si>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</si>
  <si>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</si>
  <si>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</si>
  <si>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</si>
  <si>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</si>
  <si>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</si>
  <si>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</si>
  <si>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</si>
  <si>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</si>
  <si>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</si>
  <si>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</si>
  <si>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</si>
  <si>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</si>
  <si>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</si>
  <si>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</si>
  <si>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</si>
  <si>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</si>
  <si>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</si>
  <si>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</si>
  <si>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</si>
  <si>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</si>
  <si>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</si>
  <si>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</si>
  <si>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</si>
  <si>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</si>
  <si>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</si>
  <si>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</si>
  <si>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</si>
  <si>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</si>
  <si>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</si>
  <si>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</si>
  <si>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</si>
  <si>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</si>
  <si>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</si>
  <si>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</si>
  <si>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</si>
  <si>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</si>
  <si>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</si>
  <si>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</si>
  <si>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</si>
  <si>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</si>
  <si>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</si>
  <si>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</si>
  <si>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</si>
  <si>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</si>
  <si>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</si>
  <si>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</si>
  <si>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</si>
  <si>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</si>
  <si>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</si>
  <si>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</si>
  <si>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</si>
  <si>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</si>
  <si>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</si>
  <si>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</si>
  <si>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</si>
  <si>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</si>
  <si>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</si>
  <si>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</si>
  <si>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</si>
  <si>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</si>
  <si>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</si>
  <si>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</si>
  <si>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</si>
  <si>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</si>
  <si>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</si>
  <si>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</si>
  <si>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</si>
  <si>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</si>
  <si>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</si>
  <si>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</si>
  <si>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</si>
  <si>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</si>
  <si>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</si>
  <si>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</si>
  <si>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</si>
  <si>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</si>
  <si>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</si>
  <si>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</si>
  <si>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</si>
  <si>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</si>
  <si>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</si>
  <si>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</si>
  <si>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</si>
  <si>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</si>
  <si>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</si>
  <si>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</si>
  <si>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</si>
  <si>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</si>
  <si>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</si>
  <si>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</si>
  <si>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</si>
  <si>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</si>
  <si>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</si>
  <si>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</si>
  <si>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</si>
  <si>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</si>
  <si>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</si>
  <si>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</si>
  <si>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</si>
  <si>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</si>
  <si>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</si>
  <si>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</si>
  <si>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</si>
  <si>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</si>
  <si>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</si>
  <si>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</si>
  <si>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</si>
  <si>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</si>
  <si>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</si>
  <si>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</si>
  <si>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</si>
  <si>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</si>
  <si>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</si>
  <si>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</si>
  <si>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</si>
  <si>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</si>
  <si>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</si>
  <si>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</si>
  <si>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</si>
  <si>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</si>
  <si>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</si>
  <si>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</si>
  <si>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</si>
  <si>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</si>
  <si>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</si>
  <si>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</si>
  <si>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</si>
  <si>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</si>
  <si>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</si>
  <si>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</si>
  <si>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</si>
  <si>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</si>
  <si>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</si>
  <si>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</si>
  <si>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</si>
  <si>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</si>
  <si>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</si>
  <si>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</si>
  <si>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</si>
  <si>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</si>
  <si>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</si>
  <si>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</si>
  <si>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</si>
  <si>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</si>
  <si>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</si>
  <si>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</si>
  <si>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</si>
  <si>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</si>
  <si>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</si>
  <si>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</si>
  <si>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</si>
  <si>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</si>
  <si>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</si>
  <si>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</si>
  <si>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</si>
  <si>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</si>
  <si>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</si>
  <si>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</si>
  <si>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</si>
  <si>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</si>
  <si>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</si>
  <si>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</si>
  <si>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</si>
  <si>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</si>
  <si>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</si>
  <si>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</si>
  <si>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</si>
  <si>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</si>
  <si>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</si>
  <si>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</si>
  <si>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</si>
  <si>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</si>
  <si>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</si>
  <si>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</si>
  <si>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</si>
  <si>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</si>
  <si>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</si>
  <si>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</si>
  <si>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</si>
  <si>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</si>
  <si>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</si>
  <si>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</si>
  <si>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</si>
  <si>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</si>
  <si>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</si>
  <si>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</si>
  <si>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</si>
  <si>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</si>
  <si>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</si>
  <si>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</si>
  <si>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</si>
  <si>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</si>
  <si>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</si>
  <si>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</si>
  <si>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</si>
  <si>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</si>
  <si>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</si>
  <si>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</si>
  <si>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</si>
  <si>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</si>
  <si>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</si>
  <si>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</si>
  <si>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</si>
  <si>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</si>
  <si>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</si>
  <si>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</si>
  <si>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</si>
  <si>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</si>
  <si>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</si>
  <si>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</si>
  <si>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</si>
  <si>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</si>
  <si>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</si>
  <si>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</si>
  <si>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</si>
  <si>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</si>
  <si>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</si>
  <si>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</si>
  <si>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</si>
  <si>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</si>
  <si>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</si>
  <si>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</si>
  <si>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</si>
  <si>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</si>
  <si>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</si>
  <si>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</si>
  <si>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</si>
  <si>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</si>
  <si>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</si>
  <si>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</si>
  <si>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</si>
  <si>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</si>
  <si>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</si>
  <si>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</si>
  <si>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</si>
  <si>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</si>
  <si>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</si>
  <si>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</si>
  <si>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</si>
  <si>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</si>
  <si>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</si>
  <si>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</si>
  <si>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</si>
  <si>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</si>
  <si>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</si>
  <si>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</si>
  <si>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</si>
  <si>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</si>
  <si>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</si>
  <si>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</si>
  <si>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</si>
  <si>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</si>
  <si>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</si>
  <si>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</si>
  <si>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</si>
  <si>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</si>
  <si>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</si>
  <si>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</si>
  <si>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</si>
  <si>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</si>
  <si>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</si>
  <si>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</si>
  <si>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</si>
  <si>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</si>
  <si>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</si>
  <si>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</si>
  <si>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</si>
  <si>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</si>
  <si>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</si>
  <si>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</si>
  <si>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</si>
  <si>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</si>
  <si>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</si>
  <si>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</si>
  <si>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</si>
  <si>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</si>
  <si>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</si>
  <si>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</si>
  <si>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</si>
  <si>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</si>
  <si>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</si>
  <si>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</si>
  <si>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</si>
  <si>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</si>
  <si>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</si>
  <si>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</si>
  <si>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</si>
  <si>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</si>
  <si>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</si>
  <si>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</si>
  <si>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</si>
  <si>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</si>
  <si>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</si>
  <si>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</si>
  <si>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</si>
  <si>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</si>
  <si>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</si>
  <si>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</si>
  <si>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</si>
  <si>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</si>
  <si>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</si>
  <si>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</si>
  <si>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</si>
  <si>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</si>
  <si>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</si>
  <si>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</si>
  <si>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</si>
  <si>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</si>
  <si>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</si>
  <si>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</si>
  <si>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</si>
  <si>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</si>
  <si>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</si>
  <si>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</si>
  <si>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</si>
  <si>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</si>
  <si>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</si>
  <si>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</si>
  <si>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</si>
  <si>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</si>
  <si>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</si>
  <si>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</si>
  <si>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</si>
  <si>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</si>
  <si>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</si>
  <si>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</si>
  <si>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</si>
  <si>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</si>
  <si>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</si>
  <si>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</si>
  <si>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</si>
  <si>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</si>
  <si>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</si>
  <si>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</si>
  <si>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</si>
  <si>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</si>
  <si>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</si>
  <si>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</si>
  <si>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</si>
  <si>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</si>
  <si>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</si>
  <si>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</si>
  <si>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</si>
  <si>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</si>
  <si>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</si>
  <si>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</si>
  <si>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</si>
  <si>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</si>
  <si>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</si>
  <si>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</si>
  <si>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</si>
  <si>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</si>
  <si>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</si>
  <si>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</si>
  <si>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</si>
  <si>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</si>
  <si>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</si>
  <si>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</si>
  <si>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</si>
  <si>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</si>
  <si>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</si>
  <si>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</si>
  <si>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</si>
  <si>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</si>
  <si>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</si>
  <si>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</si>
  <si>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</si>
  <si>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</si>
  <si>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</si>
  <si>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</si>
  <si>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</si>
  <si>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</si>
  <si>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</si>
  <si>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</si>
  <si>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</si>
  <si>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</si>
  <si>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</si>
  <si>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</si>
  <si>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</si>
  <si>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</si>
  <si>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</si>
  <si>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</si>
  <si>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</si>
  <si>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</si>
  <si>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</si>
  <si>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</si>
  <si>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</si>
  <si>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</si>
  <si>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</si>
  <si>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</si>
  <si>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</si>
  <si>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</si>
  <si>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</si>
  <si>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</si>
  <si>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</si>
  <si>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</si>
  <si>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</si>
  <si>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</si>
  <si>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</si>
  <si>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</si>
  <si>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</si>
  <si>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</si>
  <si>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</si>
  <si>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</si>
  <si>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</si>
  <si>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</si>
  <si>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</si>
  <si>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</si>
  <si>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</si>
  <si>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</si>
  <si>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</si>
  <si>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</si>
  <si>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</si>
  <si>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</si>
  <si>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</si>
  <si>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</si>
  <si>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</si>
  <si>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</si>
  <si>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</si>
  <si>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</si>
  <si>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</si>
  <si>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</si>
  <si>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</si>
  <si>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</si>
  <si>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</si>
  <si>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</si>
  <si>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</si>
  <si>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</si>
  <si>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</si>
  <si>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</si>
  <si>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</si>
  <si>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</si>
  <si>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</si>
  <si>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</si>
  <si>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</si>
  <si>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</si>
  <si>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</si>
  <si>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</si>
  <si>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</si>
  <si>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</si>
  <si>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</si>
  <si>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</si>
  <si>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</si>
  <si>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</si>
  <si>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</si>
  <si>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</si>
  <si>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</si>
  <si>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</si>
  <si>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</si>
  <si>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</si>
  <si>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</si>
  <si>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</si>
  <si>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</si>
  <si>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</si>
  <si>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</si>
  <si>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</si>
  <si>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</si>
  <si>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</si>
  <si>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</si>
  <si>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</si>
  <si>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</si>
  <si>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</si>
  <si>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</si>
  <si>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</si>
  <si>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</si>
  <si>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</si>
  <si>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</si>
  <si>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</si>
  <si>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</si>
  <si>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</si>
  <si>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</si>
  <si>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</si>
  <si>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</si>
  <si>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</si>
  <si>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</si>
  <si>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</si>
  <si>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</si>
  <si>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</si>
  <si>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</si>
  <si>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</si>
  <si>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</si>
  <si>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</si>
  <si>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</si>
  <si>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</si>
  <si>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</si>
  <si>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</si>
  <si>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</si>
  <si>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</si>
  <si>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</si>
  <si>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</si>
  <si>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</si>
  <si>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</si>
  <si>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</si>
  <si>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</si>
  <si>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</si>
  <si>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</si>
  <si>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</si>
  <si>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</si>
  <si>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</si>
  <si>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</si>
  <si>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</si>
  <si>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</si>
  <si>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</si>
  <si>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</si>
  <si>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</si>
  <si>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</si>
  <si>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</si>
  <si>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</si>
  <si>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</si>
  <si>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</si>
  <si>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</si>
  <si>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</si>
  <si>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</si>
  <si>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</si>
  <si>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</si>
  <si>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</si>
  <si>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</si>
  <si>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</si>
  <si>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</si>
  <si>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</si>
  <si>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</si>
  <si>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</si>
  <si>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</si>
  <si>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</si>
  <si>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</si>
  <si>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</si>
  <si>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</si>
  <si>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</si>
  <si>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</si>
  <si>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</si>
  <si>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</si>
  <si>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</si>
  <si>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</si>
  <si>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</si>
  <si>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</si>
  <si>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</si>
  <si>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</si>
  <si>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</si>
  <si>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</si>
  <si>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</si>
  <si>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</si>
  <si>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</si>
  <si>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</si>
  <si>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</si>
  <si>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</si>
  <si>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</si>
  <si>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</si>
  <si>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</si>
  <si>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</si>
  <si>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</si>
  <si>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</si>
  <si>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</si>
  <si>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</si>
  <si>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</si>
  <si>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</si>
  <si>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</si>
  <si>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</si>
  <si>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</si>
  <si>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</si>
  <si>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</si>
  <si>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</si>
  <si>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</si>
  <si>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</si>
  <si>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</si>
  <si>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</si>
  <si>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</si>
  <si>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</si>
  <si>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</si>
  <si>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</si>
  <si>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</si>
  <si>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</si>
  <si>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</si>
  <si>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</si>
  <si>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</si>
  <si>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</si>
  <si>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</si>
  <si>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</si>
  <si>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</si>
  <si>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</si>
  <si>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</si>
  <si>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</si>
  <si>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</si>
  <si>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</si>
  <si>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</si>
  <si>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</si>
  <si>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</si>
  <si>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</si>
  <si>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</si>
  <si>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</si>
  <si>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</si>
  <si>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</si>
  <si>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</si>
  <si>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</si>
  <si>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</si>
  <si>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</si>
  <si>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</si>
  <si>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</si>
  <si>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</si>
  <si>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</si>
  <si>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</si>
  <si>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</si>
  <si>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</si>
  <si>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</si>
  <si>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</si>
  <si>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</si>
  <si>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</si>
  <si>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</si>
  <si>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</si>
  <si>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</si>
  <si>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</si>
  <si>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</si>
  <si>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</si>
  <si>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</si>
  <si>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</si>
  <si>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</si>
  <si>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</si>
  <si>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</si>
  <si>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</si>
  <si>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</si>
  <si>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</si>
  <si>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</si>
  <si>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</si>
  <si>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</si>
  <si>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</si>
  <si>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</si>
  <si>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</si>
  <si>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</si>
  <si>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</si>
  <si>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</si>
  <si>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</si>
  <si>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</si>
  <si>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</si>
  <si>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</si>
  <si>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</si>
  <si>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</si>
  <si>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</si>
  <si>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</si>
  <si>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</si>
  <si>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</si>
  <si>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</si>
  <si>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</si>
  <si>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</si>
  <si>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</si>
  <si>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</si>
  <si>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</si>
  <si>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</si>
  <si>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</si>
  <si>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</si>
  <si>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</si>
  <si>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</si>
  <si>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</si>
  <si>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</si>
  <si>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</si>
  <si>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</si>
  <si>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</si>
  <si>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</si>
  <si>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</si>
  <si>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</si>
  <si>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</si>
  <si>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</si>
  <si>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</si>
  <si>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</si>
  <si>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</si>
  <si>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</si>
  <si>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</si>
  <si>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</si>
  <si>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</si>
  <si>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</si>
  <si>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</si>
  <si>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</si>
  <si>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</si>
  <si>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</si>
  <si>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</si>
  <si>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</si>
  <si>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</si>
  <si>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</si>
  <si>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</si>
  <si>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</si>
  <si>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</si>
  <si>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</si>
  <si>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</si>
  <si>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</si>
  <si>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</si>
  <si>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</si>
  <si>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</si>
  <si>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</si>
  <si>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</si>
  <si>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</si>
  <si>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</si>
  <si>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</si>
  <si>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</si>
  <si>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</si>
  <si>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</si>
  <si>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</si>
  <si>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</si>
  <si>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</si>
  <si>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</si>
  <si>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</si>
  <si>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</si>
  <si>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</si>
  <si>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</si>
  <si>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</si>
  <si>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</si>
  <si>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</si>
  <si>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</si>
  <si>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</si>
  <si>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</si>
  <si>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</si>
  <si>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</si>
  <si>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</si>
  <si>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</si>
  <si>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</si>
  <si>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</si>
  <si>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</si>
  <si>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</si>
  <si>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</si>
  <si>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</si>
  <si>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</si>
  <si>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</si>
  <si>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</si>
  <si>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</si>
  <si>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</si>
  <si>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</si>
  <si>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</si>
  <si>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</si>
  <si>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</si>
  <si>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</si>
  <si>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</si>
  <si>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</si>
  <si>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</si>
  <si>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</si>
  <si>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</si>
  <si>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</si>
  <si>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</si>
  <si>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</si>
  <si>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</si>
  <si>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</si>
  <si>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</si>
  <si>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</si>
  <si>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</si>
  <si>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</si>
  <si>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</si>
  <si>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</si>
  <si>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</si>
  <si>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</si>
  <si>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</si>
  <si>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</si>
  <si>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</si>
  <si>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</si>
  <si>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</si>
  <si>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</si>
  <si>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</si>
  <si>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</si>
  <si>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</si>
  <si>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</si>
  <si>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</si>
  <si>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</si>
  <si>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</si>
  <si>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</si>
  <si>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</si>
  <si>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</si>
  <si>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</si>
  <si>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</si>
  <si>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</si>
  <si>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</si>
  <si>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</si>
  <si>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</si>
  <si>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</si>
  <si>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</si>
  <si>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</si>
  <si>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</si>
  <si>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</si>
  <si>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</si>
  <si>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</si>
  <si>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</si>
  <si>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</si>
  <si>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</si>
  <si>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</si>
  <si>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</si>
  <si>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</si>
  <si>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</si>
  <si>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</si>
  <si>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</si>
  <si>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</si>
  <si>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</si>
  <si>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</si>
  <si>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</si>
  <si>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</si>
  <si>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</si>
  <si>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</si>
  <si>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</si>
  <si>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</si>
  <si>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</si>
  <si>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</si>
  <si>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</si>
  <si>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</si>
  <si>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</si>
  <si>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</si>
  <si>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</si>
  <si>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</si>
  <si>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</si>
  <si>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</si>
  <si>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</si>
  <si>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</si>
  <si>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</si>
  <si>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</si>
  <si>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</si>
  <si>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</si>
  <si>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</si>
  <si>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</si>
  <si>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</si>
  <si>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</si>
  <si>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</si>
  <si>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</si>
  <si>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</si>
  <si>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</si>
  <si>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</si>
  <si>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</si>
  <si>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</si>
  <si>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</si>
  <si>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</si>
  <si>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</si>
  <si>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</si>
  <si>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</si>
  <si>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</si>
  <si>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</si>
  <si>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</si>
  <si>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</si>
  <si>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</si>
  <si>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</si>
  <si>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</si>
  <si>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</si>
  <si>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</si>
  <si>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</si>
  <si>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</si>
  <si>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</si>
  <si>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</si>
  <si>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</si>
  <si>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</si>
  <si>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</si>
  <si>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</si>
  <si>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</si>
  <si>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</si>
  <si>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</si>
  <si>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</si>
  <si>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</si>
  <si>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</si>
  <si>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</si>
  <si>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</si>
  <si>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</si>
  <si>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</si>
  <si>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</si>
  <si>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</si>
  <si>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</si>
  <si>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</si>
  <si>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</si>
  <si>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</si>
  <si>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</si>
  <si>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</si>
  <si>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</si>
  <si>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</si>
  <si>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</si>
  <si>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</si>
  <si>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</si>
  <si>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</si>
  <si>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</si>
  <si>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</si>
  <si>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</si>
  <si>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</si>
  <si>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</si>
  <si>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</si>
  <si>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</si>
  <si>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</si>
  <si>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</si>
  <si>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</si>
  <si>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</si>
  <si>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</si>
  <si>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</si>
  <si>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</si>
  <si>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</si>
  <si>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</si>
  <si>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</si>
  <si>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</si>
  <si>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</si>
  <si>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</si>
  <si>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</si>
  <si>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</si>
  <si>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</si>
  <si>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</si>
  <si>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</si>
  <si>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</si>
  <si>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</si>
  <si>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</si>
  <si>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</si>
  <si>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</si>
  <si>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</si>
  <si>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</si>
  <si>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</si>
  <si>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</si>
  <si>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</si>
  <si>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</si>
  <si>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</si>
  <si>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</si>
  <si>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</si>
  <si>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</si>
  <si>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</si>
  <si>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</si>
  <si>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</si>
  <si>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</si>
  <si>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</si>
  <si>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</si>
  <si>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</si>
  <si>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</si>
  <si>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</si>
  <si>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</si>
  <si>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</si>
  <si>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</si>
  <si>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</si>
  <si>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</si>
  <si>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</si>
  <si>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</si>
  <si>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</si>
  <si>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</si>
  <si>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</si>
  <si>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</si>
  <si>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</si>
  <si>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</si>
  <si>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</si>
  <si>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</si>
  <si>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</si>
  <si>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</si>
  <si>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</si>
  <si>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</si>
  <si>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</si>
  <si>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</si>
  <si>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</si>
  <si>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</si>
  <si>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</si>
  <si>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</si>
  <si>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</si>
  <si>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</si>
  <si>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</si>
  <si>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</si>
  <si>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</si>
  <si>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</si>
  <si>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</si>
  <si>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</si>
  <si>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</si>
  <si>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</si>
  <si>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</si>
  <si>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</si>
  <si>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</si>
  <si>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</si>
  <si>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</si>
  <si>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</si>
  <si>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</si>
  <si>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</si>
  <si>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</si>
  <si>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</si>
  <si>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</si>
  <si>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</si>
  <si>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</si>
  <si>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</si>
  <si>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</si>
  <si>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</si>
  <si>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</si>
  <si>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</si>
  <si>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</si>
  <si>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</si>
  <si>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</si>
  <si>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</si>
  <si>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</si>
  <si>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</si>
  <si>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</si>
  <si>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</si>
  <si>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</si>
  <si>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</si>
  <si>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</si>
  <si>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</si>
  <si>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</si>
  <si>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</si>
  <si>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</si>
  <si>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</si>
  <si>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</si>
  <si>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</si>
  <si>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</si>
  <si>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</si>
  <si>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</si>
  <si>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</si>
  <si>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</si>
  <si>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</si>
  <si>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</si>
  <si>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</si>
  <si>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</si>
  <si>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</si>
  <si>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</si>
  <si>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</si>
  <si>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</si>
  <si>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</si>
  <si>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</si>
  <si>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</si>
  <si>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</si>
  <si>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</si>
  <si>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</si>
  <si>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</si>
  <si>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</si>
  <si>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</si>
  <si>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</si>
  <si>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</si>
  <si>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</si>
  <si>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</si>
  <si>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</si>
  <si>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</si>
  <si>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</si>
  <si>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</si>
  <si>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</si>
  <si>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</si>
  <si>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</si>
  <si>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</si>
  <si>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</si>
  <si>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</si>
  <si>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</si>
  <si>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</si>
  <si>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</si>
  <si>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</si>
  <si>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</si>
  <si>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</si>
  <si>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</si>
  <si>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</si>
  <si>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</si>
  <si>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</si>
  <si>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</si>
  <si>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</si>
  <si>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</si>
  <si>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</si>
  <si>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</si>
  <si>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</si>
  <si>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</si>
  <si>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</si>
  <si>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</si>
  <si>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</si>
  <si>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</si>
  <si>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</si>
  <si>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</si>
  <si>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</si>
  <si>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</si>
  <si>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</si>
  <si>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</si>
  <si>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</si>
  <si>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</si>
  <si>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</si>
  <si>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</si>
  <si>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</si>
  <si>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</si>
  <si>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</si>
  <si>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</si>
  <si>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</si>
  <si>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</si>
  <si>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</si>
  <si>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</si>
  <si>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</si>
  <si>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</si>
  <si>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</si>
  <si>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</si>
  <si>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</si>
  <si>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</si>
  <si>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</si>
  <si>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</si>
  <si>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</si>
  <si>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</si>
  <si>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</si>
  <si>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</si>
  <si>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</si>
  <si>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</si>
  <si>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</si>
  <si>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</si>
  <si>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</si>
  <si>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</si>
  <si>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</si>
  <si>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</si>
  <si>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</si>
  <si>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</si>
  <si>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</si>
  <si>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</si>
  <si>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</si>
  <si>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</si>
  <si>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</si>
  <si>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</si>
  <si>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</si>
  <si>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</si>
  <si>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</si>
  <si>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</si>
  <si>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</si>
  <si>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</si>
  <si>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</si>
  <si>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</si>
  <si>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</si>
  <si>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</si>
  <si>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</si>
  <si>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</si>
  <si>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</si>
  <si>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</si>
  <si>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</si>
  <si>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</si>
  <si>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</si>
  <si>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</si>
  <si>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</si>
  <si>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</si>
  <si>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</si>
  <si>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</si>
  <si>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</si>
  <si>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</si>
  <si>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</si>
  <si>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</si>
  <si>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</si>
  <si>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</si>
  <si>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</si>
  <si>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</si>
  <si>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</si>
  <si>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</si>
  <si>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</si>
  <si>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</si>
  <si>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</si>
  <si>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</si>
  <si>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</si>
  <si>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</si>
  <si>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</si>
  <si>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</si>
  <si>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</si>
  <si>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</si>
  <si>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</si>
  <si>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</si>
  <si>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</si>
  <si>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</si>
  <si>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</si>
  <si>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</si>
  <si>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</si>
  <si>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</si>
  <si>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</si>
  <si>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</si>
  <si>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</si>
  <si>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</si>
  <si>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</si>
  <si>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</si>
  <si>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</si>
  <si>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</si>
  <si>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</si>
  <si>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</si>
  <si>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</si>
  <si>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</si>
  <si>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</si>
  <si>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</si>
  <si>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</si>
  <si>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</si>
  <si>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</si>
  <si>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</si>
  <si>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</si>
  <si>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</si>
  <si>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</si>
  <si>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</si>
  <si>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</si>
  <si>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</si>
  <si>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</si>
  <si>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</si>
  <si>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</si>
  <si>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</si>
  <si>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</si>
  <si>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</si>
  <si>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</si>
  <si>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</si>
  <si>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</si>
  <si>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</si>
  <si>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</si>
  <si>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</si>
  <si>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</si>
  <si>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</si>
  <si>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</si>
  <si>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</si>
  <si>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</si>
  <si>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</si>
  <si>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</si>
  <si>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</si>
  <si>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</si>
  <si>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</si>
  <si>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</si>
  <si>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</si>
  <si>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</si>
  <si>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</si>
  <si>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</si>
  <si>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</si>
  <si>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</si>
  <si>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</si>
  <si>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</si>
  <si>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</si>
  <si>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</si>
  <si>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</si>
  <si>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</si>
  <si>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</si>
  <si>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</si>
  <si>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</si>
  <si>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</si>
  <si>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</si>
  <si>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</si>
  <si>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</si>
  <si>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</si>
  <si>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</si>
  <si>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</si>
  <si>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</si>
  <si>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</si>
  <si>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</si>
  <si>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</si>
  <si>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</si>
  <si>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</si>
  <si>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</si>
  <si>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</si>
  <si>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</si>
  <si>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</si>
  <si>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</si>
  <si>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</si>
  <si>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</si>
  <si>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</si>
  <si>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</si>
  <si>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</si>
  <si>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</si>
  <si>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</si>
  <si>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</si>
  <si>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</si>
  <si>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</si>
  <si>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</si>
  <si>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</si>
  <si>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</si>
  <si>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</si>
  <si>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</si>
  <si>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</si>
  <si>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</si>
  <si>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</si>
  <si>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</si>
  <si>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</si>
  <si>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</si>
  <si>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</si>
  <si>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</si>
  <si>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</si>
  <si>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</si>
  <si>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</si>
  <si>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</si>
  <si>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</si>
  <si>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</si>
  <si>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</si>
  <si>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</si>
  <si>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</si>
  <si>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</si>
  <si>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</si>
  <si>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</si>
  <si>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</si>
  <si>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</si>
  <si>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</si>
  <si>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</si>
  <si>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</si>
  <si>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</si>
  <si>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</si>
  <si>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</si>
  <si>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</si>
  <si>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</si>
  <si>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</si>
  <si>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</si>
  <si>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</si>
  <si>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</si>
  <si>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</si>
  <si>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</si>
  <si>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</si>
  <si>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</si>
  <si>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</si>
  <si>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</si>
  <si>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</si>
  <si>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</si>
  <si>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</si>
  <si>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</si>
  <si>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</si>
  <si>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</si>
  <si>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</si>
  <si>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</si>
  <si>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</si>
  <si>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</si>
  <si>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</si>
  <si>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</si>
  <si>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</si>
  <si>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</si>
  <si>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</si>
  <si>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</si>
  <si>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</si>
  <si>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</si>
  <si>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</si>
  <si>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</si>
  <si>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</si>
  <si>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</si>
  <si>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</si>
  <si>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</si>
  <si>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</si>
  <si>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</si>
  <si>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</si>
  <si>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</si>
  <si>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</si>
  <si>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</si>
  <si>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</si>
  <si>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</si>
  <si>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</si>
  <si>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</si>
  <si>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</si>
  <si>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</si>
  <si>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</si>
  <si>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</si>
  <si>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</si>
  <si>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</si>
  <si>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</si>
  <si>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</si>
  <si>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</si>
  <si>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</si>
  <si>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</si>
  <si>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</si>
  <si>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</si>
  <si>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</si>
  <si>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</si>
  <si>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</si>
  <si>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</si>
  <si>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</si>
  <si>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</si>
  <si>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</si>
  <si>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</si>
  <si>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</si>
  <si>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</si>
  <si>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</si>
  <si>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</si>
  <si>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</si>
  <si>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</si>
  <si>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</si>
  <si>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</si>
  <si>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</si>
  <si>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</si>
  <si>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</si>
  <si>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</si>
  <si>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</si>
  <si>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</si>
  <si>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</si>
  <si>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</si>
  <si>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</si>
  <si>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</si>
  <si>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</si>
  <si>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</si>
  <si>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</si>
  <si>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</si>
  <si>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</si>
  <si>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</si>
  <si>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</si>
  <si>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</si>
  <si>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</si>
  <si>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</si>
  <si>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</si>
  <si>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</si>
  <si>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</si>
  <si>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</si>
  <si>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</si>
  <si>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</si>
  <si>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</si>
  <si>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</si>
  <si>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</si>
  <si>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</si>
  <si>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</si>
  <si>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</si>
  <si>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</si>
  <si>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</si>
  <si>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</si>
  <si>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</si>
  <si>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</si>
  <si>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</si>
  <si>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</si>
  <si>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</si>
  <si>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</si>
  <si>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</si>
  <si>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</si>
  <si>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</si>
  <si>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</si>
  <si>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</si>
  <si>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</si>
  <si>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</si>
  <si>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</si>
  <si>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</si>
  <si>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</si>
  <si>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</si>
  <si>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</si>
  <si>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</si>
  <si>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</si>
  <si>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</si>
  <si>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</si>
  <si>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</si>
  <si>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</si>
  <si>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</si>
  <si>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</si>
  <si>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</si>
  <si>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</si>
  <si>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</si>
  <si>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</si>
  <si>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</si>
  <si>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</si>
  <si>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</si>
  <si>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</si>
  <si>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</si>
  <si>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</si>
  <si>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</si>
  <si>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</si>
  <si>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</si>
  <si>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</si>
  <si>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</si>
  <si>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</si>
  <si>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</si>
  <si>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</si>
  <si>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</si>
  <si>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</si>
  <si>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</si>
  <si>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</si>
  <si>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</si>
  <si>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</si>
  <si>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</si>
  <si>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</si>
  <si>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</si>
  <si>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</si>
  <si>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</si>
  <si>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</si>
  <si>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</si>
  <si>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</si>
  <si>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</si>
  <si>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</si>
  <si>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</si>
  <si>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</si>
  <si>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</si>
  <si>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</si>
  <si>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</si>
  <si>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</si>
  <si>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</si>
  <si>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</si>
  <si>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</si>
  <si>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</si>
  <si>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</si>
  <si>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</si>
  <si>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</si>
  <si>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</si>
  <si>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</si>
  <si>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</si>
  <si>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</si>
  <si>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</si>
  <si>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</si>
  <si>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</si>
  <si>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</si>
  <si>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</si>
  <si>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</si>
  <si>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</si>
  <si>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</si>
  <si>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</si>
  <si>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</si>
  <si>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</si>
  <si>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</si>
  <si>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</si>
  <si>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</si>
  <si>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</si>
  <si>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</si>
  <si>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</si>
  <si>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</si>
  <si>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</si>
  <si>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</si>
  <si>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</si>
  <si>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</si>
  <si>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</si>
  <si>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</si>
  <si>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</si>
  <si>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</si>
  <si>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</si>
  <si>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</si>
  <si>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</si>
  <si>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</si>
  <si>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</si>
  <si>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</si>
  <si>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</si>
  <si>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</si>
  <si>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</si>
  <si>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</si>
  <si>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</si>
  <si>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</si>
  <si>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</si>
  <si>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</si>
  <si>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</si>
  <si>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</si>
  <si>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</si>
  <si>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</si>
  <si>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</si>
  <si>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</si>
  <si>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</si>
  <si>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</si>
  <si>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</si>
  <si>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</si>
  <si>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</si>
  <si>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</si>
  <si>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</si>
  <si>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</si>
  <si>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</si>
  <si>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</si>
  <si>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</si>
  <si>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</si>
  <si>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</si>
  <si>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</si>
  <si>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</si>
  <si>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</si>
  <si>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</si>
  <si>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</si>
  <si>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</si>
  <si>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</si>
  <si>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</si>
  <si>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</si>
  <si>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</si>
  <si>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</si>
  <si>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</si>
  <si>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</si>
  <si>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</si>
  <si>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</si>
  <si>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</si>
  <si>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</si>
  <si>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</si>
  <si>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</si>
  <si>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</si>
  <si>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</si>
  <si>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</si>
  <si>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</si>
  <si>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</si>
  <si>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</si>
  <si>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</si>
  <si>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</si>
  <si>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</si>
  <si>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</si>
  <si>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</si>
  <si>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</si>
  <si>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</si>
  <si>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</si>
  <si>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</si>
  <si>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</si>
  <si>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</si>
  <si>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</si>
  <si>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</si>
  <si>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</si>
  <si>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</si>
  <si>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</si>
  <si>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</si>
  <si>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</si>
  <si>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</si>
  <si>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</si>
  <si>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</si>
  <si>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</si>
  <si>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</si>
  <si>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</si>
  <si>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</si>
  <si>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</si>
  <si>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</si>
  <si>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</si>
  <si>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</si>
  <si>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</si>
  <si>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</si>
  <si>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</si>
  <si>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</si>
  <si>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</si>
  <si>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</si>
  <si>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</si>
  <si>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</si>
  <si>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</si>
  <si>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</si>
  <si>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</si>
  <si>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</si>
  <si>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</si>
  <si>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</si>
  <si>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</si>
  <si>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</si>
  <si>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</si>
  <si>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</si>
  <si>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</si>
  <si>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</si>
  <si>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</si>
  <si>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</si>
  <si>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</si>
  <si>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</si>
  <si>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</si>
  <si>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</si>
  <si>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</si>
  <si>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</si>
  <si>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</si>
  <si>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</si>
  <si>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</si>
  <si>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</si>
  <si>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</si>
  <si>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</si>
  <si>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</si>
  <si>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</si>
  <si>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</si>
  <si>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</si>
  <si>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</si>
  <si>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</si>
  <si>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</si>
  <si>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</si>
  <si>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</si>
  <si>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</si>
  <si>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</si>
  <si>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</si>
  <si>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</si>
  <si>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</si>
  <si>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</si>
  <si>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</si>
  <si>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</si>
  <si>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</si>
  <si>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</si>
  <si>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</si>
  <si>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</si>
  <si>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</si>
  <si>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</si>
  <si>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</si>
  <si>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</si>
  <si>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</si>
  <si>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</si>
  <si>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</si>
  <si>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</si>
  <si>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</si>
  <si>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</si>
  <si>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</si>
  <si>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</si>
  <si>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</si>
  <si>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</si>
  <si>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</si>
  <si>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</si>
  <si>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</si>
  <si>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</si>
  <si>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</si>
  <si>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</si>
  <si>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</si>
  <si>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</si>
  <si>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</si>
  <si>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</si>
  <si>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</si>
  <si>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</si>
  <si>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</si>
  <si>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</si>
  <si>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</si>
  <si>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</si>
  <si>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</si>
  <si>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</si>
  <si>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</si>
  <si>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</si>
  <si>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</si>
  <si>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</si>
  <si>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</si>
  <si>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</si>
  <si>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</si>
  <si>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</si>
  <si>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</si>
  <si>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</si>
  <si>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</si>
  <si>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</si>
  <si>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</si>
  <si>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</si>
  <si>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</si>
  <si>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</si>
  <si>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</si>
  <si>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</si>
  <si>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</si>
  <si>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</si>
  <si>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</si>
  <si>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</si>
  <si>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</si>
  <si>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</si>
  <si>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</si>
  <si>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</si>
  <si>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</si>
  <si>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</si>
  <si>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</si>
  <si>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</si>
  <si>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</si>
  <si>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</si>
  <si>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</si>
  <si>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</si>
  <si>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</si>
  <si>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</si>
  <si>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</si>
  <si>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</si>
  <si>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</si>
  <si>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</si>
  <si>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</si>
  <si>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</si>
  <si>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</si>
  <si>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</si>
  <si>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</si>
  <si>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</si>
  <si>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</si>
  <si>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</si>
  <si>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</si>
  <si>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</si>
  <si>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</si>
  <si>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</si>
  <si>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</si>
  <si>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</si>
  <si>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</si>
  <si>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</si>
  <si>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</si>
  <si>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</si>
  <si>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</si>
  <si>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</si>
  <si>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</si>
  <si>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</si>
  <si>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</si>
  <si>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</si>
  <si>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</si>
  <si>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</si>
  <si>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</si>
  <si>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</si>
  <si>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</si>
  <si>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</si>
  <si>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</si>
  <si>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</si>
  <si>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</si>
  <si>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</si>
  <si>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</si>
  <si>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</si>
  <si>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</si>
  <si>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</si>
  <si>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</si>
  <si>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</si>
  <si>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</si>
  <si>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</si>
  <si>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</si>
  <si>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</si>
  <si>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</si>
  <si>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</si>
  <si>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</si>
  <si>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</si>
  <si>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</si>
  <si>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</si>
  <si>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</si>
  <si>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</si>
  <si>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</si>
  <si>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</si>
  <si>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</si>
  <si>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</si>
  <si>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</si>
  <si>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</si>
  <si>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</si>
  <si>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</si>
  <si>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</si>
  <si>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</si>
  <si>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</si>
  <si>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</si>
  <si>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</si>
  <si>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</si>
  <si>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</si>
  <si>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</si>
  <si>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</si>
  <si>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</si>
  <si>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</si>
  <si>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</si>
  <si>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</si>
  <si>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</si>
  <si>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</si>
  <si>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</si>
  <si>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</si>
  <si>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</si>
  <si>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</si>
  <si>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</si>
  <si>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</si>
  <si>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</si>
  <si>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</si>
  <si>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</si>
  <si>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</si>
  <si>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</si>
  <si>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</si>
  <si>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</si>
  <si>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</si>
  <si>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</si>
  <si>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</si>
  <si>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</si>
  <si>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</si>
  <si>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</si>
  <si>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</si>
  <si>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</si>
  <si>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</si>
  <si>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</si>
  <si>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</si>
  <si>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</si>
  <si>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</si>
  <si>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</si>
  <si>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</si>
  <si>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</si>
  <si>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</si>
  <si>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</si>
  <si>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</si>
  <si>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</si>
  <si>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</si>
  <si>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</si>
  <si>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</si>
  <si>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</si>
  <si>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</si>
  <si>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</si>
  <si>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</si>
  <si>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</si>
  <si>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</si>
  <si>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</si>
  <si>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</si>
  <si>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</si>
  <si>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</si>
  <si>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</si>
  <si>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</si>
  <si>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</si>
  <si>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</si>
  <si>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</si>
  <si>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</si>
  <si>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</si>
  <si>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</si>
  <si>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</si>
  <si>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</si>
  <si>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</si>
  <si>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</si>
  <si>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</si>
  <si>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</si>
  <si>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</si>
  <si>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</si>
  <si>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</si>
  <si>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</si>
  <si>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</si>
  <si>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</si>
  <si>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</si>
  <si>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</si>
  <si>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</si>
  <si>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</si>
  <si>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</si>
  <si>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</si>
  <si>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</si>
  <si>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</si>
  <si>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</si>
  <si>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</si>
  <si>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</si>
  <si>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</si>
  <si>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</si>
  <si>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</si>
  <si>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</si>
  <si>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</si>
  <si>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</si>
  <si>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</si>
  <si>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</si>
  <si>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</si>
  <si>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</si>
  <si>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</si>
  <si>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</si>
  <si>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</si>
  <si>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</si>
  <si>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</si>
  <si>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</si>
  <si>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</si>
  <si>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</si>
  <si>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</si>
  <si>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</si>
  <si>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</si>
  <si>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</si>
  <si>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</si>
  <si>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</si>
  <si>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</si>
  <si>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</si>
  <si>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</si>
  <si>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</si>
  <si>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</si>
  <si>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</si>
  <si>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</si>
  <si>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</si>
  <si>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</si>
  <si>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</si>
  <si>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</si>
  <si>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</si>
  <si>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</si>
  <si>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</si>
  <si>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</si>
  <si>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</si>
  <si>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</si>
  <si>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</si>
  <si>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</si>
  <si>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</si>
  <si>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</si>
  <si>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</si>
  <si>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</si>
  <si>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</si>
  <si>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</si>
  <si>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</si>
  <si>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</si>
  <si>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</si>
  <si>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</si>
  <si>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</si>
  <si>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</si>
  <si>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</si>
  <si>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</si>
  <si>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</si>
  <si>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</si>
  <si>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</si>
  <si>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</si>
  <si>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</si>
  <si>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</si>
  <si>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</si>
  <si>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</si>
  <si>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</si>
  <si>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</si>
  <si>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</si>
  <si>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</si>
  <si>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</si>
  <si>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</si>
  <si>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</si>
  <si>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</si>
  <si>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</si>
  <si>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</si>
  <si>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</si>
  <si>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</si>
  <si>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</si>
  <si>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</si>
  <si>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</si>
  <si>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</si>
  <si>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</si>
  <si>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</si>
  <si>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</si>
  <si>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</si>
  <si>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</si>
  <si>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</si>
  <si>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</si>
  <si>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</si>
  <si>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</si>
  <si>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</si>
  <si>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</si>
  <si>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</si>
  <si>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</si>
  <si>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</si>
  <si>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</si>
  <si>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</si>
  <si>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</si>
  <si>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</si>
  <si>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</si>
  <si>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</si>
  <si>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</si>
  <si>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</si>
  <si>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</si>
  <si>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</si>
  <si>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</si>
  <si>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</si>
  <si>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</si>
  <si>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</si>
  <si>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</si>
  <si>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</si>
  <si>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</si>
  <si>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</si>
  <si>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</si>
  <si>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</si>
  <si>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</si>
  <si>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</si>
  <si>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</si>
  <si>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</si>
  <si>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</si>
  <si>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</si>
  <si>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</si>
  <si>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</si>
  <si>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</si>
  <si>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</si>
  <si>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</si>
  <si>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</si>
  <si>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</si>
  <si>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</si>
  <si>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</si>
  <si>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</si>
  <si>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</si>
  <si>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</si>
  <si>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</si>
  <si>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</si>
  <si>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</si>
  <si>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</si>
  <si>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</si>
  <si>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</si>
  <si>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</si>
  <si>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</si>
  <si>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</si>
  <si>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</si>
  <si>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</si>
  <si>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</si>
  <si>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</si>
  <si>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</si>
  <si>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</si>
  <si>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</si>
  <si>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</si>
  <si>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</si>
  <si>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</si>
  <si>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</si>
  <si>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</si>
  <si>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</si>
  <si>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</si>
  <si>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</si>
  <si>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</si>
  <si>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</si>
  <si>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</si>
  <si>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</si>
  <si>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</si>
  <si>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</si>
  <si>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</si>
  <si>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</si>
  <si>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</si>
  <si>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</si>
  <si>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</si>
  <si>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</si>
  <si>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</si>
  <si>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</si>
  <si>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</si>
  <si>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</si>
  <si>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</si>
  <si>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</si>
  <si>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</si>
  <si>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</si>
  <si>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</si>
  <si>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</si>
  <si>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</si>
  <si>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</si>
  <si>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</si>
  <si>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</si>
  <si>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</si>
  <si>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</si>
  <si>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</si>
  <si>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</si>
  <si>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</si>
  <si>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</si>
  <si>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</si>
  <si>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</si>
  <si>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</si>
  <si>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</si>
  <si>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</si>
  <si>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</si>
  <si>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</si>
  <si>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</si>
  <si>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</si>
  <si>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</si>
  <si>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</si>
  <si>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</si>
  <si>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</si>
  <si>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</si>
  <si>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</si>
  <si>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</si>
  <si>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</si>
  <si>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</si>
  <si>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</si>
  <si>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</si>
  <si>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</si>
  <si>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</si>
  <si>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</si>
  <si>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</si>
  <si>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</si>
  <si>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</si>
  <si>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</si>
  <si>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</si>
  <si>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</si>
  <si>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</si>
  <si>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</si>
  <si>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</si>
  <si>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</si>
  <si>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</si>
  <si>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</si>
  <si>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</si>
  <si>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</si>
  <si>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</si>
  <si>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</si>
  <si>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</si>
  <si>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</si>
  <si>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</si>
  <si>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</si>
  <si>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</si>
  <si>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</si>
  <si>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</si>
  <si>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</si>
  <si>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</si>
  <si>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</si>
  <si>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</si>
  <si>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</si>
  <si>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</si>
  <si>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</si>
  <si>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</si>
  <si>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</si>
  <si>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</si>
  <si>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</si>
  <si>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</si>
  <si>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</si>
  <si>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</si>
  <si>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</si>
  <si>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</si>
  <si>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</si>
  <si>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</si>
  <si>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</si>
  <si>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</si>
  <si>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</si>
  <si>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</si>
  <si>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</si>
  <si>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</si>
  <si>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</si>
  <si>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</si>
  <si>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</si>
  <si>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</si>
  <si>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</si>
  <si>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</si>
  <si>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</si>
  <si>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</si>
  <si>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</si>
  <si>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</si>
  <si>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</si>
  <si>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</si>
  <si>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</si>
  <si>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</si>
  <si>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</si>
  <si>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</si>
  <si>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</si>
  <si>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</si>
  <si>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</si>
  <si>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</si>
  <si>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</si>
  <si>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</si>
  <si>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</si>
  <si>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</si>
  <si>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</si>
  <si>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</si>
  <si>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</si>
  <si>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</si>
  <si>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</si>
  <si>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</si>
  <si>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</si>
  <si>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</si>
  <si>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</si>
  <si>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</si>
  <si>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</si>
  <si>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</si>
  <si>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</si>
  <si>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</si>
  <si>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</si>
  <si>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</si>
  <si>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</si>
  <si>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</si>
  <si>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</si>
  <si>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</si>
  <si>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</si>
  <si>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</si>
  <si>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</si>
  <si>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</si>
  <si>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</si>
  <si>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</si>
  <si>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</si>
  <si>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</si>
  <si>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</si>
  <si>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</si>
  <si>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</si>
  <si>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</si>
  <si>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</si>
  <si>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</si>
  <si>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</si>
  <si>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</si>
  <si>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</si>
  <si>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</si>
  <si>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</si>
  <si>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</si>
  <si>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</si>
  <si>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</si>
  <si>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</si>
  <si>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</si>
  <si>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</si>
  <si>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</si>
  <si>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</si>
  <si>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</si>
  <si>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</si>
  <si>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</si>
  <si>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</si>
  <si>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</si>
  <si>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</si>
  <si>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</si>
  <si>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</si>
  <si>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</si>
  <si>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</si>
  <si>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</si>
  <si>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</si>
  <si>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</si>
  <si>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</si>
  <si>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</si>
  <si>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</si>
  <si>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</si>
  <si>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</si>
  <si>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</si>
  <si>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</si>
  <si>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</si>
  <si>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</si>
  <si>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</si>
  <si>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</si>
  <si>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</si>
  <si>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</si>
  <si>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</si>
  <si>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</si>
  <si>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</si>
  <si>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</si>
  <si>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</si>
  <si>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</si>
  <si>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</si>
  <si>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</si>
  <si>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</si>
  <si>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</si>
  <si>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</si>
  <si>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</si>
  <si>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</si>
  <si>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</si>
  <si>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</si>
  <si>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</si>
  <si>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</si>
  <si>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</si>
  <si>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</si>
  <si>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</si>
  <si>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</si>
  <si>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</si>
  <si>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</si>
  <si>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</si>
  <si>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</si>
  <si>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</si>
  <si>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</si>
  <si>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</si>
  <si>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</si>
  <si>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</si>
  <si>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</si>
  <si>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</si>
  <si>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</si>
  <si>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</si>
  <si>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</si>
  <si>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</si>
  <si>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</si>
  <si>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</si>
  <si>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</si>
  <si>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</si>
  <si>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</si>
  <si>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</si>
  <si>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</si>
  <si>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</si>
  <si>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</si>
  <si>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</si>
  <si>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</si>
  <si>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</si>
  <si>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</si>
  <si>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</si>
  <si>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</si>
  <si>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</si>
  <si>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</si>
  <si>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</si>
  <si>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</si>
  <si>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</si>
  <si>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</si>
  <si>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</si>
  <si>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</si>
  <si>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</si>
  <si>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</si>
  <si>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</si>
  <si>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</si>
  <si>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</si>
  <si>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</si>
  <si>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</si>
  <si>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</si>
  <si>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</si>
  <si>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</si>
  <si>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</si>
  <si>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</si>
  <si>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</si>
  <si>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</si>
  <si>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</si>
  <si>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</si>
  <si>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</si>
  <si>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</si>
  <si>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</si>
  <si>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</si>
  <si>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</si>
  <si>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</si>
  <si>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</si>
  <si>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</si>
  <si>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</si>
  <si>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</si>
  <si>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</si>
  <si>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</si>
  <si>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</si>
  <si>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</si>
  <si>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</si>
  <si>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</si>
  <si>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</si>
  <si>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</si>
  <si>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</si>
  <si>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</si>
  <si>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</si>
  <si>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</si>
  <si>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</si>
  <si>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</si>
  <si>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</si>
  <si>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</si>
  <si>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</si>
  <si>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</si>
  <si>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</si>
  <si>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</si>
  <si>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</si>
  <si>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</si>
  <si>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</si>
  <si>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</si>
  <si>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</si>
  <si>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</si>
  <si>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</si>
  <si>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</si>
  <si>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</si>
  <si>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</si>
  <si>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</si>
  <si>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</si>
  <si>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</si>
  <si>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</si>
  <si>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</si>
  <si>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</si>
  <si>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</si>
  <si>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</si>
  <si>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</si>
  <si>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</si>
  <si>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</si>
  <si>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</si>
  <si>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</si>
  <si>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</si>
  <si>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</si>
  <si>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</si>
  <si>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</si>
  <si>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</si>
  <si>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</si>
  <si>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</si>
  <si>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</si>
  <si>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</si>
  <si>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</si>
  <si>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</si>
  <si>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</si>
  <si>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</si>
  <si>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</si>
  <si>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</si>
  <si>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</si>
  <si>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</si>
  <si>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</si>
  <si>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</si>
  <si>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</si>
  <si>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</si>
  <si>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</si>
  <si>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</si>
  <si>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</si>
  <si>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</si>
  <si>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</si>
  <si>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</si>
  <si>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</si>
  <si>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</si>
  <si>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</si>
  <si>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</si>
  <si>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</si>
  <si>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</si>
  <si>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</si>
  <si>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</si>
  <si>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</si>
  <si>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</si>
  <si>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</si>
  <si>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</si>
  <si>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</si>
  <si>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</si>
  <si>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</si>
  <si>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</si>
  <si>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</si>
  <si>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</si>
  <si>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</si>
  <si>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</si>
  <si>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</si>
  <si>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</si>
  <si>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</si>
  <si>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</si>
  <si>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</si>
  <si>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</si>
  <si>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</si>
  <si>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</si>
  <si>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</si>
  <si>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</si>
  <si>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</si>
  <si>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</si>
  <si>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</si>
  <si>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</si>
  <si>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</si>
  <si>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</si>
  <si>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</si>
  <si>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</si>
  <si>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</si>
  <si>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</si>
  <si>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</si>
  <si>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</si>
  <si>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</si>
  <si>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</si>
  <si>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</si>
  <si>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</si>
  <si>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</si>
  <si>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</si>
  <si>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</si>
  <si>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</si>
  <si>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</si>
  <si>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</si>
  <si>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</si>
  <si>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</si>
  <si>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</si>
  <si>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</si>
  <si>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</si>
  <si>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</si>
  <si>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</si>
  <si>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</si>
  <si>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</si>
  <si>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</si>
  <si>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</si>
  <si>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</si>
  <si>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</si>
  <si>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</si>
  <si>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</si>
  <si>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</si>
  <si>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</si>
  <si>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</si>
  <si>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</si>
  <si>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</si>
  <si>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</si>
  <si>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</si>
  <si>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</si>
  <si>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</si>
  <si>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</si>
  <si>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</si>
  <si>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</si>
  <si>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</si>
  <si>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</si>
  <si>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</si>
  <si>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</si>
  <si>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</si>
  <si>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</si>
  <si>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</si>
  <si>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</si>
  <si>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</si>
  <si>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</si>
  <si>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</si>
  <si>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</si>
  <si>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</si>
  <si>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</si>
  <si>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</si>
  <si>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</si>
  <si>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</si>
  <si>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</si>
  <si>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</si>
  <si>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</si>
  <si>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</si>
  <si>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</si>
  <si>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</si>
  <si>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</si>
  <si>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</si>
  <si>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</si>
  <si>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</si>
  <si>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</si>
  <si>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</si>
  <si>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</si>
  <si>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</si>
  <si>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</si>
  <si>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</si>
  <si>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</si>
  <si>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</si>
  <si>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</si>
  <si>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</si>
  <si>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</si>
  <si>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</si>
  <si>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</si>
  <si>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</si>
  <si>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</si>
  <si>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</si>
  <si>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</si>
  <si>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</si>
  <si>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</si>
  <si>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</si>
  <si>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</si>
  <si>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</si>
  <si>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</si>
  <si>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</si>
  <si>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</si>
  <si>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</si>
  <si>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</si>
  <si>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</si>
  <si>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</si>
  <si>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</si>
  <si>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</si>
  <si>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</si>
  <si>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</si>
  <si>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</si>
  <si>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</si>
  <si>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</si>
  <si>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</si>
  <si>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</si>
  <si>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</si>
  <si>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</si>
  <si>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</si>
  <si>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</si>
  <si>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</si>
  <si>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</si>
  <si>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</si>
  <si>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</si>
  <si>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</si>
  <si>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</si>
  <si>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</si>
  <si>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</si>
  <si>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</si>
  <si>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</si>
  <si>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</si>
  <si>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</si>
  <si>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</si>
  <si>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</si>
  <si>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</si>
  <si>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</si>
  <si>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</si>
  <si>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</si>
  <si>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</si>
  <si>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</si>
  <si>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</si>
  <si>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</si>
  <si>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</si>
  <si>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</si>
  <si>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</si>
  <si>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</si>
  <si>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</si>
  <si>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</si>
  <si>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</si>
  <si>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</si>
  <si>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</si>
  <si>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</si>
  <si>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</si>
  <si>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</si>
  <si>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</si>
  <si>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</si>
  <si>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</si>
  <si>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</si>
  <si>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</si>
  <si>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</si>
  <si>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</si>
  <si>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</si>
  <si>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</si>
  <si>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</si>
  <si>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</si>
  <si>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</si>
  <si>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</si>
  <si>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</si>
  <si>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</si>
  <si>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</si>
  <si>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</si>
  <si>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</si>
  <si>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</si>
  <si>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</si>
  <si>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</si>
  <si>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</si>
  <si>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</si>
  <si>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</si>
  <si>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</si>
  <si>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</si>
  <si>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</si>
  <si>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</si>
  <si>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</si>
  <si>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</si>
  <si>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</si>
  <si>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</si>
  <si>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</si>
  <si>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</si>
  <si>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</si>
  <si>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</si>
  <si>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</si>
  <si>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</si>
  <si>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</si>
  <si>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</si>
  <si>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</si>
  <si>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</si>
  <si>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</si>
  <si>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</si>
  <si>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</si>
  <si>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</si>
  <si>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</si>
  <si>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</si>
  <si>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</si>
  <si>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</si>
  <si>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</si>
  <si>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</si>
  <si>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</si>
  <si>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</si>
  <si>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</si>
  <si>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</si>
  <si>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</si>
  <si>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</si>
  <si>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</si>
  <si>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</si>
  <si>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</si>
  <si>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</si>
  <si>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</si>
  <si>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</si>
  <si>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</si>
  <si>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</si>
  <si>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</si>
  <si>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</si>
  <si>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</si>
  <si>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</si>
  <si>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</si>
  <si>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</si>
  <si>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</si>
  <si>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</si>
  <si>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</si>
  <si>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</si>
  <si>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</si>
  <si>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</si>
  <si>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</si>
  <si>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</si>
  <si>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</si>
  <si>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</si>
  <si>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</si>
  <si>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</si>
  <si>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</si>
  <si>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</si>
  <si>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</si>
  <si>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</si>
  <si>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</si>
  <si>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</si>
  <si>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</si>
  <si>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</si>
  <si>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</si>
  <si>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</si>
  <si>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</si>
  <si>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</si>
  <si>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</si>
  <si>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</si>
  <si>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</si>
  <si>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</si>
  <si>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</si>
  <si>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</si>
  <si>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</si>
  <si>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</si>
  <si>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</si>
  <si>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</si>
  <si>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</si>
  <si>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</si>
  <si>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</si>
  <si>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</si>
  <si>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</si>
  <si>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</si>
  <si>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</si>
  <si>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</si>
  <si>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</si>
  <si>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</si>
  <si>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</si>
  <si>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</si>
  <si>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</si>
  <si>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</si>
  <si>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</si>
  <si>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</si>
  <si>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</si>
  <si>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</si>
  <si>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</si>
  <si>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</si>
  <si>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</si>
  <si>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</si>
  <si>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</si>
  <si>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</si>
  <si>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</si>
  <si>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</si>
  <si>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</si>
  <si>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</si>
  <si>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</si>
  <si>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</si>
  <si>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</si>
  <si>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</si>
  <si>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</si>
  <si>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</si>
  <si>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</si>
  <si>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</si>
  <si>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</si>
  <si>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</si>
  <si>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</si>
  <si>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</si>
  <si>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</si>
  <si>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</si>
  <si>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</si>
  <si>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</si>
  <si>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</si>
  <si>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</si>
  <si>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</si>
  <si>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</si>
  <si>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</si>
  <si>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</si>
  <si>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</si>
  <si>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</si>
  <si>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成新度</t>
  </si>
  <si>
    <t>刘梅</t>
  </si>
  <si>
    <t>吴薇</t>
  </si>
  <si>
    <t>企业</t>
  </si>
  <si>
    <t>出让</t>
  </si>
  <si>
    <t>正常</t>
  </si>
  <si>
    <t>押一</t>
  </si>
  <si>
    <t>泛骏华国际物流（中国）有限公司</t>
    <phoneticPr fontId="6" type="noConversion"/>
  </si>
  <si>
    <t>核定资产</t>
  </si>
  <si>
    <t>已注销及未注销</t>
  </si>
  <si>
    <t>房地产市场价值</t>
  </si>
  <si>
    <t>北京市</t>
  </si>
  <si>
    <t>仓储</t>
  </si>
  <si>
    <t>仓储</t>
    <phoneticPr fontId="6" type="noConversion"/>
  </si>
  <si>
    <t>《国有土地使用证》[京顺国用(2010出)字第00036号]</t>
    <phoneticPr fontId="6" type="noConversion"/>
  </si>
  <si>
    <t>《房屋所有权证》[X京房权证顺字第244170号]</t>
    <phoneticPr fontId="6" type="noConversion"/>
  </si>
  <si>
    <t>否</t>
  </si>
  <si>
    <t>工业项目</t>
  </si>
  <si>
    <t>仓储物流</t>
  </si>
  <si>
    <t>现房</t>
  </si>
  <si>
    <r>
      <t>1</t>
    </r>
    <r>
      <rPr>
        <sz val="10"/>
        <color indexed="8"/>
        <rFont val="宋体"/>
        <family val="3"/>
        <charset val="134"/>
      </rPr>
      <t>幢</t>
    </r>
    <phoneticPr fontId="3" type="noConversion"/>
  </si>
  <si>
    <t>地上</t>
  </si>
  <si>
    <r>
      <t>2</t>
    </r>
    <r>
      <rPr>
        <sz val="10"/>
        <color indexed="8"/>
        <rFont val="宋体"/>
        <family val="3"/>
        <charset val="134"/>
      </rPr>
      <t>幢</t>
    </r>
    <phoneticPr fontId="3" type="noConversion"/>
  </si>
  <si>
    <t>地下</t>
  </si>
  <si>
    <t>仓储</t>
    <phoneticPr fontId="7" type="noConversion"/>
  </si>
  <si>
    <t>收益法</t>
  </si>
  <si>
    <t>赵全营B5-02地块</t>
    <phoneticPr fontId="3" type="noConversion"/>
  </si>
  <si>
    <t>高丽营镇中关村临空国际5-3-2地块</t>
    <phoneticPr fontId="3" type="noConversion"/>
  </si>
  <si>
    <t>金马工业区D1-01-1</t>
    <phoneticPr fontId="3" type="noConversion"/>
  </si>
  <si>
    <t>赵全营镇中心区</t>
    <phoneticPr fontId="3" type="noConversion"/>
  </si>
  <si>
    <t>高丽营镇中关村临空国际高新技术产业基地内</t>
    <phoneticPr fontId="3" type="noConversion"/>
  </si>
  <si>
    <t>高丽营镇东马各庄村南</t>
    <phoneticPr fontId="3" type="noConversion"/>
  </si>
  <si>
    <t>工业（仓储）</t>
    <phoneticPr fontId="31" type="noConversion"/>
  </si>
  <si>
    <t>工业</t>
    <phoneticPr fontId="31" type="noConversion"/>
  </si>
  <si>
    <t>综合</t>
  </si>
  <si>
    <t>工业</t>
    <phoneticPr fontId="33" type="noConversion"/>
  </si>
  <si>
    <r>
      <rPr>
        <sz val="11"/>
        <rFont val="宋体"/>
        <family val="3"/>
        <charset val="134"/>
      </rPr>
      <t>可比实例</t>
    </r>
    <r>
      <rPr>
        <sz val="11"/>
        <rFont val="Arial"/>
        <family val="2"/>
      </rPr>
      <t>A</t>
    </r>
    <r>
      <rPr>
        <sz val="11"/>
        <rFont val="宋体"/>
        <family val="3"/>
        <charset val="134"/>
      </rPr>
      <t>位于赵全营镇中心区，园区内以数字医疗信息系统集成服务、电子病历软件开发、医疗数据处理等服务型企业，建成较成熟</t>
    </r>
    <phoneticPr fontId="33" type="noConversion"/>
  </si>
  <si>
    <r>
      <rPr>
        <sz val="11"/>
        <rFont val="宋体"/>
        <family val="3"/>
        <charset val="134"/>
      </rPr>
      <t>可比实例</t>
    </r>
    <r>
      <rPr>
        <sz val="11"/>
        <rFont val="Arial"/>
        <family val="2"/>
      </rPr>
      <t>B</t>
    </r>
    <r>
      <rPr>
        <sz val="11"/>
        <rFont val="宋体"/>
        <family val="3"/>
        <charset val="134"/>
      </rPr>
      <t>位于中关村临空国际高新技术产业基地，园区内以航天软件评测及工具研发、生产的高新技术企业为主，建设较成熟</t>
    </r>
    <phoneticPr fontId="33" type="noConversion"/>
  </si>
  <si>
    <r>
      <rPr>
        <sz val="11"/>
        <rFont val="宋体"/>
        <family val="3"/>
        <charset val="134"/>
      </rPr>
      <t>可比实例</t>
    </r>
    <r>
      <rPr>
        <sz val="11"/>
        <rFont val="Arial"/>
        <family val="2"/>
      </rPr>
      <t>C</t>
    </r>
    <r>
      <rPr>
        <sz val="11"/>
        <rFont val="宋体"/>
        <family val="3"/>
        <charset val="134"/>
      </rPr>
      <t>位于金马工业区，园区内以</t>
    </r>
    <r>
      <rPr>
        <sz val="11"/>
        <rFont val="Arial"/>
        <family val="2"/>
      </rPr>
      <t>LED</t>
    </r>
    <r>
      <rPr>
        <sz val="11"/>
        <rFont val="宋体"/>
        <family val="3"/>
        <charset val="134"/>
      </rPr>
      <t>应用产品研发及生产为主，建设较成熟</t>
    </r>
    <phoneticPr fontId="33" type="noConversion"/>
  </si>
  <si>
    <t>估价对象属于北京临空经济核心区，园区内以物流企业为主，建设成熟</t>
    <phoneticPr fontId="41" type="noConversion"/>
  </si>
  <si>
    <t>以估价对象为中心半径2公里内最高级别道路城市高速路—机场北线高速路，临近东六环路、顺平路、顺驰路等城市道路，距离顺义火车站约5公里，距离北京首都国际机场约7公里</t>
    <phoneticPr fontId="41" type="noConversion"/>
  </si>
  <si>
    <t>以估价对象为中心半径2公里内有银行、超市、学校、医院、邮局等公共配套设施；</t>
    <phoneticPr fontId="41" type="noConversion"/>
  </si>
  <si>
    <t>估价对象所在区域基础设施水平可达到七通一平</t>
    <phoneticPr fontId="25" type="noConversion"/>
  </si>
  <si>
    <t>估价对象所属区域以物流企业为主，园区内无污染型企业，绿化较好，卫生条件良好</t>
    <phoneticPr fontId="41" type="noConversion"/>
  </si>
  <si>
    <t>零星有其他用地，基本不影响本宗地</t>
  </si>
  <si>
    <t>零星有其他用地，基本不影响本宗地</t>
    <phoneticPr fontId="25" type="noConversion"/>
  </si>
  <si>
    <r>
      <rPr>
        <sz val="11"/>
        <color indexed="8"/>
        <rFont val="宋体"/>
        <family val="3"/>
        <charset val="134"/>
      </rPr>
      <t>城市支路</t>
    </r>
    <r>
      <rPr>
        <sz val="11"/>
        <color indexed="8"/>
        <rFont val="Arial"/>
        <family val="2"/>
      </rPr>
      <t>——</t>
    </r>
    <r>
      <rPr>
        <sz val="11"/>
        <color indexed="8"/>
        <rFont val="宋体"/>
        <family val="3"/>
        <charset val="134"/>
      </rPr>
      <t>顺驰路</t>
    </r>
    <phoneticPr fontId="25" type="noConversion"/>
  </si>
  <si>
    <t>八级</t>
    <phoneticPr fontId="25" type="noConversion"/>
  </si>
  <si>
    <t>单面临街</t>
  </si>
  <si>
    <t>以估价对象为中心半径2公里内最高级别道路城市高速路—京承高速路，临近昌金路、白马路等城市道路，距离顺义火车站约20公里，距离北京首都国际机场约15公里</t>
    <phoneticPr fontId="3" type="noConversion"/>
  </si>
  <si>
    <t>以估价对象为中心半径2公里内最高级别道路城市高速路—京承高速路，临近北六环路、白马路等城市道路，距离顺义火车站约12公里，距离北京首都国际机场约13公里</t>
    <phoneticPr fontId="3" type="noConversion"/>
  </si>
  <si>
    <t>以估价对象为中心半径2公里内最高级别道路城市高速路—京承高速路，临近北六环路、京沈线等城市道路，距离顺义火车站约7公里，距离北京首都国际机场约7公里</t>
    <phoneticPr fontId="3" type="noConversion"/>
  </si>
  <si>
    <t>估价对象所属区域以信息系统企业为主，园区内无污染型企业，绿化较好，卫生条件良好</t>
    <phoneticPr fontId="3" type="noConversion"/>
  </si>
  <si>
    <t>估价对象所属区域以高新技术产业企业为主，园区内无污染型企业，绿化较好，卫生条件良好</t>
    <phoneticPr fontId="3" type="noConversion"/>
  </si>
  <si>
    <t>估价对象所属区域以LED产品应用及开发企业为主，园区内无污染型企业，绿化较好，卫生条件良好</t>
    <phoneticPr fontId="3" type="noConversion"/>
  </si>
  <si>
    <r>
      <t>2</t>
    </r>
    <r>
      <rPr>
        <sz val="11"/>
        <rFont val="宋体"/>
        <family val="3"/>
        <charset val="134"/>
      </rPr>
      <t>公里内有银行、超市、学校、医院、邮局等公共配套设施；</t>
    </r>
    <phoneticPr fontId="33" type="noConversion"/>
  </si>
  <si>
    <t>七通</t>
  </si>
  <si>
    <t>七通</t>
    <phoneticPr fontId="33" type="noConversion"/>
  </si>
  <si>
    <r>
      <rPr>
        <sz val="11"/>
        <rFont val="宋体"/>
        <family val="3"/>
        <charset val="134"/>
      </rPr>
      <t>城市支路</t>
    </r>
    <r>
      <rPr>
        <sz val="11"/>
        <rFont val="Arial"/>
        <family val="2"/>
      </rPr>
      <t>—</t>
    </r>
    <r>
      <rPr>
        <sz val="11"/>
        <rFont val="宋体"/>
        <family val="3"/>
        <charset val="134"/>
      </rPr>
      <t>白马路</t>
    </r>
    <phoneticPr fontId="33" type="noConversion"/>
  </si>
  <si>
    <r>
      <rPr>
        <sz val="11"/>
        <rFont val="宋体"/>
        <family val="3"/>
        <charset val="134"/>
      </rPr>
      <t>城市支路</t>
    </r>
    <r>
      <rPr>
        <sz val="11"/>
        <rFont val="Arial"/>
        <family val="2"/>
      </rPr>
      <t>—</t>
    </r>
    <r>
      <rPr>
        <sz val="11"/>
        <rFont val="宋体"/>
        <family val="3"/>
        <charset val="134"/>
      </rPr>
      <t>火寺路</t>
    </r>
    <phoneticPr fontId="33" type="noConversion"/>
  </si>
  <si>
    <t>好</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</si>
  <si>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</si>
  <si>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</si>
  <si>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</si>
  <si>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</si>
  <si>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</si>
  <si>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</si>
  <si>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</si>
  <si>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</si>
  <si>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楼面地价</t>
  </si>
  <si>
    <t>较规则</t>
  </si>
  <si>
    <t>较规则</t>
    <phoneticPr fontId="33" type="noConversion"/>
  </si>
  <si>
    <t>较好</t>
    <phoneticPr fontId="33" type="noConversion"/>
  </si>
  <si>
    <t>六通</t>
  </si>
  <si>
    <t>六通</t>
    <phoneticPr fontId="33" type="noConversion"/>
  </si>
  <si>
    <t>五通</t>
    <phoneticPr fontId="33" type="noConversion"/>
  </si>
  <si>
    <t>四通</t>
    <phoneticPr fontId="33" type="noConversion"/>
  </si>
  <si>
    <t>三通</t>
  </si>
  <si>
    <t>三通</t>
    <phoneticPr fontId="33" type="noConversion"/>
  </si>
  <si>
    <r>
      <rPr>
        <b/>
        <sz val="11"/>
        <rFont val="宋体"/>
        <family val="3"/>
        <charset val="134"/>
      </rPr>
      <t>估价对象</t>
    </r>
    <r>
      <rPr>
        <b/>
        <sz val="11"/>
        <color theme="9" tint="-0.249977111117893"/>
        <rFont val="宋体"/>
        <family val="3"/>
        <charset val="134"/>
      </rPr>
      <t>仓储用房的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</si>
  <si>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</si>
  <si>
    <t>土地比较法-工业</t>
  </si>
  <si>
    <t>全部缴纳</t>
  </si>
  <si>
    <t>钢混</t>
  </si>
  <si>
    <t>非生产用房</t>
  </si>
  <si>
    <t>成本法</t>
  </si>
  <si>
    <t>项目全部</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</si>
  <si>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</si>
  <si>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</si>
  <si>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</si>
  <si>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</si>
  <si>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</si>
  <si>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</si>
  <si>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</si>
  <si>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</si>
  <si>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</si>
  <si>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</si>
  <si>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</si>
  <si>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</si>
  <si>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</si>
  <si>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顺义区天竺综合保税区3-4(C12地块局部)地块</t>
  </si>
  <si>
    <t>工业用地</t>
  </si>
  <si>
    <t>挂牌</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</si>
  <si>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</si>
  <si>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</si>
  <si>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</si>
  <si>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</si>
  <si>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</si>
  <si>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</si>
  <si>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</si>
  <si>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</si>
  <si>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</si>
  <si>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</si>
  <si>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</si>
  <si>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</si>
  <si>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</si>
  <si>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</si>
  <si>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</si>
  <si>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</si>
  <si>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</si>
  <si>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</si>
  <si>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</si>
  <si>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</si>
  <si>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</si>
  <si>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</si>
  <si>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</si>
  <si>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</si>
  <si>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</si>
  <si>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</si>
  <si>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</si>
  <si>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</si>
  <si>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</si>
  <si>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</si>
  <si>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t>顺义区高丽营镇中关村临空国际3-2-1地块工业项目</t>
  </si>
  <si>
    <t>北京数码视讯支付技术有限公司</t>
  </si>
  <si>
    <t>顺义新城第7街区SY0701-040、042(局部)地块(林河)工业项目</t>
  </si>
  <si>
    <t>远大住宅工业(北京)有限公司</t>
  </si>
  <si>
    <t>顺义区高丽营镇北京市良种繁殖场</t>
  </si>
  <si>
    <t>雷士(北京)光电工程技术有限公司</t>
  </si>
  <si>
    <t>顺义新城第7街区0701-032地块(林河工业)项目</t>
  </si>
  <si>
    <t>2014-03-03</t>
  </si>
  <si>
    <t>中传数字传播有限公司</t>
  </si>
  <si>
    <t>成交地面价(元/㎡)</t>
    <phoneticPr fontId="143" type="noConversion"/>
  </si>
  <si>
    <t>附属用房层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</si>
  <si>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</si>
  <si>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</si>
  <si>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</si>
  <si>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</si>
  <si>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r>
      <t>5</t>
    </r>
    <r>
      <rPr>
        <sz val="11"/>
        <color indexed="8"/>
        <rFont val="宋体"/>
        <family val="3"/>
        <charset val="134"/>
      </rPr>
      <t>层</t>
    </r>
    <phoneticPr fontId="3" type="noConversion"/>
  </si>
  <si>
    <r>
      <t>-1</t>
    </r>
    <r>
      <rPr>
        <sz val="10"/>
        <color indexed="8"/>
        <rFont val="宋体"/>
        <family val="3"/>
        <charset val="134"/>
      </rPr>
      <t>层</t>
    </r>
    <phoneticPr fontId="3" type="noConversion"/>
  </si>
  <si>
    <t>是</t>
  </si>
  <si>
    <t>顺义新城第14街区SY00-0014-6001M1一类工业用地项目</t>
  </si>
  <si>
    <t>2017-12-25</t>
  </si>
  <si>
    <t>北京星汉特种印刷有限公司</t>
  </si>
  <si>
    <t>=</t>
    <phoneticPr fontId="3" type="noConversion"/>
  </si>
  <si>
    <t>五通</t>
  </si>
  <si>
    <r>
      <rPr>
        <sz val="11"/>
        <rFont val="宋体"/>
        <family val="3"/>
        <charset val="134"/>
      </rPr>
      <t>城市支路</t>
    </r>
    <r>
      <rPr>
        <sz val="11"/>
        <rFont val="Arial"/>
        <family val="2"/>
      </rPr>
      <t>—</t>
    </r>
    <r>
      <rPr>
        <sz val="11"/>
        <rFont val="宋体"/>
        <family val="3"/>
        <charset val="134"/>
      </rPr>
      <t>腾仁路</t>
    </r>
    <phoneticPr fontId="33" type="noConversion"/>
  </si>
  <si>
    <t>按票据</t>
  </si>
  <si>
    <t>按房产原值计税</t>
  </si>
  <si>
    <t>王鹏</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</si>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</sst>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xf numFmtId="0" fontId="0" fillId="5" borderId="0" xfId="0" applyFill="1" applyAlignment="1"/>
    <xf numFmtId="0" fontId="0" fillId="0" borderId="0" xfId="0" applyFill="1" applyAlignment="1"/>
    <xf numFmtId="49" fontId="50" fillId="0" borderId="1" xfId="0" applyNumberFormat="1" applyFont="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2</xdr:col>
      <xdr:colOff>413039</xdr:colOff>
      <xdr:row>32</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4442114" cy="2571750"/>
        </a:xfrm>
        <a:prstGeom prst="rect">
          <a:avLst/>
        </a:prstGeom>
      </xdr:spPr>
    </xdr:pic>
    <xdr:clientData/>
  </xdr:twoCellAnchor>
  <xdr:twoCellAnchor editAs="oneCell">
    <xdr:from>
      <xdr:col>2</xdr:col>
      <xdr:colOff>400050</xdr:colOff>
      <xdr:row>17</xdr:row>
      <xdr:rowOff>9525</xdr:rowOff>
    </xdr:from>
    <xdr:to>
      <xdr:col>8</xdr:col>
      <xdr:colOff>714375</xdr:colOff>
      <xdr:row>31</xdr:row>
      <xdr:rowOff>96036</xdr:rowOff>
    </xdr:to>
    <xdr:pic>
      <xdr:nvPicPr>
        <xdr:cNvPr id="3" name="图片 2"/>
        <xdr:cNvPicPr>
          <a:picLocks noChangeAspect="1"/>
        </xdr:cNvPicPr>
      </xdr:nvPicPr>
      <xdr:blipFill>
        <a:blip xmlns:r="http://schemas.openxmlformats.org/officeDocument/2006/relationships" r:embed="rId2"/>
        <a:stretch>
          <a:fillRect/>
        </a:stretch>
      </xdr:blipFill>
      <xdr:spPr>
        <a:xfrm>
          <a:off x="4429125" y="2752725"/>
          <a:ext cx="4371975" cy="2486811"/>
        </a:xfrm>
        <a:prstGeom prst="rect">
          <a:avLst/>
        </a:prstGeom>
      </xdr:spPr>
    </xdr:pic>
    <xdr:clientData/>
  </xdr:twoCellAnchor>
  <xdr:twoCellAnchor editAs="oneCell">
    <xdr:from>
      <xdr:col>8</xdr:col>
      <xdr:colOff>247650</xdr:colOff>
      <xdr:row>17</xdr:row>
      <xdr:rowOff>19051</xdr:rowOff>
    </xdr:from>
    <xdr:to>
      <xdr:col>13</xdr:col>
      <xdr:colOff>1713429</xdr:colOff>
      <xdr:row>31</xdr:row>
      <xdr:rowOff>117227</xdr:rowOff>
    </xdr:to>
    <xdr:pic>
      <xdr:nvPicPr>
        <xdr:cNvPr id="4" name="图片 3"/>
        <xdr:cNvPicPr>
          <a:picLocks noChangeAspect="1"/>
        </xdr:cNvPicPr>
      </xdr:nvPicPr>
      <xdr:blipFill>
        <a:blip xmlns:r="http://schemas.openxmlformats.org/officeDocument/2006/relationships" r:embed="rId3"/>
        <a:stretch>
          <a:fillRect/>
        </a:stretch>
      </xdr:blipFill>
      <xdr:spPr>
        <a:xfrm>
          <a:off x="8753475" y="2762251"/>
          <a:ext cx="4551879" cy="2498476"/>
        </a:xfrm>
        <a:prstGeom prst="rect">
          <a:avLst/>
        </a:prstGeom>
      </xdr:spPr>
    </xdr:pic>
    <xdr:clientData/>
  </xdr:twoCellAnchor>
  <xdr:twoCellAnchor editAs="oneCell">
    <xdr:from>
      <xdr:col>0</xdr:col>
      <xdr:colOff>1</xdr:colOff>
      <xdr:row>32</xdr:row>
      <xdr:rowOff>1</xdr:rowOff>
    </xdr:from>
    <xdr:to>
      <xdr:col>2</xdr:col>
      <xdr:colOff>390526</xdr:colOff>
      <xdr:row>43</xdr:row>
      <xdr:rowOff>63875</xdr:rowOff>
    </xdr:to>
    <xdr:pic>
      <xdr:nvPicPr>
        <xdr:cNvPr id="5" name="图片 4"/>
        <xdr:cNvPicPr>
          <a:picLocks noChangeAspect="1"/>
        </xdr:cNvPicPr>
      </xdr:nvPicPr>
      <xdr:blipFill>
        <a:blip xmlns:r="http://schemas.openxmlformats.org/officeDocument/2006/relationships" r:embed="rId4"/>
        <a:stretch>
          <a:fillRect/>
        </a:stretch>
      </xdr:blipFill>
      <xdr:spPr>
        <a:xfrm>
          <a:off x="1" y="5314951"/>
          <a:ext cx="4419600" cy="1949824"/>
        </a:xfrm>
        <a:prstGeom prst="rect">
          <a:avLst/>
        </a:prstGeom>
      </xdr:spPr>
    </xdr:pic>
    <xdr:clientData/>
  </xdr:twoCellAnchor>
  <xdr:twoCellAnchor editAs="oneCell">
    <xdr:from>
      <xdr:col>0</xdr:col>
      <xdr:colOff>0</xdr:colOff>
      <xdr:row>43</xdr:row>
      <xdr:rowOff>123825</xdr:rowOff>
    </xdr:from>
    <xdr:to>
      <xdr:col>2</xdr:col>
      <xdr:colOff>463778</xdr:colOff>
      <xdr:row>63</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24725"/>
          <a:ext cx="4492853" cy="3333750"/>
        </a:xfrm>
        <a:prstGeom prst="rect">
          <a:avLst/>
        </a:prstGeom>
      </xdr:spPr>
    </xdr:pic>
    <xdr:clientData/>
  </xdr:twoCellAnchor>
  <xdr:twoCellAnchor editAs="oneCell">
    <xdr:from>
      <xdr:col>2</xdr:col>
      <xdr:colOff>431859</xdr:colOff>
      <xdr:row>31</xdr:row>
      <xdr:rowOff>123826</xdr:rowOff>
    </xdr:from>
    <xdr:to>
      <xdr:col>8</xdr:col>
      <xdr:colOff>597513</xdr:colOff>
      <xdr:row>46</xdr:row>
      <xdr:rowOff>161926</xdr:rowOff>
    </xdr:to>
    <xdr:pic>
      <xdr:nvPicPr>
        <xdr:cNvPr id="7" name="图片 6"/>
        <xdr:cNvPicPr>
          <a:picLocks noChangeAspect="1"/>
        </xdr:cNvPicPr>
      </xdr:nvPicPr>
      <xdr:blipFill>
        <a:blip xmlns:r="http://schemas.openxmlformats.org/officeDocument/2006/relationships" r:embed="rId6"/>
        <a:stretch>
          <a:fillRect/>
        </a:stretch>
      </xdr:blipFill>
      <xdr:spPr>
        <a:xfrm>
          <a:off x="4460934" y="5267326"/>
          <a:ext cx="4223304" cy="2609850"/>
        </a:xfrm>
        <a:prstGeom prst="rect">
          <a:avLst/>
        </a:prstGeom>
      </xdr:spPr>
    </xdr:pic>
    <xdr:clientData/>
  </xdr:twoCellAnchor>
  <xdr:twoCellAnchor editAs="oneCell">
    <xdr:from>
      <xdr:col>2</xdr:col>
      <xdr:colOff>447674</xdr:colOff>
      <xdr:row>43</xdr:row>
      <xdr:rowOff>9525</xdr:rowOff>
    </xdr:from>
    <xdr:to>
      <xdr:col>7</xdr:col>
      <xdr:colOff>742058</xdr:colOff>
      <xdr:row>63</xdr:row>
      <xdr:rowOff>394</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49" y="7210425"/>
          <a:ext cx="3523359" cy="3419869"/>
        </a:xfrm>
        <a:prstGeom prst="rect">
          <a:avLst/>
        </a:prstGeom>
      </xdr:spPr>
    </xdr:pic>
    <xdr:clientData/>
  </xdr:twoCellAnchor>
  <xdr:twoCellAnchor editAs="oneCell">
    <xdr:from>
      <xdr:col>0</xdr:col>
      <xdr:colOff>0</xdr:colOff>
      <xdr:row>64</xdr:row>
      <xdr:rowOff>1</xdr:rowOff>
    </xdr:from>
    <xdr:to>
      <xdr:col>3</xdr:col>
      <xdr:colOff>552705</xdr:colOff>
      <xdr:row>90</xdr:row>
      <xdr:rowOff>133351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972801"/>
          <a:ext cx="5181855" cy="4591050"/>
        </a:xfrm>
        <a:prstGeom prst="rect">
          <a:avLst/>
        </a:prstGeom>
      </xdr:spPr>
    </xdr:pic>
    <xdr:clientData/>
  </xdr:twoCellAnchor>
  <xdr:twoCellAnchor editAs="oneCell">
    <xdr:from>
      <xdr:col>4</xdr:col>
      <xdr:colOff>0</xdr:colOff>
      <xdr:row>63</xdr:row>
      <xdr:rowOff>0</xdr:rowOff>
    </xdr:from>
    <xdr:to>
      <xdr:col>11</xdr:col>
      <xdr:colOff>532703</xdr:colOff>
      <xdr:row>90</xdr:row>
      <xdr:rowOff>142279</xdr:rowOff>
    </xdr:to>
    <xdr:pic>
      <xdr:nvPicPr>
        <xdr:cNvPr id="10" name="图片 9"/>
        <xdr:cNvPicPr>
          <a:picLocks noChangeAspect="1"/>
        </xdr:cNvPicPr>
      </xdr:nvPicPr>
      <xdr:blipFill>
        <a:blip xmlns:r="http://schemas.openxmlformats.org/officeDocument/2006/relationships" r:embed="rId9"/>
        <a:stretch>
          <a:fillRect/>
        </a:stretch>
      </xdr:blipFill>
      <xdr:spPr>
        <a:xfrm>
          <a:off x="5495925" y="10801350"/>
          <a:ext cx="5580953" cy="4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北京市房地产市场价值预评估</v>
      </c>
    </row>
    <row r="3" spans="1:2" s="1596" customFormat="1">
      <c r="A3" s="1594" t="s">
        <v>1222</v>
      </c>
      <c r="B3" s="1595" t="str">
        <f>'预评函-封皮'!B40</f>
        <v>泛骏华国际物流（中国）有限公司</v>
      </c>
    </row>
    <row r="4" spans="1:2" s="1596" customFormat="1">
      <c r="A4" s="1594" t="s">
        <v>1223</v>
      </c>
      <c r="B4" s="1595" t="str">
        <f ca="1">'预评函-封皮'!B46</f>
        <v>刘梅（注册号：1120140022)、吴薇（注册号：1419970001)</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受贵公司委托，我公司对北京市房地产市场价值进行了预评估。</v>
      </c>
    </row>
    <row r="7" spans="1:2" s="1596" customFormat="1">
      <c r="A7" s="1594" t="s">
        <v>1265</v>
      </c>
      <c r="B7" s="1595" t="str">
        <f>'预评函-1'!A7</f>
        <v>估价对象为北京市房地产，为所有。根据《国有土地使用证》[京顺国用(2010出)字第00036号]，估价对象（分摊）出让国有建设用地使用权面积为9999.1平方米。根据《房屋所有权证》[X京房权证顺字第244170号]，估价对象建筑面积为16724.51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房地产,为开发建设的工业项目，该项目尚在开发建设中。根据《国有土地使用证》[京顺国用(2010出)字第00036号]，估价对象（分摊）出让国有建设用地使用权面积为9999.1平方米。根据《房屋所有权证》[X京房权证顺字第244170号]，估价对象规划建筑面积为16724.51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为估价委托人了解估价对象房地产市场价值提供参考依据。</v>
      </c>
    </row>
    <row r="12" spans="1:2" s="1596" customFormat="1">
      <c r="A12" s="1594" t="s">
        <v>1227</v>
      </c>
      <c r="B12" s="1595" t="str">
        <f>'预评函-1'!A15</f>
        <v>2017年12月31日（评估专业人员实地查勘之日）</v>
      </c>
    </row>
    <row r="13" spans="1:2" s="1596" customFormat="1">
      <c r="A13" s="1594" t="s">
        <v>1228</v>
      </c>
      <c r="B13" s="1595" t="str">
        <f>'预评函-1'!A18</f>
        <v>本次估价的“房地产价值”是指在正常市场情况下，在价值时点2017年12月31日，估价对象规划用途为仓储，土地取得方式为出让，出让国有建设用地使用权剩余土地使用年限为38.4，假定未设立法定优先受偿款下的房地产市场价值。</v>
      </c>
    </row>
    <row r="14" spans="1:2" s="1596" customFormat="1">
      <c r="A14" s="1594" t="s">
        <v>1229</v>
      </c>
      <c r="B14" s="1595" t="str">
        <f>'预评函-1'!A19</f>
        <v>其中，“出让国有建设用地使用权价值”是指估价对象用途为仓储，实际开发程度为宗地红线外“七通”（即、、、、、、）、红线内场地平整条件下，剩余土地使用年限为38.4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v>
      </c>
    </row>
    <row r="16" spans="1:2" s="1596" customFormat="1">
      <c r="A16" s="1594" t="s">
        <v>1231</v>
      </c>
      <c r="B16" s="1595" t="str">
        <f>'预评函-1'!A21</f>
        <v>——</v>
      </c>
    </row>
    <row r="17" spans="1:2" s="1596" customFormat="1">
      <c r="A17" s="1594" t="s">
        <v>1232</v>
      </c>
      <c r="B17" s="1595" t="str">
        <f>'预评函-1'!A22</f>
        <v>——</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1235</v>
      </c>
      <c r="B20" s="1595">
        <f ca="1">'预评函-2'!D5</f>
        <v>12626</v>
      </c>
    </row>
    <row r="21" spans="1:2" s="1596" customFormat="1">
      <c r="A21" s="1594" t="s">
        <v>1236</v>
      </c>
      <c r="B21" s="1595">
        <f ca="1">'预评函-2'!D7</f>
        <v>7549</v>
      </c>
    </row>
    <row r="22" spans="1:2" s="1596" customFormat="1">
      <c r="A22" s="1594" t="s">
        <v>1237</v>
      </c>
      <c r="B22" s="1595" t="str">
        <f ca="1">'预评函-2'!D6</f>
        <v>壹亿贰仟陆佰贰拾陆万元整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12626</v>
      </c>
    </row>
    <row r="31" spans="1:2" s="1596" customFormat="1">
      <c r="A31" s="1594" t="s">
        <v>1275</v>
      </c>
      <c r="B31" s="1595">
        <f ca="1">'预评函-2'!D15</f>
        <v>7549</v>
      </c>
    </row>
    <row r="32" spans="1:2" s="1596" customFormat="1">
      <c r="A32" s="1594" t="s">
        <v>1242</v>
      </c>
      <c r="B32" s="1595" t="str">
        <f ca="1">'预评函-2'!D14</f>
        <v>壹亿贰仟陆佰贰拾陆万元整</v>
      </c>
    </row>
    <row r="33" spans="1:2" s="1596" customFormat="1">
      <c r="A33" s="1594" t="s">
        <v>1277</v>
      </c>
      <c r="B33" s="1595" t="str">
        <f>'预评函-2'!B16</f>
        <v>4.抵押担保权已注销时的房地产抵押价值</v>
      </c>
    </row>
    <row r="34" spans="1:2" s="1596" customFormat="1">
      <c r="A34" s="1594" t="s">
        <v>1295</v>
      </c>
      <c r="B34" s="1595">
        <f ca="1">'预评函-2'!D16</f>
        <v>12626</v>
      </c>
    </row>
    <row r="35" spans="1:2" s="1596" customFormat="1">
      <c r="A35" s="1594" t="s">
        <v>1276</v>
      </c>
      <c r="B35" s="1595">
        <f ca="1">'预评函-2'!D18</f>
        <v>7549</v>
      </c>
    </row>
    <row r="36" spans="1:2" s="1596" customFormat="1">
      <c r="A36" s="1594" t="s">
        <v>1243</v>
      </c>
      <c r="B36" s="1595" t="str">
        <f ca="1">'预评函-2'!D17</f>
        <v>壹亿贰仟陆佰贰拾陆万元整</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北京市房地产</v>
      </c>
    </row>
    <row r="42" spans="1:2" s="1596" customFormat="1">
      <c r="A42" s="1594" t="s">
        <v>1289</v>
      </c>
      <c r="B42" s="1595" t="str">
        <f>'预评函-3'!B2</f>
        <v>建筑面积</v>
      </c>
    </row>
    <row r="43" spans="1:2" s="1596" customFormat="1">
      <c r="A43" s="1594" t="s">
        <v>1290</v>
      </c>
      <c r="B43" s="1595">
        <f>'预评函-3'!B4</f>
        <v>16724.510000000002</v>
      </c>
    </row>
    <row r="44" spans="1:2" s="1596" customFormat="1">
      <c r="A44" s="1594" t="s">
        <v>1274</v>
      </c>
      <c r="B44" s="1595" t="str">
        <f>'预评函-3'!C2</f>
        <v>(分摊)土地面积</v>
      </c>
    </row>
    <row r="45" spans="1:2" s="1596" customFormat="1">
      <c r="A45" s="1594" t="s">
        <v>1246</v>
      </c>
      <c r="B45" s="1595">
        <f>'预评函-3'!C4</f>
        <v>9999.1</v>
      </c>
    </row>
    <row r="46" spans="1:2" s="1596" customFormat="1">
      <c r="A46" s="1594" t="s">
        <v>1272</v>
      </c>
      <c r="B46" s="1595" t="str">
        <f>'预评函-3'!D2</f>
        <v>出让国有建设用地使用权价值</v>
      </c>
    </row>
    <row r="47" spans="1:2" s="1596" customFormat="1">
      <c r="A47" s="1594" t="s">
        <v>1247</v>
      </c>
      <c r="B47" s="1595" t="e">
        <f ca="1">'预评函-3'!D4</f>
        <v>#REF!</v>
      </c>
    </row>
    <row r="48" spans="1:2" s="1596" customFormat="1">
      <c r="A48" s="1594" t="s">
        <v>1248</v>
      </c>
      <c r="B48" s="1595" t="e">
        <f ca="1">'预评函-3'!E4</f>
        <v>#REF!</v>
      </c>
    </row>
    <row r="49" spans="1:2" s="1596" customFormat="1">
      <c r="A49" s="1594" t="s">
        <v>1249</v>
      </c>
      <c r="B49" s="1595" t="e">
        <f ca="1">'预评函-3'!D5</f>
        <v>#REF!</v>
      </c>
    </row>
    <row r="50" spans="1:2" s="1596" customFormat="1">
      <c r="A50" s="1594" t="s">
        <v>1273</v>
      </c>
      <c r="B50" s="1595" t="str">
        <f>'预评函-3'!F2</f>
        <v>在建建筑物价值</v>
      </c>
    </row>
    <row r="51" spans="1:2" s="1596" customFormat="1">
      <c r="A51" s="1594" t="s">
        <v>1250</v>
      </c>
      <c r="B51" s="1595" t="e">
        <f ca="1">'预评函-3'!F4</f>
        <v>#REF!</v>
      </c>
    </row>
    <row r="52" spans="1:2" s="1596" customFormat="1">
      <c r="A52" s="1594" t="s">
        <v>1251</v>
      </c>
      <c r="B52" s="1595" t="e">
        <f ca="1">'预评函-3'!G4</f>
        <v>#REF!</v>
      </c>
    </row>
    <row r="53" spans="1:2" s="1596" customFormat="1">
      <c r="A53" s="1594" t="s">
        <v>1279</v>
      </c>
      <c r="B53" s="1595" t="e">
        <f ca="1">'预评函-3'!F5</f>
        <v>#REF!</v>
      </c>
    </row>
    <row r="54" spans="1:2" s="1596" customFormat="1">
      <c r="A54" s="1594" t="s">
        <v>1297</v>
      </c>
      <c r="B54" s="1595" t="str">
        <f>'预评函-3'!A8</f>
        <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
      </c>
    </row>
    <row r="58" spans="1:2" s="1593" customFormat="1" ht="15" thickTop="1">
      <c r="A58" s="1591" t="s">
        <v>1252</v>
      </c>
      <c r="B58" s="1592" t="str">
        <f>'预评函-4'!A12</f>
        <v>2.本次评估设定估价对象房地产权属无争议，未被查封或者以其他形式限制其房地产权利，未设定抵押权等他项权利，不涉及第三方权利义务。</v>
      </c>
    </row>
    <row r="59" spans="1:2" s="1596" customFormat="1">
      <c r="A59" s="1594" t="s">
        <v>1253</v>
      </c>
      <c r="B59" s="1595" t="str">
        <f>'预评函-4'!A13</f>
        <v>——</v>
      </c>
    </row>
    <row r="60" spans="1:2" s="1596" customFormat="1">
      <c r="A60" s="1594" t="s">
        <v>1254</v>
      </c>
      <c r="B60" s="1595" t="str">
        <f>'预评函-4'!A14</f>
        <v>——</v>
      </c>
    </row>
    <row r="61" spans="1:2" s="1596" customFormat="1">
      <c r="A61" s="1594" t="s">
        <v>1255</v>
      </c>
      <c r="B61" s="1595" t="str">
        <f>'预评函-4'!A15</f>
        <v>——</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v>
      </c>
    </row>
    <row r="65" spans="1:2" s="1596" customFormat="1">
      <c r="A65" s="1594" t="s">
        <v>1258</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刘梅</v>
      </c>
    </row>
    <row r="71" spans="1:2">
      <c r="A71" s="1594" t="s">
        <v>1262</v>
      </c>
      <c r="B71" s="1595">
        <f ca="1">'预评函-4'!B4</f>
        <v>1120140022</v>
      </c>
    </row>
    <row r="72" spans="1:2">
      <c r="A72" s="1594" t="s">
        <v>1263</v>
      </c>
      <c r="B72" s="1603" t="str">
        <f>'预评函-4'!A5</f>
        <v>吴薇</v>
      </c>
    </row>
    <row r="73" spans="1:2" s="1590" customFormat="1" ht="15" thickBot="1">
      <c r="A73" s="1597" t="s">
        <v>1264</v>
      </c>
      <c r="B73" s="1598">
        <f ca="1">'预评函-4'!B5</f>
        <v>1419970001</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1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仓储土地取得方式为出让，出让国有建设用地使用权剩余土地使用年限为XX年(多用途剩余年限尾数不同时，可只体现小数点后一位)，假定未设立法定优先受偿款下的房地产市场价值。</v>
      </c>
    </row>
    <row r="54" spans="1:4">
      <c r="A54" s="3010"/>
      <c r="B54" s="2025" t="s">
        <v>864</v>
      </c>
      <c r="C54" s="2022" t="s">
        <v>1282</v>
      </c>
    </row>
    <row r="55" spans="1:4">
      <c r="A55" s="3010"/>
      <c r="B55" s="2025" t="s">
        <v>865</v>
      </c>
      <c r="C55" s="2022" t="s">
        <v>1283</v>
      </c>
    </row>
    <row r="56" spans="1:4">
      <c r="A56" s="3010"/>
      <c r="B56" s="2025" t="s">
        <v>866</v>
      </c>
      <c r="C56" s="2022" t="s">
        <v>1287</v>
      </c>
    </row>
    <row r="57" spans="1:4">
      <c r="A57" s="3010"/>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M7" sqref="M7"/>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19" t="str">
        <f>IF(B10="北京市","北京市",C10)&amp;F10&amp;IF(结果表!G1="在建","出让国有建设用地使用权及在建建筑物",IF(结果表!G1="土地","出让国有建设用地使用权",))&amp;B9&amp;"预评估"</f>
        <v>北京市房地产市场价值预评估</v>
      </c>
      <c r="C1" s="3020"/>
      <c r="D1" s="3020"/>
      <c r="E1" s="3020"/>
      <c r="F1" s="3020"/>
      <c r="G1" s="3020"/>
      <c r="H1" s="3020"/>
      <c r="I1" s="302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1780</v>
      </c>
      <c r="B3" s="2039">
        <v>43100</v>
      </c>
      <c r="C3" s="2040" t="s">
        <v>1781</v>
      </c>
      <c r="D3" s="2039">
        <f>B3</f>
        <v>43100</v>
      </c>
      <c r="E3" s="2029"/>
      <c r="F3" s="2029"/>
      <c r="G3" s="2029"/>
      <c r="H3" s="2029"/>
      <c r="I3" s="2029"/>
      <c r="J3" s="2029"/>
      <c r="K3" s="2030"/>
      <c r="L3" s="2031"/>
      <c r="M3" s="2031"/>
      <c r="N3" s="2032"/>
      <c r="O3" s="2033"/>
      <c r="P3" s="2032"/>
      <c r="Q3" s="2032"/>
      <c r="R3" s="2032"/>
      <c r="S3" s="2034"/>
    </row>
    <row r="4" spans="1:19" ht="18" customHeight="1" thickBot="1">
      <c r="A4" s="2041" t="s">
        <v>1782</v>
      </c>
      <c r="B4" s="2042" t="s">
        <v>3046</v>
      </c>
      <c r="C4" s="1039">
        <f ca="1">SUMIF(注册房地产估价师,B4,估价师及机构信息!B3:B24)</f>
        <v>1120140022</v>
      </c>
      <c r="D4" s="2042" t="s">
        <v>3047</v>
      </c>
      <c r="E4" s="1040">
        <f ca="1">SUMIF(注册房地产估价师,D4,估价师及机构信息!B3:B24)</f>
        <v>1419970001</v>
      </c>
      <c r="F4" s="2042" t="s">
        <v>3204</v>
      </c>
      <c r="G4" s="2043">
        <f ca="1">SUMIF(注册房地产估价师,F4,估价师及机构信息!B3:B24)</f>
        <v>1120050019</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1783</v>
      </c>
      <c r="B5" s="2949" t="s">
        <v>3052</v>
      </c>
      <c r="C5" s="2048"/>
      <c r="D5" s="2049"/>
      <c r="E5" s="2045"/>
      <c r="F5" s="2045"/>
      <c r="G5" s="2045"/>
      <c r="H5" s="2045"/>
      <c r="I5" s="2045"/>
      <c r="J5" s="2045"/>
      <c r="K5" s="2046" t="str">
        <f ca="1">IF(F4="——","",IF(H4="——",F4&amp;"（注册号："&amp;G4&amp;")",CONCATENATE(F4,"（注册号：",G4,")、",H4,"（注册号：",I4,")")))</f>
        <v>王鹏（注册号：1120050019)</v>
      </c>
      <c r="L5" s="2031"/>
      <c r="M5" s="2031"/>
      <c r="N5" s="2032"/>
      <c r="O5" s="2033"/>
      <c r="P5" s="2032"/>
      <c r="Q5" s="2032"/>
      <c r="R5" s="2032"/>
    </row>
    <row r="6" spans="1:19" ht="18" customHeight="1">
      <c r="A6" s="2050" t="s">
        <v>1784</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1785</v>
      </c>
      <c r="B7" s="2055"/>
      <c r="C7" s="2052"/>
      <c r="D7" s="2053"/>
      <c r="E7" s="2037"/>
      <c r="F7" s="2045"/>
      <c r="G7" s="2045"/>
      <c r="H7" s="2045"/>
      <c r="I7" s="2045"/>
      <c r="J7" s="2045"/>
      <c r="K7" s="2056"/>
      <c r="L7" s="2031"/>
      <c r="M7" s="2031"/>
      <c r="N7" s="2032"/>
      <c r="O7" s="2033"/>
      <c r="P7" s="2032"/>
      <c r="Q7" s="2032"/>
      <c r="R7" s="2032"/>
    </row>
    <row r="8" spans="1:19" ht="18" customHeight="1">
      <c r="A8" s="2050" t="s">
        <v>1786</v>
      </c>
      <c r="B8" s="2057" t="s">
        <v>3053</v>
      </c>
      <c r="C8" s="2058"/>
      <c r="D8" s="3022" t="s">
        <v>1787</v>
      </c>
      <c r="E8" s="2059" t="s">
        <v>3054</v>
      </c>
      <c r="F8" s="2060"/>
      <c r="G8" s="2029"/>
      <c r="H8" s="2029"/>
      <c r="I8" s="2029"/>
      <c r="J8" s="2045"/>
      <c r="K8" s="2046"/>
      <c r="L8" s="2031"/>
      <c r="M8" s="2031"/>
      <c r="N8" s="2032"/>
      <c r="O8" s="2033"/>
      <c r="P8" s="2032"/>
      <c r="Q8" s="2032"/>
      <c r="R8" s="2032"/>
    </row>
    <row r="9" spans="1:19" ht="18" customHeight="1" thickBot="1">
      <c r="A9" s="2043" t="s">
        <v>1788</v>
      </c>
      <c r="B9" s="2061" t="s">
        <v>3055</v>
      </c>
      <c r="C9" s="2062"/>
      <c r="D9" s="3023"/>
      <c r="E9" s="2061" t="s">
        <v>70</v>
      </c>
      <c r="F9" s="2063"/>
      <c r="G9" s="2064"/>
      <c r="H9" s="2064"/>
      <c r="I9" s="2064"/>
      <c r="J9" s="2045"/>
      <c r="K9" s="2056"/>
      <c r="L9" s="2031"/>
      <c r="M9" s="2031"/>
      <c r="N9" s="2032"/>
      <c r="O9" s="2033"/>
      <c r="P9" s="2032"/>
      <c r="Q9" s="2032"/>
      <c r="R9" s="2032"/>
    </row>
    <row r="10" spans="1:19" ht="18" customHeight="1" thickTop="1">
      <c r="A10" s="2065" t="s">
        <v>1789</v>
      </c>
      <c r="B10" s="2066" t="s">
        <v>3056</v>
      </c>
      <c r="C10" s="2067"/>
      <c r="D10" s="2049"/>
      <c r="E10" s="2068" t="s">
        <v>1790</v>
      </c>
      <c r="F10" s="2069"/>
      <c r="G10" s="2070"/>
      <c r="H10" s="2071"/>
      <c r="I10" s="2049"/>
      <c r="J10" s="2045"/>
      <c r="K10" s="2056"/>
      <c r="L10" s="2031"/>
      <c r="M10" s="2031"/>
      <c r="N10" s="2032"/>
      <c r="O10" s="2033"/>
      <c r="P10" s="2032"/>
      <c r="Q10" s="2032"/>
      <c r="R10" s="2032"/>
    </row>
    <row r="11" spans="1:19" ht="18" customHeight="1">
      <c r="A11" s="2072" t="s">
        <v>1791</v>
      </c>
      <c r="B11" s="2073" t="s">
        <v>3048</v>
      </c>
      <c r="C11" s="2074"/>
      <c r="D11" s="2075"/>
      <c r="E11" s="2045"/>
      <c r="F11" s="2045"/>
      <c r="G11" s="2045"/>
      <c r="H11" s="2045"/>
      <c r="I11" s="2045"/>
      <c r="J11" s="2045"/>
      <c r="K11" s="2056"/>
      <c r="L11" s="2031"/>
      <c r="M11" s="2031"/>
      <c r="N11" s="2032"/>
      <c r="O11" s="2033"/>
      <c r="P11" s="2032"/>
      <c r="Q11" s="2032"/>
      <c r="R11" s="2032"/>
    </row>
    <row r="12" spans="1:19" ht="18" customHeight="1">
      <c r="A12" s="2076" t="s">
        <v>1792</v>
      </c>
      <c r="B12" s="2073" t="s">
        <v>3049</v>
      </c>
      <c r="C12" s="2077" t="s">
        <v>1793</v>
      </c>
      <c r="D12" s="2078" t="s">
        <v>1794</v>
      </c>
      <c r="E12" s="2078" t="s">
        <v>1795</v>
      </c>
      <c r="F12" s="2078" t="s">
        <v>1796</v>
      </c>
      <c r="G12" s="2078" t="s">
        <v>1797</v>
      </c>
      <c r="H12" s="2078" t="s">
        <v>1798</v>
      </c>
      <c r="I12" s="2078" t="s">
        <v>1799</v>
      </c>
      <c r="J12" s="2045"/>
      <c r="K12" s="2056"/>
      <c r="L12" s="2031"/>
      <c r="M12" s="2031"/>
      <c r="N12" s="2032"/>
      <c r="O12" s="2033"/>
      <c r="P12" s="2032"/>
      <c r="Q12" s="2032"/>
      <c r="R12" s="2032"/>
    </row>
    <row r="13" spans="1:19" ht="18" customHeight="1">
      <c r="A13" s="2079"/>
      <c r="B13" s="2080"/>
      <c r="C13" s="2081" t="s">
        <v>1800</v>
      </c>
      <c r="D13" s="2082"/>
      <c r="E13" s="2082"/>
      <c r="F13" s="2082"/>
      <c r="G13" s="2082"/>
      <c r="H13" s="2082">
        <v>57118</v>
      </c>
      <c r="I13" s="1049"/>
      <c r="J13" s="2045"/>
      <c r="K13" s="2056"/>
      <c r="L13" s="2031"/>
      <c r="M13" s="2031"/>
      <c r="N13" s="2032"/>
      <c r="O13" s="2033"/>
      <c r="P13" s="2032"/>
      <c r="Q13" s="2032"/>
      <c r="R13" s="2032"/>
    </row>
    <row r="14" spans="1:19" ht="18" customHeight="1">
      <c r="A14" s="2079"/>
      <c r="B14" s="2080"/>
      <c r="C14" s="2081" t="s">
        <v>1801</v>
      </c>
      <c r="D14" s="1052"/>
      <c r="E14" s="1052"/>
      <c r="F14" s="1052"/>
      <c r="G14" s="1052"/>
      <c r="H14" s="1052">
        <v>50</v>
      </c>
      <c r="I14" s="1052"/>
      <c r="J14" s="2045"/>
      <c r="K14" s="2083"/>
      <c r="L14" s="2031"/>
      <c r="M14" s="2031"/>
      <c r="N14" s="2032"/>
      <c r="O14" s="2033"/>
      <c r="P14" s="2032"/>
      <c r="Q14" s="2032"/>
      <c r="R14" s="2032"/>
    </row>
    <row r="15" spans="1:19" ht="18" customHeight="1">
      <c r="A15" s="2065"/>
      <c r="B15" s="2084"/>
      <c r="C15" s="2081" t="s">
        <v>1802</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f>IF(B12="出让",IF(H13="","",ROUNDDOWN(MIN((H13-$D$3)/365,H14),2)),H14)</f>
        <v>38.4</v>
      </c>
      <c r="I15" s="1051" t="str">
        <f>IF(B12="出让",IF(I13="","",ROUNDDOWN(MIN((I13-$D$3)/365,I14),2)),I14)</f>
        <v/>
      </c>
      <c r="J15" s="2045"/>
      <c r="K15" s="2085"/>
      <c r="L15" s="2086"/>
      <c r="M15" s="2086"/>
      <c r="N15" s="2087"/>
      <c r="O15" s="2086"/>
      <c r="P15" s="2087"/>
      <c r="Q15" s="2032"/>
      <c r="R15" s="2032"/>
    </row>
    <row r="16" spans="1:19" ht="30.75" customHeight="1">
      <c r="A16" s="2068" t="s">
        <v>1803</v>
      </c>
      <c r="B16" s="3029" t="s">
        <v>3058</v>
      </c>
      <c r="C16" s="3030"/>
      <c r="D16" s="3031"/>
      <c r="E16" s="2088" t="s">
        <v>1804</v>
      </c>
      <c r="F16" s="3032">
        <v>38.4</v>
      </c>
      <c r="G16" s="3033"/>
      <c r="H16" s="3033"/>
      <c r="I16" s="3034"/>
      <c r="J16" s="2032"/>
      <c r="K16" s="2085"/>
      <c r="L16" s="2086"/>
      <c r="M16" s="2086"/>
      <c r="N16" s="2087"/>
      <c r="O16" s="2086"/>
      <c r="P16" s="2087"/>
      <c r="Q16" s="2032"/>
      <c r="R16" s="2032"/>
    </row>
    <row r="17" spans="1:22" ht="18" customHeight="1">
      <c r="A17" s="2089" t="s">
        <v>1805</v>
      </c>
      <c r="B17" s="2038" t="s">
        <v>1806</v>
      </c>
      <c r="C17" s="1056">
        <f>'数据-汇总表'!E3</f>
        <v>16724.510000000002</v>
      </c>
      <c r="D17" s="2090" t="s">
        <v>1807</v>
      </c>
      <c r="E17" s="3035" t="s">
        <v>3060</v>
      </c>
      <c r="F17" s="3036"/>
      <c r="G17" s="3036"/>
      <c r="H17" s="3036"/>
      <c r="I17" s="3037"/>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9999.1</v>
      </c>
      <c r="D18" s="2093" t="s">
        <v>1807</v>
      </c>
      <c r="E18" s="3038" t="s">
        <v>3059</v>
      </c>
      <c r="F18" s="3039"/>
      <c r="G18" s="3039"/>
      <c r="H18" s="3039"/>
      <c r="I18" s="3040"/>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3061</v>
      </c>
      <c r="D19" s="2095" t="s">
        <v>1811</v>
      </c>
      <c r="E19" s="2096" t="s">
        <v>70</v>
      </c>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1812</v>
      </c>
      <c r="B20" s="3025" t="s">
        <v>1813</v>
      </c>
      <c r="C20" s="3026"/>
      <c r="D20" s="3027" t="s">
        <v>1814</v>
      </c>
      <c r="E20" s="3028"/>
      <c r="F20" s="2100" t="s">
        <v>1815</v>
      </c>
      <c r="G20" s="2045"/>
      <c r="H20" s="2045"/>
      <c r="I20" s="2045"/>
      <c r="J20" s="2045"/>
      <c r="K20" s="3024"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t="s">
        <v>1819</v>
      </c>
      <c r="E21" s="2104" t="s">
        <v>1818</v>
      </c>
      <c r="F21" s="2105"/>
      <c r="G21" s="2045"/>
      <c r="H21" s="2045"/>
      <c r="I21" s="2045"/>
      <c r="J21" s="2045"/>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1820</v>
      </c>
      <c r="C22" s="2102" t="s">
        <v>1821</v>
      </c>
      <c r="D22" s="2029"/>
      <c r="E22" s="2029"/>
      <c r="F22" s="2107"/>
      <c r="G22" s="2045"/>
      <c r="H22" s="2045"/>
      <c r="I22" s="2045"/>
      <c r="J22" s="2045"/>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1822</v>
      </c>
      <c r="B23" s="183" t="s">
        <v>1823</v>
      </c>
      <c r="C23" s="2109"/>
      <c r="D23" s="2110" t="s">
        <v>1823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1824</v>
      </c>
      <c r="C24" s="2114"/>
      <c r="D24" s="2108" t="s">
        <v>1824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1825</v>
      </c>
      <c r="C25" s="2114"/>
      <c r="D25" s="2108" t="s">
        <v>1825</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1826</v>
      </c>
      <c r="C26" s="2118"/>
      <c r="D26" s="2119" t="s">
        <v>1827</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12" t="s">
        <v>1828</v>
      </c>
      <c r="B27" s="2065" t="s">
        <v>1829</v>
      </c>
      <c r="C27" s="2122" t="s">
        <v>3062</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12"/>
      <c r="B28" s="2038" t="s">
        <v>1830</v>
      </c>
      <c r="C28" s="2124" t="s">
        <v>3063</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12"/>
      <c r="B29" s="2038" t="s">
        <v>1831</v>
      </c>
      <c r="C29" s="2127" t="s">
        <v>3061</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13"/>
      <c r="B30" s="2038" t="s">
        <v>1832</v>
      </c>
      <c r="C30" s="3014"/>
      <c r="D30" s="3015"/>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16" t="s">
        <v>1833</v>
      </c>
      <c r="B31" s="2129" t="s">
        <v>3064</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17"/>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17"/>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1834</v>
      </c>
      <c r="B34" s="2136"/>
      <c r="C34" s="2136"/>
      <c r="D34" s="2136"/>
      <c r="E34" s="2136"/>
      <c r="F34" s="2136"/>
      <c r="G34" s="2136"/>
      <c r="H34" s="2136"/>
      <c r="I34" s="2045"/>
      <c r="J34" s="2045"/>
      <c r="K34" s="1798">
        <f>COUNTIF(B34:H34,"——")</f>
        <v>0</v>
      </c>
      <c r="L34" s="2077" t="s">
        <v>1835</v>
      </c>
      <c r="M34" s="2077" t="s">
        <v>1836</v>
      </c>
      <c r="N34" s="2077" t="s">
        <v>1837</v>
      </c>
      <c r="O34" s="2077" t="s">
        <v>1838</v>
      </c>
      <c r="P34" s="2077" t="s">
        <v>1839</v>
      </c>
      <c r="Q34" s="2077" t="s">
        <v>1840</v>
      </c>
      <c r="R34" s="2077" t="s">
        <v>1841</v>
      </c>
      <c r="S34" s="3011" t="s">
        <v>1842</v>
      </c>
      <c r="T34" s="2137" t="str">
        <f>NUMBERSTRING(7-K34,1)&amp;"通"</f>
        <v>七通</v>
      </c>
      <c r="U34" s="2032"/>
      <c r="V34" s="2032"/>
    </row>
    <row r="35" spans="1:22" ht="18" customHeight="1">
      <c r="A35" s="2138"/>
      <c r="B35" s="3018" t="s">
        <v>1843</v>
      </c>
      <c r="C35" s="3018"/>
      <c r="D35" s="3018"/>
      <c r="E35" s="3018"/>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1"/>
      <c r="T35" s="48" t="str">
        <f>IF(T34="一通",L35,IF(T34="二通",M35,IF(T34="三通",N35,IF(T34="四通",O35,IF(T34="五通",P35,IF(T34="六通",Q35,R35))))))</f>
        <v>、、、、、、</v>
      </c>
      <c r="U35" s="2032"/>
      <c r="V35" s="2032"/>
    </row>
    <row r="36" spans="1:22" ht="18" customHeight="1">
      <c r="A36" s="2140"/>
      <c r="B36" s="2139" t="s">
        <v>1844</v>
      </c>
      <c r="C36" s="2139" t="s">
        <v>1845</v>
      </c>
      <c r="D36" s="2139" t="s">
        <v>1846</v>
      </c>
      <c r="E36" s="2139" t="s">
        <v>1847</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1848</v>
      </c>
      <c r="B37" s="2143"/>
      <c r="C37" s="2143"/>
      <c r="D37" s="2143"/>
      <c r="E37" s="2143" t="s">
        <v>528</v>
      </c>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1849</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1852</v>
      </c>
      <c r="B42" s="1798" t="s">
        <v>1853</v>
      </c>
      <c r="C42" s="1798" t="s">
        <v>1854</v>
      </c>
      <c r="D42" s="1798" t="s">
        <v>1855</v>
      </c>
      <c r="E42" s="1798" t="s">
        <v>1856</v>
      </c>
      <c r="F42" s="1798" t="s">
        <v>1857</v>
      </c>
      <c r="G42" s="1798" t="s">
        <v>1858</v>
      </c>
      <c r="H42" s="1798" t="s">
        <v>1859</v>
      </c>
      <c r="I42" s="1798" t="s">
        <v>1860</v>
      </c>
      <c r="J42" s="2155" t="s">
        <v>1861</v>
      </c>
      <c r="K42" s="2078" t="s">
        <v>1862</v>
      </c>
      <c r="L42" s="2078" t="s">
        <v>1863</v>
      </c>
      <c r="M42" s="2078" t="s">
        <v>1864</v>
      </c>
      <c r="N42" s="1798" t="s">
        <v>1865</v>
      </c>
      <c r="O42" s="1798" t="s">
        <v>1866</v>
      </c>
      <c r="P42" s="1798" t="s">
        <v>1867</v>
      </c>
      <c r="Q42" s="2077" t="s">
        <v>1868</v>
      </c>
      <c r="R42" s="2077" t="s">
        <v>1869</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9999.1</v>
      </c>
      <c r="B3" s="14">
        <f>IF(C3="否",G5-AT5,G5)</f>
        <v>16724.510000000002</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1879</v>
      </c>
      <c r="B5" s="1806"/>
      <c r="C5" s="1806"/>
      <c r="D5" s="1809"/>
      <c r="E5" s="16" t="s">
        <v>1</v>
      </c>
      <c r="F5" s="16">
        <f>SUM(F13:F587)</f>
        <v>0</v>
      </c>
      <c r="G5" s="16">
        <f>SUM(G13:G587)</f>
        <v>16724.510000000002</v>
      </c>
      <c r="H5" s="16">
        <f t="shared" ref="H5:AT5" si="0">SUM(H13:H656)</f>
        <v>16724.510000000002</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16724.510000000002</v>
      </c>
      <c r="BA5" s="18">
        <f t="shared" si="1"/>
        <v>16724.510000000002</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1880</v>
      </c>
      <c r="B6" s="2177"/>
      <c r="C6" s="2177"/>
      <c r="D6" s="2178"/>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1880</v>
      </c>
      <c r="AW6" s="2177"/>
      <c r="AX6" s="2177"/>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1888</v>
      </c>
      <c r="AV7" s="23" t="s">
        <v>1889</v>
      </c>
      <c r="AW7" s="2169" t="s">
        <v>1890</v>
      </c>
      <c r="AX7" s="23" t="s">
        <v>1883</v>
      </c>
      <c r="AY7" s="1806"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1"/>
      <c r="K8" s="1821"/>
      <c r="L8" s="1821"/>
      <c r="M8" s="1821"/>
      <c r="N8" s="1821"/>
      <c r="O8" s="1821"/>
      <c r="P8" s="1821"/>
      <c r="Q8" s="1821"/>
      <c r="R8" s="1821"/>
      <c r="S8" s="1821"/>
      <c r="T8" s="1821"/>
      <c r="U8" s="1821"/>
      <c r="V8" s="2189"/>
      <c r="W8" s="1821"/>
      <c r="X8" s="1821"/>
      <c r="Y8" s="1821"/>
      <c r="Z8" s="1821"/>
      <c r="AA8" s="2189"/>
      <c r="AB8" s="2190"/>
      <c r="AC8" s="983" t="s">
        <v>1894</v>
      </c>
      <c r="AD8" s="2191"/>
      <c r="AE8" s="2183"/>
      <c r="AF8" s="1821"/>
      <c r="AG8" s="1821"/>
      <c r="AH8" s="1821"/>
      <c r="AI8" s="1821"/>
      <c r="AJ8" s="1821"/>
      <c r="AK8" s="1821"/>
      <c r="AL8" s="1821"/>
      <c r="AM8" s="1821"/>
      <c r="AN8" s="1821"/>
      <c r="AO8" s="1821"/>
      <c r="AP8" s="1821"/>
      <c r="AQ8" s="1821"/>
      <c r="AR8" s="1821"/>
      <c r="AS8" s="1821"/>
      <c r="AT8" s="1294" t="s">
        <v>1895</v>
      </c>
      <c r="AU8" s="2185" t="s">
        <v>1896</v>
      </c>
      <c r="AV8" s="1294"/>
      <c r="AW8" s="2168"/>
      <c r="AX8" s="1294"/>
      <c r="AY8" s="2169"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1899</v>
      </c>
      <c r="I9" s="2194" t="s">
        <v>3066</v>
      </c>
      <c r="J9" s="983"/>
      <c r="K9" s="2194" t="s">
        <v>3068</v>
      </c>
      <c r="L9" s="983"/>
      <c r="M9" s="2194"/>
      <c r="N9" s="983"/>
      <c r="O9" s="2194"/>
      <c r="P9" s="983"/>
      <c r="Q9" s="2194"/>
      <c r="R9" s="983"/>
      <c r="S9" s="2194"/>
      <c r="T9" s="983"/>
      <c r="U9" s="2194"/>
      <c r="V9" s="983"/>
      <c r="W9" s="2194"/>
      <c r="X9" s="2195"/>
      <c r="Y9" s="2194"/>
      <c r="Z9" s="983"/>
      <c r="AA9" s="2194"/>
      <c r="AB9" s="983"/>
      <c r="AC9" s="2186"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6"/>
      <c r="AT9" s="2185"/>
      <c r="AU9" s="2185" t="s">
        <v>1902</v>
      </c>
      <c r="AV9" s="1294"/>
      <c r="AW9" s="2168"/>
      <c r="AX9" s="1294"/>
      <c r="AY9" s="28"/>
      <c r="AZ9" s="28" t="s">
        <v>1892</v>
      </c>
      <c r="BA9" s="2197" t="s">
        <v>1903</v>
      </c>
      <c r="BB9" s="2198"/>
      <c r="BC9" s="1340"/>
      <c r="BD9" s="1340"/>
      <c r="BE9" s="1340"/>
      <c r="BF9" s="1340"/>
      <c r="BG9" s="1340"/>
      <c r="BH9" s="1340"/>
      <c r="BI9" s="1340"/>
      <c r="BJ9" s="1340"/>
      <c r="BK9" s="2199"/>
      <c r="BL9" s="15" t="s">
        <v>1904</v>
      </c>
      <c r="BM9" s="1821"/>
      <c r="BN9" s="2188"/>
      <c r="BO9" s="1821"/>
      <c r="BP9" s="1821"/>
      <c r="BQ9" s="1821"/>
      <c r="BR9" s="1821"/>
      <c r="BS9" s="1821"/>
      <c r="BT9" s="26"/>
    </row>
    <row r="10" spans="1:72" s="2192" customFormat="1" ht="12.75">
      <c r="A10" s="2185"/>
      <c r="B10" s="2185"/>
      <c r="C10" s="2185"/>
      <c r="D10" s="2185"/>
      <c r="E10" s="2185"/>
      <c r="F10" s="2185"/>
      <c r="G10" s="1294"/>
      <c r="H10" s="28"/>
      <c r="I10" s="2194" t="s">
        <v>3057</v>
      </c>
      <c r="J10" s="983"/>
      <c r="K10" s="2200" t="s">
        <v>3057</v>
      </c>
      <c r="L10" s="983"/>
      <c r="M10" s="2200"/>
      <c r="N10" s="983"/>
      <c r="O10" s="2200"/>
      <c r="P10" s="983"/>
      <c r="Q10" s="2200"/>
      <c r="R10" s="983"/>
      <c r="S10" s="2200"/>
      <c r="T10" s="983"/>
      <c r="U10" s="2200"/>
      <c r="V10" s="983"/>
      <c r="W10" s="2200"/>
      <c r="X10" s="983"/>
      <c r="Y10" s="2200"/>
      <c r="Z10" s="983"/>
      <c r="AA10" s="2200"/>
      <c r="AB10" s="983"/>
      <c r="AC10" s="1294"/>
      <c r="AD10" s="15" t="s">
        <v>1905</v>
      </c>
      <c r="AE10" s="2201"/>
      <c r="AF10" s="15" t="s">
        <v>1905</v>
      </c>
      <c r="AG10" s="2201"/>
      <c r="AH10" s="15" t="s">
        <v>1906</v>
      </c>
      <c r="AI10" s="2201"/>
      <c r="AJ10" s="15" t="s">
        <v>1906</v>
      </c>
      <c r="AK10" s="2201"/>
      <c r="AL10" s="15" t="s">
        <v>1907</v>
      </c>
      <c r="AM10" s="1300"/>
      <c r="AN10" s="15" t="s">
        <v>1907</v>
      </c>
      <c r="AO10" s="1300"/>
      <c r="AP10" s="15" t="s">
        <v>1908</v>
      </c>
      <c r="AQ10" s="1300"/>
      <c r="AR10" s="15" t="s">
        <v>1908</v>
      </c>
      <c r="AS10" s="1300"/>
      <c r="AT10" s="2185"/>
      <c r="AU10" s="2185"/>
      <c r="AV10" s="1294"/>
      <c r="AW10" s="2168"/>
      <c r="AX10" s="1294"/>
      <c r="AY10" s="28"/>
      <c r="AZ10" s="28"/>
      <c r="BA10" s="2202" t="s">
        <v>1899</v>
      </c>
      <c r="BB10" s="2203"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1909</v>
      </c>
      <c r="AE11" s="1822"/>
      <c r="AF11" s="2207" t="s">
        <v>1909</v>
      </c>
      <c r="AG11" s="1822"/>
      <c r="AH11" s="2207" t="s">
        <v>1910</v>
      </c>
      <c r="AI11" s="2208"/>
      <c r="AJ11" s="2207" t="s">
        <v>1910</v>
      </c>
      <c r="AK11" s="1822"/>
      <c r="AL11" s="1820"/>
      <c r="AM11" s="1822"/>
      <c r="AN11" s="1820"/>
      <c r="AO11" s="1822"/>
      <c r="AP11" s="1820"/>
      <c r="AQ11" s="1822"/>
      <c r="AR11" s="1820"/>
      <c r="AS11" s="1822"/>
      <c r="AT11" s="2168"/>
      <c r="AU11" s="2185"/>
      <c r="AV11" s="1294"/>
      <c r="AW11" s="2168"/>
      <c r="AX11" s="1294"/>
      <c r="AY11" s="28"/>
      <c r="AZ11" s="28"/>
      <c r="BA11" s="28"/>
      <c r="BB11" s="2190" t="str">
        <f>I10</f>
        <v>仓储</v>
      </c>
      <c r="BC11" s="2190" t="str">
        <f>K10</f>
        <v>仓储</v>
      </c>
      <c r="BD11" s="2190">
        <f>M10</f>
        <v>0</v>
      </c>
      <c r="BE11" s="2190">
        <f>O10</f>
        <v>0</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2"/>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0" t="s">
        <v>1912</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t="s">
        <v>3065</v>
      </c>
      <c r="C13" s="1274" t="s">
        <v>3189</v>
      </c>
      <c r="D13" s="2948" t="s">
        <v>3044</v>
      </c>
      <c r="E13" s="16">
        <f>IF($C$3="是",ROUND($A$3*G13/$B$3,2),ROUND($A$3*(G13-AT13)/$B$3,2))</f>
        <v>81.38</v>
      </c>
      <c r="F13" s="32"/>
      <c r="G13" s="33">
        <f>H13+AC13+AT13</f>
        <v>136.12</v>
      </c>
      <c r="H13" s="20">
        <f>SUMIF(I$12:AB$12,"总值",I13:AB13)</f>
        <v>136.12</v>
      </c>
      <c r="I13" s="2944">
        <v>136.12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1幢</v>
      </c>
      <c r="AX13" s="11" t="str">
        <f t="shared" si="6"/>
        <v>1层</v>
      </c>
      <c r="AY13" s="1809">
        <f>ROUND($AY$6*AZ13/$AZ$5,2)</f>
        <v>81.38</v>
      </c>
      <c r="AZ13" s="16">
        <f>BA13+BL13</f>
        <v>136.12</v>
      </c>
      <c r="BA13" s="16">
        <f>SUM(BB13:BK13)</f>
        <v>136.12</v>
      </c>
      <c r="BB13" s="16">
        <f>IF($D13="是",I13-J13,0)</f>
        <v>136.12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t="s">
        <v>3065</v>
      </c>
      <c r="C14" s="2156" t="s">
        <v>3190</v>
      </c>
      <c r="D14" s="2948" t="s">
        <v>3044</v>
      </c>
      <c r="E14" s="16">
        <f>IF($C$3="是",ROUND($A$3*G14/$B$3,2),ROUND($A$3*(G14-AT14)/$B$3,2))</f>
        <v>73.349999999999994</v>
      </c>
      <c r="F14" s="32"/>
      <c r="G14" s="33">
        <f>H14+AC14+AT14</f>
        <v>122.69</v>
      </c>
      <c r="H14" s="20">
        <f>SUMIF(I$12:AB$12,"总值",I14:AB14)</f>
        <v>122.69</v>
      </c>
      <c r="I14" s="2944">
        <v>122.69</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1幢</v>
      </c>
      <c r="AX14" s="11" t="str">
        <f t="shared" si="6"/>
        <v>2层</v>
      </c>
      <c r="AY14" s="1809">
        <f>ROUND($AY$6*AZ14/$AZ$5,2)</f>
        <v>73.349999999999994</v>
      </c>
      <c r="AZ14" s="16">
        <f>BA14+BL14</f>
        <v>122.69</v>
      </c>
      <c r="BA14" s="16">
        <f>SUM(BB14:BK14)</f>
        <v>122.69</v>
      </c>
      <c r="BB14" s="16">
        <f>IF($D14="是",I14-J14,0)</f>
        <v>122.69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t="s">
        <v>3067</v>
      </c>
      <c r="C15" s="2966" t="s">
        <v>3194</v>
      </c>
      <c r="D15" s="2948" t="s">
        <v>3044</v>
      </c>
      <c r="E15" s="16">
        <f>IF($C$3="是",ROUND($A$3*G15/$B$3,2),ROUND($A$3*(G15-AT15)/$B$3,2))</f>
        <v>336.27</v>
      </c>
      <c r="F15" s="32"/>
      <c r="G15" s="33">
        <f>H15+AC15+AT15</f>
        <v>562.44000000000005</v>
      </c>
      <c r="H15" s="20">
        <f>SUMIF(I$12:AB$12,"总值",I15:AB15)</f>
        <v>562.44000000000005</v>
      </c>
      <c r="I15" s="2944"/>
      <c r="J15" s="2216"/>
      <c r="K15" s="2216">
        <v>562.44000000000005</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2幢</v>
      </c>
      <c r="AX15" s="11" t="str">
        <f t="shared" si="6"/>
        <v>-1层</v>
      </c>
      <c r="AY15" s="1809">
        <f>ROUND($AY$6*AZ15/$AZ$5,2)</f>
        <v>336.27</v>
      </c>
      <c r="AZ15" s="16">
        <f>BA15+BL15</f>
        <v>562.44000000000005</v>
      </c>
      <c r="BA15" s="16">
        <f>SUM(BB15:BK15)</f>
        <v>562.44000000000005</v>
      </c>
      <c r="BB15" s="16">
        <f>IF($D15="是",I15-J15,0)</f>
        <v>0</v>
      </c>
      <c r="BC15" s="16">
        <f>IF($D15="是",K15-L15,0)</f>
        <v>562.44000000000005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t="s">
        <v>3067</v>
      </c>
      <c r="C16" s="2156" t="s">
        <v>3189</v>
      </c>
      <c r="D16" s="2948" t="s">
        <v>3044</v>
      </c>
      <c r="E16" s="16">
        <f>IF($C$3="是",ROUND($A$3*G16/$B$3,2),ROUND($A$3*(G16-AT16)/$B$3,2))</f>
        <v>2739.98</v>
      </c>
      <c r="F16" s="32"/>
      <c r="G16" s="33">
        <f>H16+AC16+AT16</f>
        <v>4582.8900000000003</v>
      </c>
      <c r="H16" s="20">
        <f>SUMIF(I$12:AB$12,"总值",I16:AB16)</f>
        <v>4582.8900000000003</v>
      </c>
      <c r="I16" s="2944">
        <v>4582.8900000000003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2幢</v>
      </c>
      <c r="AX16" s="11" t="str">
        <f t="shared" si="6"/>
        <v>1层</v>
      </c>
      <c r="AY16" s="1809">
        <f>ROUND($AY$6*AZ16/$AZ$5,2)</f>
        <v>2739.98</v>
      </c>
      <c r="AZ16" s="16">
        <f>BA16+BL16</f>
        <v>4582.8900000000003</v>
      </c>
      <c r="BA16" s="16">
        <f>SUM(BB16:BK16)</f>
        <v>4582.8900000000003</v>
      </c>
      <c r="BB16" s="16">
        <f>IF($D16="是",I16-J16,0)</f>
        <v>4582.8900000000003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t="s">
        <v>3067</v>
      </c>
      <c r="C17" s="2156" t="s">
        <v>3190</v>
      </c>
      <c r="D17" s="2948" t="s">
        <v>3044</v>
      </c>
      <c r="E17" s="16">
        <f>IF($C$3="是",ROUND($A$3*G17/$B$3,2),ROUND($A$3*(G17-AT17)/$B$3,2))</f>
        <v>765.96</v>
      </c>
      <c r="F17" s="32"/>
      <c r="G17" s="33">
        <f>H17+AC17+AT17</f>
        <v>1281.1400000000001</v>
      </c>
      <c r="H17" s="20">
        <f>SUMIF(I$12:AB$12,"总值",I17:AB17)</f>
        <v>1281.1400000000001</v>
      </c>
      <c r="I17" s="2945">
        <v>1281.1400000000001</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2幢</v>
      </c>
      <c r="AX17" s="11" t="str">
        <f t="shared" si="6"/>
        <v>2层</v>
      </c>
      <c r="AY17" s="1809">
        <f>ROUND($AY$6*AZ17/$AZ$5,2)</f>
        <v>765.96</v>
      </c>
      <c r="AZ17" s="16">
        <f>BA17+BL17</f>
        <v>1281.1400000000001</v>
      </c>
      <c r="BA17" s="16">
        <f>SUM(BB17:BK17)</f>
        <v>1281.1400000000001</v>
      </c>
      <c r="BB17" s="16">
        <f>IF($D17="是",I17-J17,0)</f>
        <v>1281.1400000000001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74" t="s">
        <v>3067</v>
      </c>
      <c r="C18" s="34" t="s">
        <v>3191</v>
      </c>
      <c r="D18" s="2948" t="s">
        <v>3044</v>
      </c>
      <c r="E18" s="35">
        <f t="shared" ref="E18:E112" si="7">IF($C$3="是",ROUND($A$3*G18/$B$3,2),ROUND($A$3*(G18-AT18)/$B$3,2))</f>
        <v>2807.35</v>
      </c>
      <c r="F18" s="36"/>
      <c r="G18" s="37">
        <f t="shared" ref="G18:G109" si="8">H18+AC18+AT18</f>
        <v>4695.57</v>
      </c>
      <c r="H18" s="38">
        <f t="shared" ref="H18:H109" si="9">SUMIF(I$12:AB$12,"总值",I18:AB18)</f>
        <v>4695.57</v>
      </c>
      <c r="I18" s="2945">
        <v>4695.57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t="str">
        <f t="shared" ref="AW18:AW112" si="12">B18</f>
        <v>2幢</v>
      </c>
      <c r="AX18" s="1798" t="str">
        <f t="shared" ref="AX18:AX112" si="13">C18</f>
        <v>3层</v>
      </c>
      <c r="AY18" s="42">
        <f t="shared" ref="AY18:AY109" si="14">ROUND($AY$6*AZ18/$AZ$5,2)</f>
        <v>2807.35</v>
      </c>
      <c r="AZ18" s="35">
        <f t="shared" ref="AZ18:AZ109" si="15">BA18+BL18</f>
        <v>4695.57</v>
      </c>
      <c r="BA18" s="35">
        <f t="shared" ref="BA18:BA109" si="16">SUM(BB18:BK18)</f>
        <v>4695.57</v>
      </c>
      <c r="BB18" s="35">
        <f t="shared" ref="BB18:BB109" si="17">IF($D18="是",I18-J18,0)</f>
        <v>4695.57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74" t="s">
        <v>3067</v>
      </c>
      <c r="C19" s="34" t="s">
        <v>3192</v>
      </c>
      <c r="D19" s="2948" t="s">
        <v>3044</v>
      </c>
      <c r="E19" s="35">
        <f t="shared" si="7"/>
        <v>275.93</v>
      </c>
      <c r="F19" s="36"/>
      <c r="G19" s="37">
        <f t="shared" si="8"/>
        <v>461.52</v>
      </c>
      <c r="H19" s="38">
        <f t="shared" si="9"/>
        <v>461.52</v>
      </c>
      <c r="I19" s="2944">
        <v>461.52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t="str">
        <f t="shared" si="12"/>
        <v>2幢</v>
      </c>
      <c r="AX19" s="1798" t="str">
        <f t="shared" si="13"/>
        <v>4层</v>
      </c>
      <c r="AY19" s="42">
        <f t="shared" si="14"/>
        <v>275.93</v>
      </c>
      <c r="AZ19" s="35">
        <f t="shared" si="15"/>
        <v>461.52</v>
      </c>
      <c r="BA19" s="35">
        <f t="shared" si="16"/>
        <v>461.52</v>
      </c>
      <c r="BB19" s="35">
        <f t="shared" si="17"/>
        <v>461.52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74" t="s">
        <v>3067</v>
      </c>
      <c r="C20" s="34" t="s">
        <v>3193</v>
      </c>
      <c r="D20" s="2948" t="s">
        <v>3044</v>
      </c>
      <c r="E20" s="35">
        <f t="shared" si="7"/>
        <v>2737.3</v>
      </c>
      <c r="F20" s="36"/>
      <c r="G20" s="37">
        <f t="shared" si="8"/>
        <v>4578.42</v>
      </c>
      <c r="H20" s="38">
        <f t="shared" si="9"/>
        <v>4578.42</v>
      </c>
      <c r="I20" s="2944">
        <v>4578.42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t="str">
        <f t="shared" si="12"/>
        <v>2幢</v>
      </c>
      <c r="AX20" s="1798" t="str">
        <f t="shared" si="13"/>
        <v>5层</v>
      </c>
      <c r="AY20" s="42">
        <f t="shared" si="14"/>
        <v>2737.3</v>
      </c>
      <c r="AZ20" s="35">
        <f t="shared" si="15"/>
        <v>4578.42</v>
      </c>
      <c r="BA20" s="35">
        <f t="shared" si="16"/>
        <v>4578.42</v>
      </c>
      <c r="BB20" s="35">
        <f t="shared" si="17"/>
        <v>4578.42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1274" t="s">
        <v>3067</v>
      </c>
      <c r="C21" s="2946" t="s">
        <v>3188</v>
      </c>
      <c r="D21" s="2948" t="s">
        <v>3044</v>
      </c>
      <c r="E21" s="35">
        <f t="shared" si="7"/>
        <v>181.59</v>
      </c>
      <c r="F21" s="36"/>
      <c r="G21" s="37">
        <f t="shared" si="8"/>
        <v>303.72000000000003</v>
      </c>
      <c r="H21" s="38">
        <f t="shared" si="9"/>
        <v>303.72000000000003</v>
      </c>
      <c r="I21" s="2944">
        <v>303.72000000000003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t="str">
        <f t="shared" si="12"/>
        <v>2幢</v>
      </c>
      <c r="AX21" s="1798" t="str">
        <f t="shared" si="13"/>
        <v>附属用房层</v>
      </c>
      <c r="AY21" s="42">
        <f t="shared" si="14"/>
        <v>181.59</v>
      </c>
      <c r="AZ21" s="35">
        <f t="shared" si="15"/>
        <v>303.72000000000003</v>
      </c>
      <c r="BA21" s="35">
        <f t="shared" si="16"/>
        <v>303.72000000000003</v>
      </c>
      <c r="BB21" s="35">
        <f t="shared" si="17"/>
        <v>303.72000000000003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8" t="s">
        <v>3044</v>
      </c>
      <c r="E22" s="35">
        <f t="shared" si="7"/>
        <v>0</v>
      </c>
      <c r="F22" s="36"/>
      <c r="G22" s="37">
        <f t="shared" si="8"/>
        <v>0</v>
      </c>
      <c r="H22" s="38">
        <f t="shared" si="9"/>
        <v>0</v>
      </c>
      <c r="I22" s="294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8" t="s">
        <v>3044</v>
      </c>
      <c r="E23" s="35">
        <f t="shared" si="7"/>
        <v>0</v>
      </c>
      <c r="F23" s="36"/>
      <c r="G23" s="37">
        <f t="shared" si="8"/>
        <v>0</v>
      </c>
      <c r="H23" s="38">
        <f t="shared" si="9"/>
        <v>0</v>
      </c>
      <c r="I23" s="2944"/>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8" t="s">
        <v>3044</v>
      </c>
      <c r="E24" s="35">
        <f t="shared" si="7"/>
        <v>0</v>
      </c>
      <c r="F24" s="36"/>
      <c r="G24" s="37">
        <f t="shared" si="8"/>
        <v>0</v>
      </c>
      <c r="H24" s="38">
        <f t="shared" si="9"/>
        <v>0</v>
      </c>
      <c r="I24" s="2944"/>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8" t="s">
        <v>3044</v>
      </c>
      <c r="E25" s="35">
        <f t="shared" si="7"/>
        <v>0</v>
      </c>
      <c r="F25" s="36"/>
      <c r="G25" s="37">
        <f t="shared" si="8"/>
        <v>0</v>
      </c>
      <c r="H25" s="38">
        <f t="shared" si="9"/>
        <v>0</v>
      </c>
      <c r="I25" s="2944"/>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8" t="s">
        <v>3044</v>
      </c>
      <c r="E26" s="35">
        <f t="shared" si="7"/>
        <v>0</v>
      </c>
      <c r="F26" s="36"/>
      <c r="G26" s="37">
        <f t="shared" si="8"/>
        <v>0</v>
      </c>
      <c r="H26" s="38">
        <f t="shared" si="9"/>
        <v>0</v>
      </c>
      <c r="I26" s="2944"/>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8" t="s">
        <v>3044</v>
      </c>
      <c r="E27" s="35">
        <f t="shared" si="7"/>
        <v>0</v>
      </c>
      <c r="F27" s="36"/>
      <c r="G27" s="37">
        <f t="shared" si="8"/>
        <v>0</v>
      </c>
      <c r="H27" s="38">
        <f t="shared" si="9"/>
        <v>0</v>
      </c>
      <c r="I27" s="2944"/>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8" t="s">
        <v>3044</v>
      </c>
      <c r="E28" s="35">
        <f t="shared" si="7"/>
        <v>0</v>
      </c>
      <c r="F28" s="36"/>
      <c r="G28" s="37">
        <f t="shared" si="8"/>
        <v>0</v>
      </c>
      <c r="H28" s="38">
        <f t="shared" si="9"/>
        <v>0</v>
      </c>
      <c r="I28" s="2944"/>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8" t="s">
        <v>3044</v>
      </c>
      <c r="E29" s="35">
        <f t="shared" si="7"/>
        <v>0</v>
      </c>
      <c r="F29" s="36"/>
      <c r="G29" s="37">
        <f t="shared" si="8"/>
        <v>0</v>
      </c>
      <c r="H29" s="38">
        <f t="shared" si="9"/>
        <v>0</v>
      </c>
      <c r="I29" s="2944"/>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8" t="s">
        <v>3044</v>
      </c>
      <c r="E30" s="35">
        <f t="shared" si="7"/>
        <v>0</v>
      </c>
      <c r="F30" s="36"/>
      <c r="G30" s="37">
        <f t="shared" si="8"/>
        <v>0</v>
      </c>
      <c r="H30" s="38">
        <f t="shared" si="9"/>
        <v>0</v>
      </c>
      <c r="I30" s="2944"/>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8" t="s">
        <v>3044</v>
      </c>
      <c r="E31" s="35">
        <f t="shared" si="7"/>
        <v>0</v>
      </c>
      <c r="F31" s="36"/>
      <c r="G31" s="37">
        <f t="shared" si="8"/>
        <v>0</v>
      </c>
      <c r="H31" s="38">
        <f t="shared" si="9"/>
        <v>0</v>
      </c>
      <c r="I31" s="2945"/>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8" t="s">
        <v>3044</v>
      </c>
      <c r="E32" s="35">
        <f t="shared" si="7"/>
        <v>0</v>
      </c>
      <c r="F32" s="36"/>
      <c r="G32" s="37">
        <f t="shared" si="8"/>
        <v>0</v>
      </c>
      <c r="H32" s="38">
        <f t="shared" si="9"/>
        <v>0</v>
      </c>
      <c r="I32" s="2944"/>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6"/>
      <c r="D33" s="2948" t="s">
        <v>3044</v>
      </c>
      <c r="E33" s="35">
        <f t="shared" si="7"/>
        <v>0</v>
      </c>
      <c r="F33" s="36"/>
      <c r="G33" s="37">
        <f t="shared" si="8"/>
        <v>0</v>
      </c>
      <c r="H33" s="38">
        <f t="shared" si="9"/>
        <v>0</v>
      </c>
      <c r="I33" s="2944"/>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1938</v>
      </c>
      <c r="B1" s="1394"/>
      <c r="C1" s="1394"/>
      <c r="D1" s="1394"/>
      <c r="E1" s="1394"/>
      <c r="F1" s="1394"/>
      <c r="G1" s="1394"/>
      <c r="H1" s="1394"/>
      <c r="I1" s="1394"/>
      <c r="J1" s="1394"/>
      <c r="K1" s="1394"/>
      <c r="L1" s="1394"/>
      <c r="M1" s="1394"/>
      <c r="N1" s="1394"/>
      <c r="O1" s="1394"/>
      <c r="P1" s="1394"/>
    </row>
    <row r="2" spans="1:16" ht="15">
      <c r="A2" s="3052" t="s">
        <v>1939</v>
      </c>
      <c r="B2" s="3052"/>
      <c r="C2" s="3052"/>
      <c r="D2" s="969" t="s">
        <v>1915</v>
      </c>
      <c r="E2" s="2229" t="s">
        <v>1916</v>
      </c>
      <c r="F2" s="1394"/>
      <c r="G2" s="2230"/>
      <c r="H2" s="2231"/>
      <c r="I2" s="2232" t="s">
        <v>1940</v>
      </c>
      <c r="J2" s="1394"/>
      <c r="K2" s="1394"/>
      <c r="L2" s="1394"/>
      <c r="M2" s="1394"/>
      <c r="N2" s="1429"/>
      <c r="O2" s="1394"/>
      <c r="P2" s="1394"/>
    </row>
    <row r="3" spans="1:16" ht="15.75" thickBot="1">
      <c r="A3" s="3053" t="s">
        <v>1913</v>
      </c>
      <c r="B3" s="3053"/>
      <c r="C3" s="3053"/>
      <c r="D3" s="46">
        <f>'数据-基础表'!AY6</f>
        <v>9999.1</v>
      </c>
      <c r="E3" s="46">
        <f>'数据-基础表'!AZ5</f>
        <v>16724.510000000002</v>
      </c>
      <c r="F3" s="1394"/>
      <c r="G3" s="1401"/>
      <c r="H3" s="1249" t="s">
        <v>1914</v>
      </c>
      <c r="I3" s="55">
        <f>ROUND('数据-基础表'!B3/'数据-基础表'!A3,2)</f>
        <v>1.67</v>
      </c>
      <c r="J3" s="1394"/>
      <c r="K3" s="1394"/>
      <c r="L3" s="1394"/>
      <c r="M3" s="1394"/>
      <c r="N3" s="1429"/>
      <c r="O3" s="1394"/>
      <c r="P3" s="1394"/>
    </row>
    <row r="4" spans="1:16" ht="15">
      <c r="A4" s="3054"/>
      <c r="B4" s="3055"/>
      <c r="C4" s="3056"/>
      <c r="D4" s="2233" t="s">
        <v>1915</v>
      </c>
      <c r="E4" s="2234" t="s">
        <v>1916</v>
      </c>
      <c r="F4" s="1394"/>
      <c r="G4" s="2235" t="s">
        <v>1941</v>
      </c>
      <c r="H4" s="1249" t="s">
        <v>1921</v>
      </c>
      <c r="I4" s="55">
        <f>ROUND(SUMIF('数据-基础表'!I9:AS9,"地上",'数据-基础表'!I5:AS5)/'数据-基础表'!A3,2)</f>
        <v>1.62</v>
      </c>
      <c r="J4" s="1394"/>
      <c r="K4" s="1394"/>
      <c r="L4" s="1394"/>
      <c r="M4" s="1394"/>
      <c r="N4" s="1429"/>
      <c r="O4" s="1394"/>
      <c r="P4" s="1394"/>
    </row>
    <row r="5" spans="1:16">
      <c r="A5" s="47" t="s">
        <v>1917</v>
      </c>
      <c r="B5" s="3057" t="s">
        <v>1918</v>
      </c>
      <c r="C5" s="3057"/>
      <c r="D5" s="48">
        <f>ROUND($D$3*E5/$E$3,2)</f>
        <v>0</v>
      </c>
      <c r="E5" s="49">
        <f>SUMIF('数据-基础表'!$11:$11,"住宅",'数据-基础表'!$5:$5)</f>
        <v>0</v>
      </c>
      <c r="F5" s="1394"/>
      <c r="G5" s="1401"/>
      <c r="H5" s="1249" t="s">
        <v>1914</v>
      </c>
      <c r="I5" s="55">
        <f>ROUND(E31/D31,2)</f>
        <v>1.67</v>
      </c>
      <c r="J5" s="1394"/>
      <c r="K5" s="1394"/>
      <c r="L5" s="1394"/>
      <c r="M5" s="1394"/>
      <c r="N5" s="1394"/>
      <c r="O5" s="1394"/>
      <c r="P5" s="1394"/>
    </row>
    <row r="6" spans="1:16" ht="15" thickBot="1">
      <c r="A6" s="2236"/>
      <c r="B6" s="3057" t="s">
        <v>1919</v>
      </c>
      <c r="C6" s="3057"/>
      <c r="D6" s="48">
        <f>ROUND($D$3*E6/$E$3,2)</f>
        <v>9999.1</v>
      </c>
      <c r="E6" s="49">
        <f>E3-E5</f>
        <v>16724.510000000002</v>
      </c>
      <c r="F6" s="1394"/>
      <c r="G6" s="2237" t="s">
        <v>1920</v>
      </c>
      <c r="H6" s="1401" t="s">
        <v>1921</v>
      </c>
      <c r="I6" s="941">
        <f>ROUND(F31/D31,2)</f>
        <v>1.62</v>
      </c>
      <c r="J6" s="1394"/>
      <c r="K6" s="1394"/>
      <c r="L6" s="1394"/>
      <c r="M6" s="1394"/>
      <c r="N6" s="1394"/>
      <c r="O6" s="1394"/>
      <c r="P6" s="1394"/>
    </row>
    <row r="7" spans="1:16" ht="15">
      <c r="A7" s="3049"/>
      <c r="B7" s="3050"/>
      <c r="C7" s="3051"/>
      <c r="D7" s="2233" t="s">
        <v>1915</v>
      </c>
      <c r="E7" s="2238" t="s">
        <v>1922</v>
      </c>
      <c r="F7" s="1394"/>
      <c r="G7" s="2230" t="s">
        <v>1923</v>
      </c>
      <c r="H7" s="64"/>
      <c r="I7" s="420"/>
      <c r="J7" s="1394"/>
      <c r="K7" s="1394"/>
      <c r="L7" s="1394"/>
      <c r="M7" s="1394"/>
      <c r="N7" s="1394"/>
      <c r="O7" s="1394"/>
      <c r="P7" s="1394"/>
    </row>
    <row r="8" spans="1:16">
      <c r="A8" s="47" t="s">
        <v>1924</v>
      </c>
      <c r="B8" s="50" t="s">
        <v>1925</v>
      </c>
      <c r="C8" s="48" t="s">
        <v>1926</v>
      </c>
      <c r="D8" s="48">
        <f t="shared" ref="D8:D15" si="0">ROUND($D$3*E8/$E$3,2)</f>
        <v>9662.83</v>
      </c>
      <c r="E8" s="51">
        <f>SUMIF('数据-基础表'!BB10:BK10,"地上",'数据-基础表'!BB5:BK5)</f>
        <v>16162.07</v>
      </c>
      <c r="F8" s="1394"/>
      <c r="G8" s="2239"/>
      <c r="H8" s="2239"/>
      <c r="I8" s="1394"/>
      <c r="J8" s="1394"/>
      <c r="K8" s="1394"/>
      <c r="L8" s="1394"/>
      <c r="M8" s="1394"/>
      <c r="N8" s="1394"/>
      <c r="O8" s="1394"/>
      <c r="P8" s="1394"/>
    </row>
    <row r="9" spans="1:16">
      <c r="A9" s="2240"/>
      <c r="B9" s="2241"/>
      <c r="C9" s="48" t="s">
        <v>1927</v>
      </c>
      <c r="D9" s="48">
        <f t="shared" si="0"/>
        <v>0</v>
      </c>
      <c r="E9" s="52">
        <v>0</v>
      </c>
      <c r="F9" s="1394"/>
      <c r="G9" s="2239"/>
      <c r="H9" s="2239"/>
      <c r="I9" s="1394"/>
      <c r="J9" s="1394"/>
      <c r="K9" s="1394"/>
      <c r="L9" s="1394"/>
      <c r="M9" s="1394"/>
      <c r="N9" s="1394"/>
      <c r="O9" s="1394"/>
      <c r="P9" s="1394"/>
    </row>
    <row r="10" spans="1:16">
      <c r="A10" s="2240"/>
      <c r="B10" s="2241"/>
      <c r="C10" s="48" t="s">
        <v>1936</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1928</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1929</v>
      </c>
      <c r="D12" s="48">
        <f t="shared" si="0"/>
        <v>336.27</v>
      </c>
      <c r="E12" s="51">
        <f>SUMPRODUCT(('数据-基础表'!BB10:BK10="地下")*('数据-基础表'!BB11:BK11="仓储")*('数据-基础表'!BB5:BK5))</f>
        <v>562.44000000000005</v>
      </c>
      <c r="F12" s="1394"/>
      <c r="G12" s="2239"/>
      <c r="H12" s="2239"/>
      <c r="I12" s="1394"/>
      <c r="J12" s="1394"/>
      <c r="K12" s="1394"/>
      <c r="L12" s="1394"/>
      <c r="M12" s="1394"/>
      <c r="N12" s="1394"/>
      <c r="O12" s="1394"/>
      <c r="P12" s="1394"/>
    </row>
    <row r="13" spans="1:16">
      <c r="A13" s="2240"/>
      <c r="B13" s="2241"/>
      <c r="C13" s="48" t="s">
        <v>1930</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1942</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1937</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1931</v>
      </c>
      <c r="D16" s="50">
        <f>SUM(D8:D15)</f>
        <v>9999.1</v>
      </c>
      <c r="E16" s="53">
        <f>SUM(E8:E15)</f>
        <v>16724.509999999998</v>
      </c>
      <c r="F16" s="1394"/>
      <c r="G16" s="2239"/>
      <c r="H16" s="2242" t="s">
        <v>1943</v>
      </c>
      <c r="I16" s="2243"/>
      <c r="J16" s="1394"/>
      <c r="K16" s="3046" t="s">
        <v>1943</v>
      </c>
      <c r="L16" s="3047"/>
      <c r="M16" s="3047"/>
      <c r="N16" s="3047"/>
      <c r="O16" s="3047"/>
      <c r="P16" s="3048"/>
    </row>
    <row r="17" spans="1:19" ht="15">
      <c r="A17" s="2244" t="s">
        <v>1944</v>
      </c>
      <c r="B17" s="2245" t="s">
        <v>1945</v>
      </c>
      <c r="C17" s="2246" t="s">
        <v>1946</v>
      </c>
      <c r="D17" s="2247" t="s">
        <v>1934</v>
      </c>
      <c r="E17" s="2248" t="s">
        <v>1935</v>
      </c>
      <c r="F17" s="2249"/>
      <c r="G17" s="2250"/>
      <c r="H17" s="2251" t="s">
        <v>1947</v>
      </c>
      <c r="I17" s="2252" t="s">
        <v>1932</v>
      </c>
      <c r="J17" s="1394"/>
      <c r="K17" s="3043" t="s">
        <v>1948</v>
      </c>
      <c r="L17" s="3044"/>
      <c r="M17" s="3045"/>
      <c r="N17" s="3043" t="s">
        <v>1949</v>
      </c>
      <c r="O17" s="3044"/>
      <c r="P17" s="3045"/>
      <c r="R17" s="2230" t="s">
        <v>1950</v>
      </c>
      <c r="S17" s="64"/>
    </row>
    <row r="18" spans="1:19" ht="15">
      <c r="A18" s="2240"/>
      <c r="B18" s="2253"/>
      <c r="C18" s="2254"/>
      <c r="D18" s="2255"/>
      <c r="E18" s="2256" t="s">
        <v>1951</v>
      </c>
      <c r="F18" s="2257" t="s">
        <v>1952</v>
      </c>
      <c r="G18" s="2258" t="s">
        <v>1953</v>
      </c>
      <c r="H18" s="1264" t="s">
        <v>1954</v>
      </c>
      <c r="I18" s="2259" t="s">
        <v>1955</v>
      </c>
      <c r="J18" s="1394"/>
      <c r="K18" s="1264" t="s">
        <v>1956</v>
      </c>
      <c r="L18" s="2260" t="s">
        <v>1957</v>
      </c>
      <c r="M18" s="1048" t="s">
        <v>1958</v>
      </c>
      <c r="N18" s="1264" t="s">
        <v>1956</v>
      </c>
      <c r="O18" s="2260" t="s">
        <v>1957</v>
      </c>
      <c r="P18" s="1048" t="s">
        <v>1958</v>
      </c>
      <c r="R18" s="1249" t="s">
        <v>1959</v>
      </c>
      <c r="S18" s="1249" t="s">
        <v>1960</v>
      </c>
    </row>
    <row r="19" spans="1:19">
      <c r="A19" s="2261"/>
      <c r="B19" s="50" t="s">
        <v>1933</v>
      </c>
      <c r="C19" s="2947" t="s">
        <v>3069</v>
      </c>
      <c r="D19" s="48">
        <f>ROUND($D$3*E19/$E$3,2)</f>
        <v>9999.1</v>
      </c>
      <c r="E19" s="56">
        <f t="shared" ref="E19:E26" si="1">SUM(F19:G19)</f>
        <v>16724.509999999998</v>
      </c>
      <c r="F19" s="57">
        <f>258.81+15903.26</f>
        <v>16162.07</v>
      </c>
      <c r="G19" s="58">
        <v>562.44000000000005</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9999.1</v>
      </c>
      <c r="S19" s="1250">
        <f t="shared" si="5"/>
        <v>16724.509999999998</v>
      </c>
    </row>
    <row r="20" spans="1:19">
      <c r="A20" s="2264"/>
      <c r="B20" s="50" t="s">
        <v>1961</v>
      </c>
      <c r="C20" s="2947"/>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1961</v>
      </c>
      <c r="C21" s="2947"/>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1961</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1961</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1961</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1962</v>
      </c>
      <c r="D27" s="1395">
        <f>SUM(D19:D26)</f>
        <v>9999.1</v>
      </c>
      <c r="E27" s="1396">
        <f>IF(SUM(E19:E26)='数据-基础表'!BA5,SUM(E19:E26),IF(F27="地上面积有误","面积有误","地下面积有误"))</f>
        <v>16724.509999999998</v>
      </c>
      <c r="F27" s="1395">
        <f>IF(SUM(F19:F26)=E8,SUM(F19:F26),"地上面积有误")</f>
        <v>16162.07</v>
      </c>
      <c r="G27" s="1397">
        <f>SUM(G19:G26)</f>
        <v>562.44000000000005</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9999.1</v>
      </c>
      <c r="S27" s="1249">
        <f>IF(SUM(S19:S26)=$E$3,SUM(S19:S26),SUM(S19:S26)&amp;"误差"&amp;ROUND(SUM(S19:S26)-E3,2))</f>
        <v>16724.509999999998</v>
      </c>
    </row>
    <row r="28" spans="1:19">
      <c r="A28" s="2264"/>
      <c r="B28" s="50" t="s">
        <v>1963</v>
      </c>
      <c r="C28" s="1261" t="s">
        <v>1964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1963</v>
      </c>
      <c r="C29" s="2268" t="s">
        <v>1965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1966</v>
      </c>
      <c r="D31" s="729">
        <f>D27+D30</f>
        <v>9999.1</v>
      </c>
      <c r="E31" s="729">
        <f>E27+E30</f>
        <v>16724.509999999998</v>
      </c>
      <c r="F31" s="730">
        <f>F27+F30</f>
        <v>16162.07</v>
      </c>
      <c r="G31" s="731">
        <f>G27+G30</f>
        <v>562.44000000000005</v>
      </c>
      <c r="H31" s="1394"/>
      <c r="I31" s="1394"/>
      <c r="J31" s="1394"/>
      <c r="K31" s="1394"/>
      <c r="L31" s="1394"/>
      <c r="M31" s="1394"/>
      <c r="N31" s="1394"/>
      <c r="O31" s="1394"/>
      <c r="P31" s="1394"/>
    </row>
    <row r="32" spans="1:19">
      <c r="A32" s="2235"/>
      <c r="B32" s="2235" t="s">
        <v>1967</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8">
        <f>项目基本情况!D3</f>
        <v>43100</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6" t="s">
        <v>1974</v>
      </c>
      <c r="AA4" s="2246"/>
      <c r="AB4" s="2246"/>
      <c r="AC4" s="2246"/>
      <c r="AD4" s="2246"/>
      <c r="AE4" s="2244" t="s">
        <v>1975</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0" t="s">
        <v>1980</v>
      </c>
      <c r="F5" s="2294" t="s">
        <v>1981</v>
      </c>
      <c r="G5" s="1270" t="s">
        <v>1982</v>
      </c>
      <c r="H5" s="1270" t="s">
        <v>1983</v>
      </c>
      <c r="I5" s="1270" t="s">
        <v>1984</v>
      </c>
      <c r="J5" s="2295" t="s">
        <v>1985</v>
      </c>
      <c r="K5" s="2296" t="s">
        <v>1986</v>
      </c>
      <c r="L5" s="2297" t="s">
        <v>1987</v>
      </c>
      <c r="M5" s="2298" t="s">
        <v>1988</v>
      </c>
      <c r="N5" s="2299" t="s">
        <v>3045</v>
      </c>
      <c r="O5" s="2297" t="s">
        <v>1989</v>
      </c>
      <c r="P5" s="2300" t="s">
        <v>1990</v>
      </c>
      <c r="Q5" s="69" t="s">
        <v>1991</v>
      </c>
      <c r="R5" s="2301" t="s">
        <v>1992</v>
      </c>
      <c r="S5" s="2302" t="s">
        <v>1993</v>
      </c>
      <c r="T5" s="2303" t="s">
        <v>1994</v>
      </c>
      <c r="U5" s="1269" t="s">
        <v>1995</v>
      </c>
      <c r="V5" s="1270" t="s">
        <v>1996</v>
      </c>
      <c r="W5" s="1270" t="s">
        <v>1997</v>
      </c>
      <c r="X5" s="71"/>
      <c r="Y5" s="70" t="s">
        <v>1998</v>
      </c>
      <c r="Z5" s="2304" t="s">
        <v>1995</v>
      </c>
      <c r="AA5" s="1270" t="s">
        <v>1996</v>
      </c>
      <c r="AB5" s="1270" t="s">
        <v>1997</v>
      </c>
      <c r="AC5" s="71"/>
      <c r="AD5" s="71" t="s">
        <v>1998</v>
      </c>
      <c r="AE5" s="1269" t="s">
        <v>1999</v>
      </c>
      <c r="AF5" s="1270" t="s">
        <v>2000</v>
      </c>
      <c r="AG5" s="70" t="s">
        <v>2001</v>
      </c>
      <c r="AH5" s="1269" t="s">
        <v>2002</v>
      </c>
      <c r="AI5" s="2304" t="s">
        <v>2003</v>
      </c>
      <c r="AJ5" s="2304" t="s">
        <v>2004</v>
      </c>
      <c r="AK5" s="1270" t="s">
        <v>2005</v>
      </c>
      <c r="AL5" s="1270" t="s">
        <v>2006</v>
      </c>
      <c r="AM5" s="70" t="s">
        <v>2007</v>
      </c>
      <c r="AN5" s="2305" t="s">
        <v>2008</v>
      </c>
      <c r="AO5" s="2077" t="s">
        <v>2009</v>
      </c>
      <c r="AP5" s="1251" t="s">
        <v>2010</v>
      </c>
      <c r="AQ5" s="2306" t="s">
        <v>2011</v>
      </c>
      <c r="AR5" s="2306"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仓储</v>
      </c>
      <c r="B6" s="2308" t="str">
        <f>IF(A6=0,"","经营性")</f>
        <v>经营性</v>
      </c>
      <c r="C6" s="2309" t="s">
        <v>3057</v>
      </c>
      <c r="D6" s="1053">
        <f>SUMIF(项目基本情况!D$12:I$12,C6,项目基本情况!D$14:I$14)</f>
        <v>50</v>
      </c>
      <c r="E6" s="1050">
        <f>IF(B6="","",SUMIF(项目基本情况!D$12:I$12,C6,项目基本情况!D$13:I$13))</f>
        <v>57118</v>
      </c>
      <c r="F6" s="72">
        <f>SUMIF(项目基本情况!D$12:I$12,C6,项目基本情况!D$15:I$15)</f>
        <v>38.4</v>
      </c>
      <c r="G6" s="73">
        <f>IF(ISERROR(ROUND(POWER(1+H6,D6-F6)*(POWER(1+H6,F6)-1)/(POWER(1+H6,D6)-1),3)),0,ROUND(POWER(1+H6,D6-F6)*(POWER(1+H6,F6)-1)/(POWER(1+H6,D6)-1),3))</f>
        <v>0.91700000000000004</v>
      </c>
      <c r="H6" s="802">
        <v>4.4999999999999998E-2</v>
      </c>
      <c r="I6" s="802">
        <v>0.05</v>
      </c>
      <c r="J6" s="74">
        <v>8.5000000000000006E-2</v>
      </c>
      <c r="K6" s="1253">
        <f>SUMIF('数据-汇总表'!C$19:C$33,A6,'数据-汇总表'!E$19:E$33)</f>
        <v>16724.509999999998</v>
      </c>
      <c r="L6" s="803">
        <v>2500</v>
      </c>
      <c r="M6" s="75">
        <f t="shared" ref="M6:M14" si="0">ROUND(K6*L6/10000,0)</f>
        <v>4181</v>
      </c>
      <c r="N6" s="801">
        <v>0.87</v>
      </c>
      <c r="O6" s="75" t="str">
        <f>IF($N$5="成新度","——",ROUND(M6*N6,0))</f>
        <v>——</v>
      </c>
      <c r="P6" s="76" t="str">
        <f>IF($N$5="成新度","——",M6-O6)</f>
        <v>——</v>
      </c>
      <c r="Q6" s="804">
        <v>0.15</v>
      </c>
      <c r="R6" s="77">
        <f ca="1">SUMIF('数据-汇总表'!C$19:C$33,A6,'数据-汇总表'!R$19:R$27)</f>
        <v>9999.1</v>
      </c>
      <c r="S6" s="54">
        <f>IF('数据-汇总表'!$I$17="按面积比例",SUMIF('数据-汇总表'!C$19:C$33,A6,'数据-汇总表'!K$19:K$33),SUMIF('数据-汇总表'!C$19:C$33,A6,'数据-汇总表'!N$19:N$33))</f>
        <v>0</v>
      </c>
      <c r="T6" s="1445">
        <f>ROUND($L$14*S6/10000,0)</f>
        <v>0</v>
      </c>
      <c r="U6" s="78">
        <v>1.6</v>
      </c>
      <c r="V6" s="79">
        <v>0.02</v>
      </c>
      <c r="W6" s="79">
        <v>0.1</v>
      </c>
      <c r="X6" s="1263"/>
      <c r="Y6" s="80">
        <v>0.87</v>
      </c>
      <c r="Z6" s="81"/>
      <c r="AA6" s="74"/>
      <c r="AB6" s="74"/>
      <c r="AC6" s="1263"/>
      <c r="AD6" s="82"/>
      <c r="AE6" s="1264">
        <f ca="1">IF(AN6="",0,SUMIF(INDIRECT("'"&amp;AN6&amp;"'"&amp;"!E:E"),$AE$5,INDIRECT("'"&amp;AN6&amp;"'"&amp;"!F:F")))</f>
        <v>38.4</v>
      </c>
      <c r="AF6" s="1807"/>
      <c r="AG6" s="147">
        <f>IF(AF6="",0,AE6-AF6)</f>
        <v>0</v>
      </c>
      <c r="AH6" s="83"/>
      <c r="AI6" s="85">
        <v>365</v>
      </c>
      <c r="AJ6" s="86"/>
      <c r="AK6" s="87">
        <v>1.4999999999999999E-2</v>
      </c>
      <c r="AL6" s="88">
        <v>2.5000000000000001E-3</v>
      </c>
      <c r="AM6" s="89">
        <v>0.03</v>
      </c>
      <c r="AN6" s="2310" t="s">
        <v>3070</v>
      </c>
      <c r="AO6" s="55">
        <f ca="1">SUMIF(INDIRECT("'"&amp;AN6&amp;"'"&amp;"!A:A"),"总价",INDIRECT("'"&amp;AN6&amp;"'"&amp;"!B:B"))</f>
        <v>14481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7"/>
      <c r="D16" s="2315"/>
      <c r="E16" s="97"/>
      <c r="F16" s="97"/>
      <c r="G16" s="98">
        <f>ROUND(SUMPRODUCT(G6:G13,K6:K13)/SUMPRODUCT((G6:G13&gt;0)*(K6:K13)),3)</f>
        <v>0.91700000000000004</v>
      </c>
      <c r="H16" s="99">
        <f>ROUND(SUMPRODUCT(H6:H13,K6:K13)/SUMPRODUCT((H6:H13&gt;0)*(K6:K13)),3)</f>
        <v>4.4999999999999998E-2</v>
      </c>
      <c r="I16" s="100"/>
      <c r="J16" s="100"/>
      <c r="K16" s="101">
        <f>SUM(K6:K15)</f>
        <v>16724.509999999998</v>
      </c>
      <c r="L16" s="102">
        <f>ROUND(M16*10000/SUM(K6:K14),0)</f>
        <v>2500</v>
      </c>
      <c r="M16" s="102">
        <f>SUM(M6:M14)</f>
        <v>4181</v>
      </c>
      <c r="N16" s="103">
        <f>ROUND(SUMPRODUCT(M6:M14,N6:N14)/M16,3)</f>
        <v>0.87</v>
      </c>
      <c r="O16" s="102">
        <f>SUM(O6:O14)</f>
        <v>0</v>
      </c>
      <c r="P16" s="102">
        <f>SUM(P6:P14)</f>
        <v>0</v>
      </c>
      <c r="Q16" s="104">
        <f>ROUND(SUMPRODUCT(Q6:Q13,K6:K13)/SUMPRODUCT((Q6:Q13&gt;0)*(K6:K13)),2)</f>
        <v>0.15</v>
      </c>
      <c r="R16" s="1257">
        <f ca="1">SUM(R6:R13)</f>
        <v>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v>200</v>
      </c>
      <c r="C27" s="1767" t="s">
        <v>2031</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2032</v>
      </c>
      <c r="B28" s="119">
        <v>200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2033</v>
      </c>
      <c r="B29" s="121">
        <v>0</v>
      </c>
      <c r="C29" s="1767" t="s">
        <v>2034</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2035</v>
      </c>
      <c r="B30" s="724">
        <v>200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2036</v>
      </c>
      <c r="B31" s="120">
        <f>B30-B32</f>
        <v>200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2038</v>
      </c>
      <c r="B33" s="726">
        <v>0.03</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2040</v>
      </c>
      <c r="B34" s="122">
        <v>0.02</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2043</v>
      </c>
      <c r="B35" s="119">
        <v>200</v>
      </c>
      <c r="C35" s="1766" t="s">
        <v>2044</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0.02</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0.02</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2">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0.05</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29"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29">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20" sqref="G20"/>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8" t="s">
        <v>2084</v>
      </c>
      <c r="B1" s="3059"/>
      <c r="C1" s="3059"/>
      <c r="D1" s="3059"/>
      <c r="E1" s="3059"/>
      <c r="F1" s="3059"/>
      <c r="G1" s="305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0" t="s">
        <v>2088</v>
      </c>
      <c r="C3" s="2371" t="s">
        <v>2089</v>
      </c>
      <c r="D3" s="2372"/>
      <c r="E3" s="431" t="s">
        <v>2087</v>
      </c>
      <c r="F3" s="2373" t="s">
        <v>2090</v>
      </c>
      <c r="G3" s="2952" t="s">
        <v>3084</v>
      </c>
      <c r="H3" s="2369"/>
      <c r="I3" s="2369"/>
      <c r="J3" s="2369"/>
      <c r="K3" s="2369"/>
      <c r="L3" s="2369"/>
      <c r="M3" s="2369"/>
      <c r="N3" s="2369"/>
      <c r="O3" s="2369"/>
      <c r="P3" s="2369"/>
      <c r="Q3" s="2369"/>
      <c r="R3" s="2369"/>
    </row>
    <row r="4" spans="1:29" ht="81">
      <c r="A4" s="431"/>
      <c r="B4" s="1798" t="s">
        <v>2091</v>
      </c>
      <c r="C4" s="2374" t="s">
        <v>2092</v>
      </c>
      <c r="D4" s="2372"/>
      <c r="E4" s="2375"/>
      <c r="F4" s="42" t="s">
        <v>2093</v>
      </c>
      <c r="G4" s="2953" t="s">
        <v>3085</v>
      </c>
      <c r="H4" s="2369"/>
      <c r="I4" s="2369"/>
      <c r="J4" s="2369"/>
      <c r="K4" s="2369"/>
      <c r="L4" s="2369"/>
      <c r="M4" s="2369"/>
      <c r="N4" s="2369"/>
      <c r="O4" s="2369"/>
      <c r="P4" s="2369"/>
      <c r="Q4" s="2369"/>
      <c r="R4" s="2369"/>
    </row>
    <row r="5" spans="1:29" ht="41.25">
      <c r="A5" s="431"/>
      <c r="B5" s="1798" t="s">
        <v>2095</v>
      </c>
      <c r="C5" s="2374" t="s">
        <v>2096</v>
      </c>
      <c r="D5" s="2372"/>
      <c r="E5" s="2375"/>
      <c r="F5" s="1798" t="s">
        <v>2097</v>
      </c>
      <c r="G5" s="2953" t="s">
        <v>3086</v>
      </c>
      <c r="H5" s="2369"/>
      <c r="I5" s="2369"/>
      <c r="J5" s="2369"/>
      <c r="K5" s="2369"/>
      <c r="L5" s="2369"/>
      <c r="M5" s="2369"/>
      <c r="N5" s="2369"/>
      <c r="O5" s="2369"/>
      <c r="P5" s="2369"/>
      <c r="Q5" s="2369"/>
      <c r="R5" s="2369"/>
    </row>
    <row r="6" spans="1:29" ht="54">
      <c r="A6" s="431"/>
      <c r="B6" s="1798" t="s">
        <v>2099</v>
      </c>
      <c r="C6" s="2376" t="s">
        <v>2094</v>
      </c>
      <c r="D6" s="2372"/>
      <c r="E6" s="2375"/>
      <c r="F6" s="1798" t="s">
        <v>2100</v>
      </c>
      <c r="G6" s="2953" t="s">
        <v>3087</v>
      </c>
      <c r="H6" s="2369"/>
      <c r="I6" s="2369"/>
      <c r="J6" s="2369"/>
      <c r="K6" s="2369"/>
      <c r="L6" s="2369"/>
      <c r="M6" s="2369"/>
      <c r="N6" s="2369"/>
      <c r="O6" s="2369"/>
      <c r="P6" s="2369"/>
      <c r="Q6" s="2369"/>
      <c r="R6" s="2369"/>
    </row>
    <row r="7" spans="1:29" ht="41.25" thickBot="1">
      <c r="A7" s="431"/>
      <c r="B7" s="1798" t="s">
        <v>2097</v>
      </c>
      <c r="C7" s="2376" t="s">
        <v>2098</v>
      </c>
      <c r="D7" s="2377"/>
      <c r="E7" s="2378"/>
      <c r="F7" s="2379" t="s">
        <v>2102</v>
      </c>
      <c r="G7" s="2954" t="s">
        <v>3088</v>
      </c>
      <c r="H7" s="2369"/>
      <c r="I7" s="2369"/>
      <c r="J7" s="2369"/>
      <c r="K7" s="2369"/>
      <c r="L7" s="2369"/>
      <c r="M7" s="2369"/>
      <c r="N7" s="2369"/>
      <c r="O7" s="2369"/>
      <c r="P7" s="2369"/>
      <c r="Q7" s="2369"/>
      <c r="R7" s="2369"/>
    </row>
    <row r="8" spans="1:29" ht="27">
      <c r="A8" s="431"/>
      <c r="B8" s="1798" t="s">
        <v>2100</v>
      </c>
      <c r="C8" s="2376" t="s">
        <v>2101</v>
      </c>
      <c r="D8" s="2377"/>
      <c r="E8" s="2377"/>
      <c r="F8" s="1135"/>
      <c r="G8" s="1135"/>
      <c r="H8" s="2369"/>
      <c r="I8" s="2369"/>
      <c r="J8" s="2369"/>
      <c r="K8" s="2369"/>
      <c r="L8" s="2369"/>
      <c r="M8" s="2369"/>
      <c r="N8" s="2369"/>
      <c r="O8" s="2369"/>
      <c r="P8" s="2369"/>
      <c r="Q8" s="2369"/>
      <c r="R8" s="2369"/>
    </row>
    <row r="9" spans="1:29" ht="27">
      <c r="A9" s="431"/>
      <c r="B9" s="1798" t="s">
        <v>2103</v>
      </c>
      <c r="C9" s="2374" t="s">
        <v>2104</v>
      </c>
      <c r="D9" s="2372"/>
      <c r="E9" s="2377"/>
      <c r="F9" s="1135"/>
      <c r="G9" s="1135"/>
      <c r="H9" s="2369"/>
      <c r="I9" s="2369"/>
      <c r="J9" s="2369"/>
      <c r="K9" s="2369"/>
      <c r="L9" s="2369"/>
      <c r="M9" s="2369"/>
      <c r="N9" s="2369"/>
      <c r="O9" s="2369"/>
      <c r="P9" s="2369"/>
      <c r="Q9" s="2369"/>
      <c r="R9" s="2369"/>
    </row>
    <row r="10" spans="1:29" s="117" customFormat="1" ht="15.75" thickBot="1">
      <c r="A10" s="2380"/>
      <c r="B10" s="2381" t="s">
        <v>2105</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2106</v>
      </c>
      <c r="B13" s="2387"/>
      <c r="C13" s="2387"/>
      <c r="D13" s="2394"/>
      <c r="E13" s="2387"/>
      <c r="F13" s="2387"/>
      <c r="G13" s="2387"/>
    </row>
    <row r="14" spans="1:29" ht="15.75" thickBot="1">
      <c r="A14" s="2398"/>
      <c r="B14" s="2399"/>
      <c r="C14" s="2400" t="s">
        <v>2107</v>
      </c>
      <c r="D14" s="2372"/>
      <c r="E14" s="2401"/>
      <c r="F14" s="2401"/>
      <c r="G14" s="2366" t="s">
        <v>2108</v>
      </c>
    </row>
    <row r="15" spans="1:29" ht="57">
      <c r="A15" s="68" t="s">
        <v>2109</v>
      </c>
      <c r="B15" s="1269" t="s">
        <v>2088</v>
      </c>
      <c r="C15" s="2402" t="str">
        <f>C3</f>
        <v>估价对象周边居住用地比例、居住小区规模和社区发展完善程度，综合评价居住社区成熟度一般</v>
      </c>
      <c r="D15" s="2372"/>
      <c r="E15" s="2403" t="s">
        <v>2110</v>
      </c>
      <c r="F15" s="1269" t="s">
        <v>2111</v>
      </c>
      <c r="G15" s="135" t="str">
        <f>G3</f>
        <v>估价对象属于北京临空经济核心区，园区内以物流企业为主，建设成熟</v>
      </c>
    </row>
    <row r="16" spans="1:29" ht="85.5">
      <c r="A16" s="645"/>
      <c r="B16" s="2404" t="s">
        <v>2091</v>
      </c>
      <c r="C16" s="2405" t="str">
        <f>C4</f>
        <v>估价对象位于XX商圈，周边商业氛围成熟，人流量大，商业繁华度好</v>
      </c>
      <c r="D16" s="2372"/>
      <c r="E16" s="2406"/>
      <c r="F16" s="2407" t="s">
        <v>2093</v>
      </c>
      <c r="G16" s="136" t="str">
        <f>G4</f>
        <v>以估价对象为中心半径2公里内最高级别道路城市高速路—机场北线高速路，临近东六环路、顺平路、顺驰路等城市道路，距离顺义火车站约5公里，距离北京首都国际机场约7公里</v>
      </c>
    </row>
    <row r="17" spans="1:18" ht="42.75">
      <c r="A17" s="645"/>
      <c r="B17" s="2404" t="s">
        <v>2095</v>
      </c>
      <c r="C17" s="2405" t="str">
        <f>C5</f>
        <v>估价对象位于XX商圈，周边办公楼项目较多，入驻率高，办公集聚程度较好</v>
      </c>
      <c r="D17" s="2377"/>
      <c r="E17" s="2406"/>
      <c r="F17" s="2407" t="s">
        <v>2112</v>
      </c>
      <c r="G17" s="2955" t="s">
        <v>3090</v>
      </c>
    </row>
    <row r="18" spans="1:18" ht="57">
      <c r="A18" s="645"/>
      <c r="B18" s="2407" t="s">
        <v>2099</v>
      </c>
      <c r="C18" s="136" t="str">
        <f>C6</f>
        <v>估价对象周边道路状况、公共交通通达情况、停车便捷程度，综合评价交通便捷度较好</v>
      </c>
      <c r="D18" s="2377"/>
      <c r="E18" s="2406"/>
      <c r="F18" s="2407" t="s">
        <v>2102</v>
      </c>
      <c r="G18" s="136" t="str">
        <f>G7</f>
        <v>估价对象所属区域以物流企业为主，园区内无污染型企业，绿化较好，卫生条件良好</v>
      </c>
    </row>
    <row r="19" spans="1:18" ht="42.75">
      <c r="A19" s="645"/>
      <c r="B19" s="2407" t="s">
        <v>2113</v>
      </c>
      <c r="C19" s="1572"/>
      <c r="D19" s="2372"/>
      <c r="E19" s="2406"/>
      <c r="F19" s="1798" t="s">
        <v>2097</v>
      </c>
      <c r="G19" s="136" t="str">
        <f>G5</f>
        <v>以估价对象为中心半径2公里内有银行、超市、学校、医院、邮局等公共配套设施；</v>
      </c>
    </row>
    <row r="20" spans="1:18" ht="28.5">
      <c r="A20" s="645"/>
      <c r="B20" s="2407" t="s">
        <v>2114</v>
      </c>
      <c r="C20" s="2405" t="str">
        <f>C9</f>
        <v>区域自然环境：；人文环境；综合评价环境状况一般</v>
      </c>
      <c r="D20" s="2377"/>
      <c r="E20" s="2406"/>
      <c r="F20" s="1798" t="s">
        <v>2115</v>
      </c>
      <c r="G20" s="136" t="str">
        <f>G6</f>
        <v>估价对象所在区域基础设施水平可达到七通一平</v>
      </c>
    </row>
    <row r="21" spans="1:18" ht="28.5">
      <c r="A21" s="645"/>
      <c r="B21" s="1798" t="s">
        <v>2097</v>
      </c>
      <c r="C21" s="136" t="str">
        <f>C7</f>
        <v>估价对象所在区域公共配套设施齐备情况</v>
      </c>
      <c r="D21" s="2372"/>
      <c r="E21" s="2406"/>
      <c r="F21" s="2407" t="s">
        <v>2116</v>
      </c>
      <c r="G21" s="2408" t="s">
        <v>3093</v>
      </c>
    </row>
    <row r="22" spans="1:18" ht="13.5" customHeight="1">
      <c r="A22" s="645"/>
      <c r="B22" s="1798" t="s">
        <v>2100</v>
      </c>
      <c r="C22" s="136" t="str">
        <f>C8</f>
        <v>估价对象所在区域基础设施水平</v>
      </c>
      <c r="D22" s="2372"/>
      <c r="E22" s="2406"/>
      <c r="F22" s="2407" t="s">
        <v>2105</v>
      </c>
      <c r="G22" s="1572" t="s">
        <v>3091</v>
      </c>
    </row>
    <row r="23" spans="1:18" s="2369" customFormat="1" ht="15.75" thickBot="1">
      <c r="A23" s="645"/>
      <c r="B23" s="2407" t="s">
        <v>2116</v>
      </c>
      <c r="C23" s="2408"/>
      <c r="D23" s="2395"/>
      <c r="E23" s="2409"/>
      <c r="F23" s="2410" t="s">
        <v>2117</v>
      </c>
      <c r="G23" s="2956" t="s">
        <v>3092</v>
      </c>
      <c r="H23" s="2395"/>
      <c r="I23" s="2396"/>
      <c r="J23" s="2395"/>
      <c r="K23" s="2395"/>
      <c r="L23" s="2396"/>
      <c r="M23" s="2395"/>
      <c r="N23" s="2395"/>
      <c r="O23" s="2396"/>
      <c r="P23" s="2395"/>
      <c r="Q23" s="2395"/>
      <c r="R23" s="2397"/>
    </row>
    <row r="24" spans="1:18" s="2369" customFormat="1" ht="15.75" thickBot="1">
      <c r="A24" s="2411"/>
      <c r="B24" s="2410" t="s">
        <v>2118</v>
      </c>
      <c r="C24" s="137">
        <f>C10</f>
        <v>0</v>
      </c>
      <c r="D24" s="2395"/>
      <c r="E24" s="2412"/>
      <c r="F24" s="2412"/>
      <c r="G24" s="2413"/>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41" customWidth="1"/>
    <col min="2" max="9" width="15.75" style="1741" customWidth="1"/>
    <col min="10" max="16384" width="9" style="1741"/>
  </cols>
  <sheetData>
    <row r="1" spans="1:10" ht="16.5">
      <c r="A1" s="1746" t="s">
        <v>1366</v>
      </c>
      <c r="B1" s="1746">
        <f>SUM(B14:B23)</f>
        <v>16724.509999999998</v>
      </c>
      <c r="C1" s="1745"/>
      <c r="D1" s="1745"/>
      <c r="E1" s="1745"/>
      <c r="F1" s="1745"/>
      <c r="G1" s="1743"/>
    </row>
    <row r="2" spans="1:10" ht="16.5">
      <c r="A2" s="1746" t="s">
        <v>1354</v>
      </c>
      <c r="B2" s="1746">
        <f>SUM(C14:C23)</f>
        <v>9999.1</v>
      </c>
      <c r="C2" s="1745"/>
      <c r="D2" s="1745"/>
      <c r="E2" s="1745"/>
      <c r="F2" s="1745"/>
      <c r="G2" s="1743"/>
    </row>
    <row r="3" spans="1:10" ht="16.5">
      <c r="A3" s="1746" t="s">
        <v>1363</v>
      </c>
      <c r="B3" s="1747">
        <f>项目基本情况!D3</f>
        <v>43100</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12626</v>
      </c>
      <c r="C5" s="1746">
        <f ca="1">ROUND(B5*10000/$B$1,0)</f>
        <v>7549</v>
      </c>
      <c r="D5" s="1746">
        <f ca="1">ROUND(B5*10000/$B$2,0)</f>
        <v>12627</v>
      </c>
      <c r="E5" s="1745"/>
      <c r="F5" s="1743"/>
      <c r="G5" s="1743"/>
    </row>
    <row r="6" spans="1:10" ht="16.5">
      <c r="A6" s="1746" t="s">
        <v>1357</v>
      </c>
      <c r="B6" s="1746">
        <f ca="1">SUM(G14:G23)</f>
        <v>12626</v>
      </c>
      <c r="C6" s="1746">
        <f ca="1">ROUND(B6*10000/$B$1,0)</f>
        <v>7549</v>
      </c>
      <c r="D6" s="1746">
        <f ca="1">ROUND(B6*10000/$B$2,0)</f>
        <v>12627</v>
      </c>
      <c r="E6" s="1745"/>
      <c r="F6" s="1743"/>
      <c r="G6" s="1743"/>
    </row>
    <row r="7" spans="1:10" ht="16.5">
      <c r="A7" s="1746" t="s">
        <v>1365</v>
      </c>
      <c r="B7" s="1746">
        <f ca="1">SUM(H14:H23)</f>
        <v>12626</v>
      </c>
      <c r="C7" s="1746">
        <f ca="1">ROUND(B7*10000/$B$1,0)</f>
        <v>7549</v>
      </c>
      <c r="D7" s="1746">
        <f ca="1">ROUND(B7*10000/$B$2,0)</f>
        <v>12627</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16724.509999999998</v>
      </c>
      <c r="C14" s="1744">
        <f>结果表!C118</f>
        <v>9999.1</v>
      </c>
      <c r="D14" s="1744">
        <f ca="1">结果表!H118</f>
        <v>12626</v>
      </c>
      <c r="E14" s="1744">
        <f ca="1">ROUND(D14*10000/B14,0)</f>
        <v>7549</v>
      </c>
      <c r="F14" s="1744">
        <f ca="1">ROUND(D14*10000/C14,0)</f>
        <v>12627</v>
      </c>
      <c r="G14" s="1744">
        <f ca="1">结果表!D122</f>
        <v>12626</v>
      </c>
      <c r="H14" s="1744">
        <f ca="1">结果表!D124</f>
        <v>12626</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1" sqref="H31"/>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2119</v>
      </c>
      <c r="B1" s="2417"/>
      <c r="C1" s="2418" t="s">
        <v>3057</v>
      </c>
      <c r="D1" s="2417"/>
      <c r="E1" s="2417"/>
      <c r="F1" s="2419" t="s">
        <v>2120</v>
      </c>
      <c r="G1" s="2073" t="s">
        <v>3064</v>
      </c>
      <c r="H1" s="2420" t="str">
        <f>IF(G1="现房","——","估价对象范围")</f>
        <v>——</v>
      </c>
      <c r="I1" s="2421" t="s">
        <v>3131</v>
      </c>
    </row>
    <row r="2" spans="1:12" ht="21.75" customHeight="1" thickBot="1">
      <c r="A2" s="3093" t="str">
        <f>项目基本情况!S2</f>
        <v>北京市房地产</v>
      </c>
      <c r="B2" s="3094"/>
      <c r="C2" s="3094"/>
      <c r="D2" s="3094"/>
      <c r="E2" s="3094"/>
      <c r="F2" s="3094"/>
      <c r="G2" s="3094"/>
      <c r="H2" s="3094"/>
      <c r="I2" s="3095"/>
    </row>
    <row r="3" spans="1:12" ht="12.75">
      <c r="A3" s="3097" t="s">
        <v>2121</v>
      </c>
      <c r="B3" s="3098"/>
      <c r="C3" s="3098"/>
      <c r="D3" s="3098"/>
      <c r="E3" s="3098"/>
      <c r="F3" s="3098"/>
      <c r="G3" s="3098"/>
      <c r="H3" s="3098"/>
      <c r="I3" s="3098"/>
    </row>
    <row r="4" spans="1:12" ht="14.25">
      <c r="A4" s="2424" t="s">
        <v>2122</v>
      </c>
      <c r="B4" s="2425" t="s">
        <v>2123</v>
      </c>
      <c r="C4" s="2426" t="s">
        <v>3130</v>
      </c>
      <c r="D4" s="2426" t="s">
        <v>3070</v>
      </c>
      <c r="E4" s="3090" t="s">
        <v>2124</v>
      </c>
      <c r="F4" s="3091"/>
      <c r="G4" s="3091"/>
      <c r="H4" s="3091"/>
      <c r="I4" s="309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73" t="s">
        <v>2125</v>
      </c>
      <c r="B5" s="3011">
        <v>25</v>
      </c>
      <c r="C5" s="3076"/>
      <c r="D5" s="3096"/>
      <c r="E5" s="140" t="s">
        <v>2126</v>
      </c>
      <c r="F5" s="2428"/>
      <c r="G5" s="2428"/>
      <c r="H5" s="2428"/>
      <c r="I5" s="1834"/>
    </row>
    <row r="6" spans="1:12" ht="12.75">
      <c r="A6" s="3073"/>
      <c r="B6" s="3011"/>
      <c r="C6" s="3077"/>
      <c r="D6" s="3096"/>
      <c r="E6" s="140" t="s">
        <v>2127</v>
      </c>
      <c r="F6" s="2428"/>
      <c r="G6" s="2428"/>
      <c r="H6" s="2428"/>
      <c r="I6" s="1834"/>
    </row>
    <row r="7" spans="1:12" ht="12.75">
      <c r="A7" s="3073"/>
      <c r="B7" s="3011"/>
      <c r="C7" s="3078"/>
      <c r="D7" s="3096"/>
      <c r="E7" s="140" t="s">
        <v>2128</v>
      </c>
      <c r="F7" s="2428"/>
      <c r="G7" s="2428"/>
      <c r="H7" s="2428"/>
      <c r="I7" s="1834"/>
    </row>
    <row r="8" spans="1:12" ht="12.75">
      <c r="A8" s="3073" t="s">
        <v>2129</v>
      </c>
      <c r="B8" s="3011">
        <v>15</v>
      </c>
      <c r="C8" s="3076"/>
      <c r="D8" s="3096"/>
      <c r="E8" s="140" t="s">
        <v>2130</v>
      </c>
      <c r="F8" s="2428"/>
      <c r="G8" s="2428"/>
      <c r="H8" s="2428"/>
      <c r="I8" s="1834"/>
    </row>
    <row r="9" spans="1:12" ht="12.75">
      <c r="A9" s="3073"/>
      <c r="B9" s="3011"/>
      <c r="C9" s="3078"/>
      <c r="D9" s="3096"/>
      <c r="E9" s="140" t="s">
        <v>2131</v>
      </c>
      <c r="F9" s="2428"/>
      <c r="G9" s="2428"/>
      <c r="H9" s="2428"/>
      <c r="I9" s="1834"/>
    </row>
    <row r="10" spans="1:12" ht="12.75">
      <c r="A10" s="3073" t="s">
        <v>2132</v>
      </c>
      <c r="B10" s="3011">
        <v>15</v>
      </c>
      <c r="C10" s="3076"/>
      <c r="D10" s="3096"/>
      <c r="E10" s="140" t="s">
        <v>2133</v>
      </c>
      <c r="F10" s="2428"/>
      <c r="G10" s="2428"/>
      <c r="H10" s="2428"/>
      <c r="I10" s="1834"/>
    </row>
    <row r="11" spans="1:12" ht="12.75">
      <c r="A11" s="3073"/>
      <c r="B11" s="3011"/>
      <c r="C11" s="3078"/>
      <c r="D11" s="3096"/>
      <c r="E11" s="140" t="s">
        <v>2134</v>
      </c>
      <c r="F11" s="2428"/>
      <c r="G11" s="2428"/>
      <c r="H11" s="2428"/>
      <c r="I11" s="1834"/>
    </row>
    <row r="12" spans="1:12" ht="12.75">
      <c r="A12" s="3073" t="s">
        <v>2135</v>
      </c>
      <c r="B12" s="3011">
        <v>15</v>
      </c>
      <c r="C12" s="3076"/>
      <c r="D12" s="3096"/>
      <c r="E12" s="140" t="s">
        <v>2136</v>
      </c>
      <c r="F12" s="2428"/>
      <c r="G12" s="2428"/>
      <c r="H12" s="2428"/>
      <c r="I12" s="1834"/>
    </row>
    <row r="13" spans="1:12" ht="12.75">
      <c r="A13" s="3073"/>
      <c r="B13" s="3011"/>
      <c r="C13" s="3078"/>
      <c r="D13" s="3096"/>
      <c r="E13" s="140" t="s">
        <v>2137</v>
      </c>
      <c r="F13" s="2428"/>
      <c r="G13" s="2428"/>
      <c r="H13" s="2428"/>
      <c r="I13" s="1834"/>
    </row>
    <row r="14" spans="1:12" ht="12.75">
      <c r="A14" s="3073" t="s">
        <v>2138</v>
      </c>
      <c r="B14" s="3011">
        <v>30</v>
      </c>
      <c r="C14" s="3076">
        <v>0.4</v>
      </c>
      <c r="D14" s="3096">
        <f>1-C14</f>
        <v>0.6</v>
      </c>
      <c r="E14" s="140" t="s">
        <v>2139</v>
      </c>
      <c r="F14" s="2428"/>
      <c r="G14" s="2428"/>
      <c r="H14" s="2428"/>
      <c r="I14" s="1834"/>
    </row>
    <row r="15" spans="1:12" ht="12.75">
      <c r="A15" s="3073"/>
      <c r="B15" s="3011"/>
      <c r="C15" s="3077"/>
      <c r="D15" s="3096"/>
      <c r="E15" s="140" t="s">
        <v>2140</v>
      </c>
      <c r="F15" s="2428"/>
      <c r="G15" s="2428"/>
      <c r="H15" s="2428"/>
      <c r="I15" s="1834"/>
    </row>
    <row r="16" spans="1:12" ht="12.75">
      <c r="A16" s="3073"/>
      <c r="B16" s="3011"/>
      <c r="C16" s="3078"/>
      <c r="D16" s="3096"/>
      <c r="E16" s="140" t="s">
        <v>2141</v>
      </c>
      <c r="F16" s="2428"/>
      <c r="G16" s="2428"/>
      <c r="H16" s="2428"/>
      <c r="I16" s="1834"/>
    </row>
    <row r="17" spans="1:35" ht="15">
      <c r="A17" s="2429" t="s">
        <v>2142</v>
      </c>
      <c r="B17" s="64"/>
      <c r="C17" s="141">
        <f>SUM(C5:C16)</f>
        <v>0.4</v>
      </c>
      <c r="D17" s="141">
        <f>SUM(D5:D16)</f>
        <v>0.6</v>
      </c>
      <c r="E17" s="138"/>
      <c r="F17" s="138"/>
      <c r="G17" s="138"/>
      <c r="H17" s="138"/>
      <c r="I17" s="138"/>
      <c r="K17" s="2427"/>
      <c r="L17" s="2430" t="s">
        <v>2143</v>
      </c>
      <c r="M17" s="2430" t="s">
        <v>2144</v>
      </c>
    </row>
    <row r="18" spans="1:35" ht="15.75" thickBot="1">
      <c r="A18" s="2431" t="s">
        <v>2145</v>
      </c>
      <c r="B18" s="2432"/>
      <c r="C18" s="142">
        <f>ROUND(C17/SUM(C17:D17),2)</f>
        <v>0.4</v>
      </c>
      <c r="D18" s="142">
        <f>1-C18</f>
        <v>0.6</v>
      </c>
      <c r="E18" s="138"/>
      <c r="F18" s="138"/>
      <c r="G18" s="138"/>
      <c r="H18" s="138"/>
      <c r="I18" s="138"/>
      <c r="K18" s="2427" t="s">
        <v>2146</v>
      </c>
      <c r="L18" s="2427">
        <f>IF(C1="",'数据-汇总表'!E3,SUMIF(项目类型,C1,'数据-汇总表'!E17:E26)+SUMIF(项目类型,C1,'数据-汇总表'!I17:I26))</f>
        <v>16724.509999999998</v>
      </c>
      <c r="M18" s="2427">
        <f>IF(C1="",'数据-汇总表'!E3,SUMIF(项目类型,C1,'数据-汇总表'!E17:E26))</f>
        <v>16724.509999999998</v>
      </c>
    </row>
    <row r="19" spans="1:35" ht="15">
      <c r="A19" s="2433" t="s">
        <v>2147</v>
      </c>
      <c r="B19" s="2434" t="s">
        <v>2148</v>
      </c>
      <c r="C19" s="143">
        <f ca="1">SUMIF(INDIRECT("'"&amp;C4&amp;"'"&amp;"!A:A"),结果表!B19,INDIRECT("'"&amp;C4&amp;"'"&amp;"!B:B"))</f>
        <v>9844</v>
      </c>
      <c r="D19" s="144">
        <f ca="1">SUMIF(INDIRECT("'"&amp;D4&amp;"'"&amp;"!A:A"),结果表!B19,INDIRECT("'"&amp;D4&amp;"'"&amp;"!B:B"))</f>
        <v>14481</v>
      </c>
      <c r="E19" s="2433" t="s">
        <v>2149</v>
      </c>
      <c r="F19" s="2434" t="s">
        <v>2148</v>
      </c>
      <c r="G19" s="145">
        <f ca="1">ROUND(C19*$C$18+D19*$D$18,0)</f>
        <v>12626</v>
      </c>
      <c r="H19" s="2435" t="s">
        <v>2150</v>
      </c>
      <c r="I19" s="138"/>
      <c r="K19" s="2427" t="s">
        <v>2151</v>
      </c>
      <c r="L19" s="2427">
        <f>IF(C1="",'数据-汇总表'!D3,SUMIF(项目类型,C1,'数据-汇总表'!D17:D26)+SUMIF(项目类型,C1,'数据-汇总表'!H17:H27))</f>
        <v>9999.1</v>
      </c>
      <c r="M19" s="2427">
        <f>IF(C1="",'数据-汇总表'!D3,SUMIF(项目类型,C1,'数据-汇总表'!D17:D26))</f>
        <v>9999.1</v>
      </c>
    </row>
    <row r="20" spans="1:35" ht="15">
      <c r="A20" s="2436"/>
      <c r="B20" s="1249" t="s">
        <v>2152</v>
      </c>
      <c r="C20" s="146">
        <f ca="1">SUMIF(INDIRECT("'"&amp;C4&amp;"'"&amp;"!A:A"),结果表!B20,INDIRECT("'"&amp;C4&amp;"'"&amp;"!B:B"))</f>
        <v>5886</v>
      </c>
      <c r="D20" s="147">
        <f ca="1">SUMIF(INDIRECT("'"&amp;D4&amp;"'"&amp;"!A:A"),结果表!B20,INDIRECT("'"&amp;D4&amp;"'"&amp;"!B:B"))</f>
        <v>8659</v>
      </c>
      <c r="E20" s="2436"/>
      <c r="F20" s="1249" t="s">
        <v>2152</v>
      </c>
      <c r="G20" s="148">
        <f ca="1">ROUND(C20*$C$18+D20*$D$18,0)</f>
        <v>7550</v>
      </c>
      <c r="H20" s="982" t="s">
        <v>2153</v>
      </c>
      <c r="I20" s="138"/>
    </row>
    <row r="21" spans="1:35" ht="15" customHeight="1" thickBot="1">
      <c r="A21" s="1002"/>
      <c r="B21" s="2437" t="s">
        <v>2154</v>
      </c>
      <c r="C21" s="789">
        <f ca="1">ROUND(C19*10000/L19,0)</f>
        <v>9845</v>
      </c>
      <c r="D21" s="790">
        <f ca="1">ROUND(D19*10000/L19,0)</f>
        <v>14482</v>
      </c>
      <c r="E21" s="1002"/>
      <c r="F21" s="2437" t="s">
        <v>2154</v>
      </c>
      <c r="G21" s="149">
        <f ca="1">ROUND(G19*10000/L19,0)</f>
        <v>12627</v>
      </c>
      <c r="H21" s="2438" t="s">
        <v>2153</v>
      </c>
      <c r="I21" s="138"/>
    </row>
    <row r="22" spans="1:35" ht="15" thickBot="1">
      <c r="A22" s="2282" t="s">
        <v>2155</v>
      </c>
      <c r="B22" s="2439"/>
      <c r="C22" s="2440"/>
      <c r="D22" s="791">
        <f ca="1">IF(C19&lt;D19,D19/C19-1,C19/D19-1)</f>
        <v>0.47104835432750924</v>
      </c>
      <c r="E22" s="138"/>
      <c r="F22" s="138"/>
      <c r="G22" s="138"/>
      <c r="H22" s="138"/>
      <c r="I22" s="138"/>
    </row>
    <row r="23" spans="1:35" ht="13.5" thickBot="1">
      <c r="A23" s="2417"/>
      <c r="B23" s="2417"/>
      <c r="C23" s="2417"/>
      <c r="D23" s="2417"/>
      <c r="E23" s="138"/>
      <c r="F23" s="138"/>
      <c r="G23" s="138"/>
      <c r="H23" s="138"/>
      <c r="I23" s="138"/>
    </row>
    <row r="24" spans="1:35" ht="14.25">
      <c r="A24" s="3067" t="s">
        <v>2156</v>
      </c>
      <c r="B24" s="2434" t="s">
        <v>2148</v>
      </c>
      <c r="C24" s="145">
        <f>IF(B30=0,0,D30)</f>
        <v>0</v>
      </c>
      <c r="D24" s="2441"/>
      <c r="E24" s="138"/>
      <c r="F24" s="138"/>
      <c r="G24" s="138"/>
      <c r="H24" s="138"/>
      <c r="I24" s="138"/>
    </row>
    <row r="25" spans="1:35" ht="14.25">
      <c r="A25" s="3068"/>
      <c r="B25" s="1249" t="s">
        <v>2152</v>
      </c>
      <c r="C25" s="150">
        <f>IF(B30=0,0,C30)</f>
        <v>0</v>
      </c>
      <c r="D25" s="2442"/>
      <c r="E25" s="138"/>
      <c r="F25" s="138"/>
      <c r="G25" s="138"/>
      <c r="H25" s="138"/>
      <c r="I25" s="138"/>
    </row>
    <row r="26" spans="1:35" ht="13.5" customHeight="1">
      <c r="A26" s="2443" t="s">
        <v>2157</v>
      </c>
      <c r="B26" s="151" t="s">
        <v>2158</v>
      </c>
      <c r="C26" s="151" t="s">
        <v>2159</v>
      </c>
      <c r="D26" s="152" t="s">
        <v>2160</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2161</v>
      </c>
      <c r="B30" s="151"/>
      <c r="C30" s="151"/>
      <c r="D30" s="151"/>
      <c r="E30" s="2943" t="s">
        <v>3043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2162</v>
      </c>
      <c r="B32" s="2447"/>
      <c r="C32" s="153">
        <f ca="1">IF(D32="总价",G19-C24,G20-C25)</f>
        <v>12626</v>
      </c>
      <c r="D32" s="2448" t="s">
        <v>2163</v>
      </c>
      <c r="E32" s="138"/>
      <c r="F32" s="138"/>
      <c r="G32" s="138"/>
      <c r="H32" s="138"/>
      <c r="I32" s="138"/>
    </row>
    <row r="33" spans="1:15" ht="15">
      <c r="A33" s="959" t="s">
        <v>2164</v>
      </c>
      <c r="B33" s="2449"/>
      <c r="C33" s="2450"/>
      <c r="D33" s="2451"/>
      <c r="E33" s="2452" t="s">
        <v>2165</v>
      </c>
      <c r="F33" s="2453" t="str">
        <f>IF(D32="楼面单价","取值（单价）","取值（总价）")</f>
        <v>取值（总价）</v>
      </c>
      <c r="G33" s="138"/>
      <c r="H33" s="138"/>
      <c r="I33" s="138"/>
    </row>
    <row r="34" spans="1:15" ht="15">
      <c r="A34" s="2454"/>
      <c r="B34" s="2455" t="s">
        <v>2166</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2167</v>
      </c>
      <c r="F34" s="1739"/>
      <c r="G34" s="138"/>
      <c r="H34" s="138"/>
      <c r="I34" s="138"/>
    </row>
    <row r="35" spans="1:15" ht="15.75" thickBot="1">
      <c r="A35" s="2457"/>
      <c r="B35" s="2458" t="s">
        <v>2168</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2169</v>
      </c>
      <c r="F35" s="163"/>
      <c r="G35" s="138"/>
      <c r="H35" s="138"/>
      <c r="I35" s="138"/>
    </row>
    <row r="36" spans="1:15" ht="15.75" thickBot="1">
      <c r="A36" s="3085" t="s">
        <v>2170</v>
      </c>
      <c r="B36" s="2460" t="s">
        <v>2171</v>
      </c>
      <c r="C36" s="154"/>
      <c r="D36" s="2461"/>
      <c r="E36" s="2462"/>
      <c r="F36" s="2463"/>
      <c r="G36" s="138"/>
      <c r="H36" s="138"/>
      <c r="I36" s="138"/>
    </row>
    <row r="37" spans="1:15" ht="15.75" thickBot="1">
      <c r="A37" s="3086"/>
      <c r="B37" s="2268" t="s">
        <v>2172</v>
      </c>
      <c r="C37" s="156"/>
      <c r="D37" s="1394"/>
      <c r="E37" s="1394"/>
      <c r="F37" s="2463"/>
      <c r="G37" s="138"/>
      <c r="H37" s="138"/>
      <c r="I37" s="138"/>
    </row>
    <row r="38" spans="1:15" ht="15.75" thickBot="1">
      <c r="A38" s="3087"/>
      <c r="B38" s="2464" t="s">
        <v>2173</v>
      </c>
      <c r="C38" s="727"/>
      <c r="D38" s="2465" t="s">
        <v>2174</v>
      </c>
      <c r="E38" s="1394"/>
      <c r="F38" s="2463"/>
      <c r="G38" s="138"/>
      <c r="H38" s="138"/>
      <c r="I38" s="138"/>
    </row>
    <row r="39" spans="1:15" ht="15">
      <c r="A39" s="2436" t="s">
        <v>2175</v>
      </c>
      <c r="B39" s="2466" t="s">
        <v>2176</v>
      </c>
      <c r="C39" s="2467" t="s">
        <v>2177</v>
      </c>
      <c r="D39" s="2467" t="s">
        <v>2178</v>
      </c>
      <c r="E39" s="2468" t="s">
        <v>2179</v>
      </c>
      <c r="F39" s="2463"/>
      <c r="G39" s="138"/>
      <c r="H39" s="138"/>
      <c r="I39" s="138"/>
    </row>
    <row r="40" spans="1:15" ht="14.25">
      <c r="A40" s="2469" t="s">
        <v>2180</v>
      </c>
      <c r="B40" s="158"/>
      <c r="C40" s="159"/>
      <c r="D40" s="159"/>
      <c r="E40" s="160"/>
      <c r="F40" s="2463"/>
      <c r="G40" s="138"/>
      <c r="H40" s="138"/>
      <c r="I40" s="138"/>
    </row>
    <row r="41" spans="1:15" ht="14.25">
      <c r="A41" s="2469" t="s">
        <v>2181</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8"/>
      <c r="B43" s="2168"/>
      <c r="C43" s="2168"/>
      <c r="D43" s="2168"/>
      <c r="E43" s="2168"/>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064" t="s">
        <v>2184</v>
      </c>
      <c r="B45" s="3065"/>
      <c r="C45" s="3066"/>
      <c r="D45" s="164">
        <f ca="1">ROUND(H101*F45,0)</f>
        <v>12626</v>
      </c>
      <c r="E45" s="165" t="s">
        <v>2185</v>
      </c>
      <c r="F45" s="166">
        <v>1</v>
      </c>
      <c r="G45" s="167" t="s">
        <v>2186</v>
      </c>
      <c r="H45" s="138"/>
      <c r="I45" s="138"/>
      <c r="J45" s="3124" t="s">
        <v>2187</v>
      </c>
      <c r="K45" s="3124"/>
      <c r="L45" s="3124"/>
      <c r="M45" s="3124"/>
      <c r="N45" s="3124"/>
      <c r="O45" s="3124"/>
    </row>
    <row r="46" spans="1:15" ht="14.25" customHeight="1">
      <c r="A46" s="3061" t="s">
        <v>2188</v>
      </c>
      <c r="B46" s="3062"/>
      <c r="C46" s="3062"/>
      <c r="D46" s="3062"/>
      <c r="E46" s="3062"/>
      <c r="F46" s="3062"/>
      <c r="G46" s="3063"/>
      <c r="H46" s="2479"/>
      <c r="I46" s="168"/>
      <c r="J46" s="1812">
        <v>1</v>
      </c>
      <c r="K46" s="3124" t="s">
        <v>2189</v>
      </c>
      <c r="L46" s="3124"/>
      <c r="M46" s="3144"/>
      <c r="N46" s="3144"/>
      <c r="O46" s="3144"/>
    </row>
    <row r="47" spans="1:15" ht="12" customHeight="1">
      <c r="A47" s="169" t="s">
        <v>2190</v>
      </c>
      <c r="B47" s="170"/>
      <c r="C47" s="171"/>
      <c r="D47" s="172" t="s">
        <v>2191</v>
      </c>
      <c r="E47" s="24" t="s">
        <v>2192</v>
      </c>
      <c r="F47" s="173" t="s">
        <v>2193</v>
      </c>
      <c r="G47" s="174" t="s">
        <v>2194</v>
      </c>
      <c r="H47" s="2479"/>
      <c r="I47" s="168"/>
      <c r="J47" s="1812">
        <v>2</v>
      </c>
      <c r="K47" s="3124" t="s">
        <v>2195</v>
      </c>
      <c r="L47" s="3124"/>
      <c r="M47" s="3145">
        <f>'数据-取费表'!B2</f>
        <v>43100</v>
      </c>
      <c r="N47" s="3145"/>
      <c r="O47" s="3145"/>
    </row>
    <row r="48" spans="1:15" ht="25.5">
      <c r="A48" s="3092" t="s">
        <v>2196</v>
      </c>
      <c r="B48" s="3075"/>
      <c r="C48" s="3075"/>
      <c r="D48" s="140">
        <f>IF(H48="情况1",0,IF(H48="情况2",D52,IF(H48="情况3",D53,IF(H48="情况4",D54))))</f>
        <v>0</v>
      </c>
      <c r="E48" s="1801" t="str">
        <f>IF(H48="情况4","(销售额-原购置价)×税（费）率","销售额×税（费）率")</f>
        <v>销售额×税（费）率</v>
      </c>
      <c r="F48" s="175" t="str">
        <f>IF(H48="情况1","免征",'数据-取费表'!B41)</f>
        <v>免征</v>
      </c>
      <c r="G48" s="2480" t="s">
        <v>2197</v>
      </c>
      <c r="H48" s="2481" t="s">
        <v>2198</v>
      </c>
      <c r="I48" s="2479"/>
      <c r="J48" s="1812">
        <v>3</v>
      </c>
      <c r="K48" s="3124" t="s">
        <v>2199</v>
      </c>
      <c r="L48" s="3124"/>
      <c r="M48" s="3146">
        <f ca="1">H101</f>
        <v>12626</v>
      </c>
      <c r="N48" s="3146"/>
      <c r="O48" s="3146"/>
    </row>
    <row r="49" spans="1:35" ht="25.5" customHeight="1">
      <c r="A49" s="176" t="s">
        <v>2200</v>
      </c>
      <c r="B49" s="3060" t="s">
        <v>2201</v>
      </c>
      <c r="C49" s="3060"/>
      <c r="D49" s="177">
        <v>0</v>
      </c>
      <c r="E49" s="23" t="s">
        <v>2202</v>
      </c>
      <c r="F49" s="28" t="s">
        <v>34</v>
      </c>
      <c r="G49" s="3130"/>
      <c r="H49" s="138"/>
      <c r="I49" s="2482"/>
      <c r="J49" s="1812">
        <v>4</v>
      </c>
      <c r="K49" s="3124" t="str">
        <f>IF(项目基本情况!E8="房地产抵押价值","房地产抵押价值","抵押担保权已注销时的房地产抵押价值")</f>
        <v>抵押担保权已注销时的房地产抵押价值</v>
      </c>
      <c r="L49" s="3124"/>
      <c r="M49" s="3146">
        <f ca="1">IF(项目基本情况!E8="房地产抵押价值",H107,H109)</f>
        <v>12626</v>
      </c>
      <c r="N49" s="3146"/>
      <c r="O49" s="3146"/>
    </row>
    <row r="50" spans="1:35" ht="25.5" customHeight="1">
      <c r="A50" s="178"/>
      <c r="B50" s="3060" t="s">
        <v>2203</v>
      </c>
      <c r="C50" s="3060"/>
      <c r="D50" s="179"/>
      <c r="E50" s="31"/>
      <c r="F50" s="180"/>
      <c r="G50" s="3131"/>
      <c r="H50" s="138"/>
      <c r="I50" s="2482"/>
      <c r="J50" s="3124" t="s">
        <v>2204</v>
      </c>
      <c r="K50" s="3124"/>
      <c r="L50" s="3124"/>
      <c r="M50" s="3124"/>
      <c r="N50" s="3124"/>
      <c r="O50" s="3124"/>
    </row>
    <row r="51" spans="1:35" ht="12" customHeight="1">
      <c r="A51" s="181"/>
      <c r="B51" s="3060" t="s">
        <v>2205</v>
      </c>
      <c r="C51" s="3060"/>
      <c r="D51" s="182"/>
      <c r="E51" s="30"/>
      <c r="F51" s="180"/>
      <c r="G51" s="3132"/>
      <c r="H51" s="138"/>
      <c r="I51" s="2482"/>
      <c r="J51" s="2483" t="s">
        <v>2206</v>
      </c>
      <c r="K51" s="3124" t="s">
        <v>2207</v>
      </c>
      <c r="L51" s="3124"/>
      <c r="M51" s="2483" t="s">
        <v>2208</v>
      </c>
      <c r="N51" s="2483" t="s">
        <v>2209</v>
      </c>
      <c r="O51" s="2483" t="s">
        <v>2210</v>
      </c>
    </row>
    <row r="52" spans="1:35" ht="24" customHeight="1">
      <c r="A52" s="183" t="s">
        <v>2211</v>
      </c>
      <c r="B52" s="3060" t="s">
        <v>2212</v>
      </c>
      <c r="C52" s="3060"/>
      <c r="D52" s="182">
        <f ca="1">ROUND(D45*'数据-取费表'!B41/(1+'数据-取费表'!C42),0)</f>
        <v>661</v>
      </c>
      <c r="E52" s="11" t="s">
        <v>2213</v>
      </c>
      <c r="F52" s="184">
        <f>'数据-取费表'!B41</f>
        <v>5.5000000000000007E-2</v>
      </c>
      <c r="G52" s="2484"/>
      <c r="H52" s="138"/>
      <c r="I52" s="2482"/>
      <c r="J52" s="1812">
        <v>1</v>
      </c>
      <c r="K52" s="3125" t="s">
        <v>2214</v>
      </c>
      <c r="L52" s="3125"/>
      <c r="M52" s="1754">
        <f>D48</f>
        <v>0</v>
      </c>
      <c r="N52" s="1812" t="str">
        <f>E48</f>
        <v>销售额×税（费）率</v>
      </c>
      <c r="O52" s="1755" t="str">
        <f>F48</f>
        <v>免征</v>
      </c>
    </row>
    <row r="53" spans="1:35" ht="12" customHeight="1">
      <c r="A53" s="183" t="s">
        <v>2215</v>
      </c>
      <c r="B53" s="3083" t="s">
        <v>2216</v>
      </c>
      <c r="C53" s="3084"/>
      <c r="D53" s="182">
        <f ca="1">ROUND(D45*'数据-取费表'!B41/(1+'数据-取费表'!C42),0)</f>
        <v>661</v>
      </c>
      <c r="E53" s="11" t="s">
        <v>2213</v>
      </c>
      <c r="F53" s="184">
        <f>'数据-取费表'!B41</f>
        <v>5.5000000000000007E-2</v>
      </c>
      <c r="G53" s="2484"/>
      <c r="H53" s="138"/>
      <c r="I53" s="2482"/>
      <c r="J53" s="1812">
        <v>2</v>
      </c>
      <c r="K53" s="3125" t="s">
        <v>2217</v>
      </c>
      <c r="L53" s="3125"/>
      <c r="M53" s="1754">
        <f t="shared" ref="M53:O54" ca="1" si="0">D55</f>
        <v>6</v>
      </c>
      <c r="N53" s="1812" t="str">
        <f t="shared" si="0"/>
        <v>销售额×税（费）率</v>
      </c>
      <c r="O53" s="1755">
        <f t="shared" si="0"/>
        <v>5.0000000000000001E-4</v>
      </c>
    </row>
    <row r="54" spans="1:35" ht="12" customHeight="1">
      <c r="A54" s="183" t="s">
        <v>2218</v>
      </c>
      <c r="B54" s="3083" t="s">
        <v>2219</v>
      </c>
      <c r="C54" s="3084"/>
      <c r="D54" s="182">
        <f ca="1">C68</f>
        <v>661</v>
      </c>
      <c r="E54" s="30" t="s">
        <v>2220</v>
      </c>
      <c r="F54" s="184">
        <f>'数据-取费表'!B41</f>
        <v>5.5000000000000007E-2</v>
      </c>
      <c r="G54" s="2484"/>
      <c r="H54" s="2485"/>
      <c r="I54" s="2482"/>
      <c r="J54" s="1812">
        <v>3</v>
      </c>
      <c r="K54" s="3125" t="s">
        <v>2221</v>
      </c>
      <c r="L54" s="3125"/>
      <c r="M54" s="1754">
        <f t="shared" ca="1" si="0"/>
        <v>7158</v>
      </c>
      <c r="N54" s="1812" t="str">
        <f t="shared" si="0"/>
        <v>增值额×税（费）率</v>
      </c>
      <c r="O54" s="1756" t="str">
        <f t="shared" si="0"/>
        <v>——</v>
      </c>
    </row>
    <row r="55" spans="1:35" ht="24" customHeight="1">
      <c r="A55" s="3074" t="s">
        <v>2222</v>
      </c>
      <c r="B55" s="3075"/>
      <c r="C55" s="3075"/>
      <c r="D55" s="185">
        <f ca="1">IF(H55="个人住宅",0,ROUND(D45*I55,0))</f>
        <v>6</v>
      </c>
      <c r="E55" s="11" t="s">
        <v>2223</v>
      </c>
      <c r="F55" s="184">
        <f>IF(H55="正常",I55,"免征")</f>
        <v>5.0000000000000001E-4</v>
      </c>
      <c r="G55" s="2484"/>
      <c r="H55" s="2481" t="s">
        <v>2224</v>
      </c>
      <c r="I55" s="186">
        <f>'数据-取费表'!B49</f>
        <v>5.0000000000000001E-4</v>
      </c>
      <c r="J55" s="1812" t="str">
        <f>IF(H59="非个人房产","",4)</f>
        <v/>
      </c>
      <c r="K55" s="3125" t="str">
        <f>IF(H59="非个人房产","——","个人所得税")</f>
        <v>——</v>
      </c>
      <c r="L55" s="3125"/>
      <c r="M55" s="1757" t="str">
        <f>D59</f>
        <v>——</v>
      </c>
      <c r="N55" s="1810" t="str">
        <f>E59</f>
        <v>——</v>
      </c>
      <c r="O55" s="1758" t="str">
        <f>F59</f>
        <v>——</v>
      </c>
    </row>
    <row r="56" spans="1:35" ht="24.75">
      <c r="A56" s="3074" t="s">
        <v>2225</v>
      </c>
      <c r="B56" s="3075"/>
      <c r="C56" s="3075"/>
      <c r="D56" s="185">
        <f ca="1">IF(H56="个人住宅",D57,D58)</f>
        <v>7158</v>
      </c>
      <c r="E56" s="11" t="s">
        <v>2226</v>
      </c>
      <c r="F56" s="184" t="str">
        <f>IF(H56="正常",F58,"免征")</f>
        <v>——</v>
      </c>
      <c r="G56" s="2486" t="s">
        <v>2227</v>
      </c>
      <c r="H56" s="2487" t="s">
        <v>2224</v>
      </c>
      <c r="I56" s="2488"/>
      <c r="J56" s="1812" t="str">
        <f>IF(项目基本情况!K6="上海银行",IF(J55="",4,J55+1),"")</f>
        <v/>
      </c>
      <c r="K56" s="3148" t="str">
        <f>IF(项目基本情况!K6="上海银行","其他处置费用","")</f>
        <v/>
      </c>
      <c r="L56" s="3149"/>
      <c r="M56" s="1754" t="str">
        <f>IF(项目基本情况!K6="上海银行",M69,"")</f>
        <v/>
      </c>
      <c r="N56" s="3151" t="str">
        <f>IF(项目基本情况!K6="上海银行","包含处置中涉及的律师、诉讼、拍卖、评估等费用","")</f>
        <v/>
      </c>
      <c r="O56" s="3152"/>
    </row>
    <row r="57" spans="1:35" ht="12.75">
      <c r="A57" s="183" t="s">
        <v>2200</v>
      </c>
      <c r="B57" s="3090" t="s">
        <v>2228</v>
      </c>
      <c r="C57" s="3099"/>
      <c r="D57" s="187">
        <v>0</v>
      </c>
      <c r="E57" s="23" t="s">
        <v>2202</v>
      </c>
      <c r="F57" s="155"/>
      <c r="G57" s="2484"/>
      <c r="H57" s="2488"/>
      <c r="I57" s="2488"/>
      <c r="J57" s="3125">
        <f>IF(AND(J55="",J56=""),4,IF(项目基本情况!K6="上海银行",结果表!J56+1,结果表!J55+1))</f>
        <v>4</v>
      </c>
      <c r="K57" s="3125" t="s">
        <v>2229</v>
      </c>
      <c r="L57" s="2489" t="s">
        <v>2230</v>
      </c>
      <c r="M57" s="1759"/>
      <c r="N57" s="1760">
        <f ca="1">SUMIF(M52:M56,"&lt;9e307")</f>
        <v>7164</v>
      </c>
      <c r="O57" s="2490"/>
      <c r="P57" s="1753">
        <f ca="1">N57/M49</f>
        <v>0.56740060193252018</v>
      </c>
    </row>
    <row r="58" spans="1:35" ht="24.75">
      <c r="A58" s="183" t="s">
        <v>2211</v>
      </c>
      <c r="B58" s="3090" t="s">
        <v>2231</v>
      </c>
      <c r="C58" s="3091"/>
      <c r="D58" s="185">
        <f ca="1">IF(H58="转让取得",C81,C97)</f>
        <v>7158</v>
      </c>
      <c r="E58" s="11" t="s">
        <v>2226</v>
      </c>
      <c r="F58" s="24" t="s">
        <v>34</v>
      </c>
      <c r="G58" s="2484"/>
      <c r="H58" s="2487" t="s">
        <v>2232</v>
      </c>
      <c r="I58" s="2488"/>
      <c r="J58" s="3125"/>
      <c r="K58" s="3125"/>
      <c r="L58" s="2489" t="s">
        <v>2233</v>
      </c>
      <c r="M58" s="1761"/>
      <c r="N58" s="2491" t="str">
        <f ca="1">NUMBERSTRING(INT(N57*10000),2)&amp;"元整"</f>
        <v>柒仟壹佰陆拾肆万元整</v>
      </c>
      <c r="O58" s="2492"/>
    </row>
    <row r="59" spans="1:35" ht="24.75" thickBot="1">
      <c r="A59" s="3128" t="s">
        <v>2234</v>
      </c>
      <c r="B59" s="3129"/>
      <c r="C59" s="3129"/>
      <c r="D59" s="188" t="str">
        <f>IF(H59="非个人房产","——",IF(H59="个人住宅",0,ROUND(D45*I59,0)))</f>
        <v>——</v>
      </c>
      <c r="E59" s="189" t="str">
        <f>IF(H59="非个人房产","——","销售额×税（费）率")</f>
        <v>——</v>
      </c>
      <c r="F59" s="190" t="str">
        <f>IF(H59="非个人房产","——",IF(H59="个人住宅","免征",I59))</f>
        <v>——</v>
      </c>
      <c r="G59" s="2493" t="s">
        <v>2227</v>
      </c>
      <c r="H59" s="2487" t="s">
        <v>2235</v>
      </c>
      <c r="I59" s="191">
        <v>0.01</v>
      </c>
      <c r="J59" s="3126">
        <f>J57+1</f>
        <v>5</v>
      </c>
      <c r="K59" s="3125" t="s">
        <v>2236</v>
      </c>
      <c r="L59" s="1812" t="s">
        <v>2230</v>
      </c>
      <c r="M59" s="1762"/>
      <c r="N59" s="1763">
        <f ca="1">M49-N57</f>
        <v>5462</v>
      </c>
      <c r="O59" s="2494"/>
    </row>
    <row r="60" spans="1:35" ht="12" customHeight="1">
      <c r="A60" s="2495"/>
      <c r="B60" s="2417"/>
      <c r="C60" s="2417"/>
      <c r="D60" s="2417"/>
      <c r="E60" s="2169"/>
      <c r="F60" s="2488"/>
      <c r="G60" s="2488"/>
      <c r="H60" s="2496"/>
      <c r="I60" s="138"/>
      <c r="J60" s="3127"/>
      <c r="K60" s="3125"/>
      <c r="L60" s="2489" t="s">
        <v>2233</v>
      </c>
      <c r="M60" s="1761"/>
      <c r="N60" s="2491" t="str">
        <f ca="1">NUMBERSTRING(INT(N59*10000),2)&amp;"元整"</f>
        <v>伍仟肆佰陆拾贰万元整</v>
      </c>
      <c r="O60" s="2492"/>
    </row>
    <row r="61" spans="1:35" ht="13.5" thickBot="1">
      <c r="A61" s="3072" t="s">
        <v>2237</v>
      </c>
      <c r="B61" s="3072"/>
      <c r="C61" s="3072"/>
      <c r="D61" s="3072"/>
      <c r="E61" s="3072"/>
      <c r="F61" s="2488"/>
      <c r="G61" s="2488"/>
      <c r="H61" s="2496"/>
      <c r="I61" s="138"/>
      <c r="J61" s="1812">
        <f>J59+1</f>
        <v>6</v>
      </c>
      <c r="K61" s="3125" t="s">
        <v>2238</v>
      </c>
      <c r="L61" s="3125"/>
      <c r="M61" s="1764"/>
      <c r="N61" s="1765">
        <f ca="1">ROUND(N59*10000/'数据-汇总表'!E3,0)</f>
        <v>3266</v>
      </c>
      <c r="O61" s="2497"/>
    </row>
    <row r="62" spans="1:35" ht="12.75">
      <c r="A62" s="3088" t="s">
        <v>2239</v>
      </c>
      <c r="B62" s="3089"/>
      <c r="C62" s="1804"/>
      <c r="D62" s="1804" t="s">
        <v>2240</v>
      </c>
      <c r="E62" s="192" t="s">
        <v>2241</v>
      </c>
      <c r="F62" s="2488"/>
      <c r="G62" s="2488"/>
      <c r="H62" s="2496"/>
      <c r="I62" s="138"/>
    </row>
    <row r="63" spans="1:35" ht="12.75">
      <c r="A63" s="203" t="s">
        <v>775</v>
      </c>
      <c r="B63" s="193" t="s">
        <v>2242</v>
      </c>
      <c r="C63" s="194">
        <f ca="1">ROUND((C64+C65)/(1+'数据-取费表'!C42),0)</f>
        <v>12025</v>
      </c>
      <c r="D63" s="195"/>
      <c r="E63" s="196"/>
      <c r="F63" s="2488"/>
      <c r="G63" s="2488"/>
      <c r="H63" s="2496"/>
      <c r="I63" s="138"/>
      <c r="J63" s="3150" t="s">
        <v>2243</v>
      </c>
      <c r="K63" s="2498" t="s">
        <v>2244</v>
      </c>
      <c r="L63" s="1752">
        <f ca="1">IF(M49&gt;10000,M49*0.5%,IF(AND(M49&gt;1000,M49&lt;=10000),M49*1%,IF(AND(M49&gt;100,M49&lt;=1000),M49*3%,IF(AND(M49&gt;10,M49&lt;=100),M49*5%,M49*8%))))</f>
        <v>63.13</v>
      </c>
      <c r="M63" s="24">
        <f ca="1">ROUND(L63,1)</f>
        <v>63.1</v>
      </c>
      <c r="Z63" s="2422"/>
      <c r="AI63" s="2423"/>
    </row>
    <row r="64" spans="1:35" ht="14.25" customHeight="1">
      <c r="A64" s="197" t="s">
        <v>770</v>
      </c>
      <c r="B64" s="198" t="s">
        <v>2245</v>
      </c>
      <c r="C64" s="199">
        <f ca="1">D45</f>
        <v>12626</v>
      </c>
      <c r="D64" s="200" t="s">
        <v>32</v>
      </c>
      <c r="E64" s="201"/>
      <c r="F64" s="2488"/>
      <c r="G64" s="2488"/>
      <c r="H64" s="2496"/>
      <c r="I64" s="138"/>
      <c r="J64" s="3150"/>
      <c r="K64" s="2498" t="s">
        <v>2246</v>
      </c>
      <c r="L64" s="1752">
        <f ca="1">IF(M49&gt;2000,M49*0.5%,IF(AND(M49&gt;1000,M49&lt;=2000),M49*0.6%,IF(AND(M49&gt;500,M49&lt;=1000),M49*0.7%,IF(AND(M49&gt;200,M49&lt;=500),M49*0.8%,IF(AND(M49&gt;100,M49&lt;=200),M49*0.9%,IF(AND(M49&gt;50,M49&lt;=100),M49*1%,IF(AND(M49&gt;20,M49&lt;=50),M49*1.5%,IF(AND(M49&gt;10,M49&lt;=20),M49*2%,IF(AND(M49&gt;1,M49&lt;=10),M49*2.5%)))))))))</f>
        <v>63.13</v>
      </c>
      <c r="M64" s="24">
        <f t="shared" ref="M64:M65" ca="1" si="1">ROUND(L64,1)</f>
        <v>63.1</v>
      </c>
      <c r="N64" s="138" t="s">
        <v>2247</v>
      </c>
      <c r="Z64" s="2422"/>
      <c r="AI64" s="2423"/>
    </row>
    <row r="65" spans="1:35" ht="14.25" customHeight="1">
      <c r="A65" s="197" t="s">
        <v>771</v>
      </c>
      <c r="B65" s="198" t="s">
        <v>2248</v>
      </c>
      <c r="C65" s="202"/>
      <c r="D65" s="200"/>
      <c r="E65" s="201"/>
      <c r="F65" s="2488"/>
      <c r="G65" s="2488"/>
      <c r="H65" s="2496"/>
      <c r="I65" s="138"/>
      <c r="J65" s="3150"/>
      <c r="K65" s="2498" t="s">
        <v>2249</v>
      </c>
      <c r="L65" s="1752">
        <f ca="1">IF(M49&gt;1000,M49*0.1%,IF(AND(M49&gt;500,M49&lt;=1000),M49*0.5%,IF(AND(M49&gt;50,M49&lt;=500),M49*1%,IF(AND(M49&gt;1,M49&lt;=50),M49*1.5%))))</f>
        <v>12.625999999999999</v>
      </c>
      <c r="M65" s="24">
        <f t="shared" ca="1" si="1"/>
        <v>12.6</v>
      </c>
      <c r="N65" s="138" t="s">
        <v>2247</v>
      </c>
      <c r="Z65" s="2422"/>
      <c r="AI65" s="2423"/>
    </row>
    <row r="66" spans="1:35" ht="14.25" customHeight="1">
      <c r="A66" s="203" t="s">
        <v>772</v>
      </c>
      <c r="B66" s="204" t="s">
        <v>2250</v>
      </c>
      <c r="C66" s="205"/>
      <c r="D66" s="206" t="s">
        <v>32</v>
      </c>
      <c r="E66" s="1776" t="s">
        <v>1372</v>
      </c>
      <c r="F66" s="2488"/>
      <c r="G66" s="2488"/>
      <c r="H66" s="2496"/>
      <c r="I66" s="138"/>
      <c r="J66" s="3150"/>
      <c r="K66" s="2498" t="s">
        <v>2251</v>
      </c>
      <c r="L66" s="1752">
        <f ca="1">M49*0.5%</f>
        <v>63.13</v>
      </c>
      <c r="M66" s="24">
        <f ca="1">IF(L66&gt;0.5,0.5,ROUND(L66,0))</f>
        <v>0.5</v>
      </c>
      <c r="N66" s="138" t="s">
        <v>2252</v>
      </c>
      <c r="Z66" s="2422"/>
      <c r="AI66" s="2423"/>
    </row>
    <row r="67" spans="1:35" ht="14.25" customHeight="1">
      <c r="A67" s="203" t="s">
        <v>773</v>
      </c>
      <c r="B67" s="204" t="s">
        <v>2253</v>
      </c>
      <c r="C67" s="207">
        <f ca="1">C63-C66</f>
        <v>12025</v>
      </c>
      <c r="D67" s="200" t="s">
        <v>32</v>
      </c>
      <c r="E67" s="201"/>
      <c r="F67" s="2488"/>
      <c r="G67" s="2488"/>
      <c r="H67" s="2496"/>
      <c r="I67" s="138"/>
      <c r="J67" s="3150"/>
      <c r="K67" s="2498" t="s">
        <v>2254</v>
      </c>
      <c r="L67" s="1752">
        <f ca="1">IF(M49&gt;=10000,(8.25+(M49-10000)*0.01%),IF(AND(M49&gt;=8000,M49&lt;10000),(7.85+(M49-8000)*0.02%),IF(AND(M49&gt;=5000,M49&lt;8000),(6.65+(M49-5000)*0.04%),IF(AND(M49&gt;=2000,M49&lt;5000),(4.25+(PM49-2000)*0.08%),IF(AND(M49&gt;=1000,M49&lt;2000),(2.75+(M49-1000)*0.15%),IF(AND(M49&gt;=100,M49&lt;1000),(0.5+(M49-100)*0.25%),IF(AND(M49&gt;0,M49&lt;100),M49*0.5%)))))))</f>
        <v>8.5126000000000008</v>
      </c>
      <c r="M67" s="24">
        <f ca="1">ROUND(L67*0.9,1)</f>
        <v>7.7</v>
      </c>
      <c r="Z67" s="2422"/>
      <c r="AI67" s="2423"/>
    </row>
    <row r="68" spans="1:35" ht="14.25" customHeight="1" thickBot="1">
      <c r="A68" s="208" t="s">
        <v>774</v>
      </c>
      <c r="B68" s="209" t="s">
        <v>2255</v>
      </c>
      <c r="C68" s="210">
        <f ca="1">IF(C67&lt;=0,0,ROUND(C67*D68,0))</f>
        <v>661</v>
      </c>
      <c r="D68" s="211">
        <f>'数据-取费表'!B41</f>
        <v>5.5000000000000007E-2</v>
      </c>
      <c r="E68" s="212"/>
      <c r="F68" s="2488"/>
      <c r="G68" s="2488"/>
      <c r="H68" s="2496"/>
      <c r="I68" s="138"/>
      <c r="J68" s="3150"/>
      <c r="K68" s="2498" t="s">
        <v>2256</v>
      </c>
      <c r="L68" s="1752">
        <f ca="1">IF(M49&gt;10000,M49*0.5%,IF(AND(M49&gt;5000,M49&lt;=10000),M49*1%,IF(AND(M49&gt;1000,M49&lt;=5000),M49*2%,IF(AND(M49&gt;200,M49&lt;=1000),M49*3%,M49*5%))))</f>
        <v>63.13</v>
      </c>
      <c r="M68" s="24">
        <f ca="1">ROUND(L68,1)</f>
        <v>63.1</v>
      </c>
      <c r="Z68" s="2422"/>
      <c r="AI68" s="2423"/>
    </row>
    <row r="69" spans="1:35" s="2445" customFormat="1" ht="16.5" customHeight="1">
      <c r="A69" s="2499"/>
      <c r="B69" s="2500"/>
      <c r="C69" s="2501"/>
      <c r="D69" s="2502"/>
      <c r="E69" s="2503"/>
      <c r="F69" s="2169"/>
      <c r="G69" s="2169"/>
      <c r="H69" s="2168"/>
      <c r="I69" s="2417"/>
      <c r="J69" s="3150"/>
      <c r="K69" s="2498" t="s">
        <v>2257</v>
      </c>
      <c r="L69" s="2504"/>
      <c r="M69" s="24">
        <f ca="1">ROUND(SUM(M63:M68),0)</f>
        <v>210</v>
      </c>
      <c r="N69" s="1753">
        <f ca="1">M69/M49</f>
        <v>1.6632345952795818E-2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9" t="s">
        <v>2258</v>
      </c>
      <c r="B70" s="3110"/>
      <c r="C70" s="3110"/>
      <c r="D70" s="3110"/>
      <c r="E70" s="3110"/>
      <c r="F70" s="3110"/>
      <c r="G70" s="3110"/>
      <c r="H70" s="311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8" t="s">
        <v>2239</v>
      </c>
      <c r="B71" s="3089"/>
      <c r="C71" s="1804"/>
      <c r="D71" s="1804" t="s">
        <v>2240</v>
      </c>
      <c r="E71" s="213" t="s">
        <v>2241</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2259</v>
      </c>
      <c r="C72" s="207">
        <f ca="1">ROUND(D45/(1+'数据-取费表'!C42),0)</f>
        <v>12025</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2260</v>
      </c>
      <c r="C73" s="207">
        <f ca="1">C74+C78</f>
        <v>60</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2261</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2262</v>
      </c>
      <c r="C75" s="218"/>
      <c r="D75" s="200" t="s">
        <v>32</v>
      </c>
      <c r="E75" s="219" t="s">
        <v>2263</v>
      </c>
      <c r="F75" s="2510" t="s">
        <v>2264</v>
      </c>
      <c r="G75" s="219" t="s">
        <v>2265</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2266</v>
      </c>
      <c r="C76" s="200">
        <f>IF(F75="购房发票",ROUND(C75*H75*D76,0),0)</f>
        <v>0</v>
      </c>
      <c r="D76" s="222">
        <v>0.05</v>
      </c>
      <c r="E76" s="3083" t="s">
        <v>2267</v>
      </c>
      <c r="F76" s="3060"/>
      <c r="G76" s="3060"/>
      <c r="H76" s="310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2" t="s">
        <v>2270</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2271</v>
      </c>
      <c r="C78" s="225">
        <f ca="1">ROUND(D45*D78/(1+'数据-取费表'!C42),0)</f>
        <v>60</v>
      </c>
      <c r="D78" s="226">
        <f>'数据-取费表'!B43</f>
        <v>5.000000000000001E-3</v>
      </c>
      <c r="E78" s="3069" t="s">
        <v>2272</v>
      </c>
      <c r="F78" s="3070"/>
      <c r="G78" s="3070"/>
      <c r="H78" s="307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2273</v>
      </c>
      <c r="C79" s="207">
        <f ca="1">C72-C73</f>
        <v>11965</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2274</v>
      </c>
      <c r="C80" s="227">
        <f ca="1">IF(C79&lt;=0,0,C79/C73)</f>
        <v>199.41666666666666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2275</v>
      </c>
      <c r="C81" s="228">
        <f ca="1">ROUND(IF(C79&lt;=0,0,IF(C80&gt;=200%,C79*60%-C73*35%,IF(C80&gt;=100%,C79*50%-C73*15%,IF(C80&gt;=50%,C79*40%-C73*5%,IF(C80&lt;50%,C79*30%,0))))),0)</f>
        <v>7158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9" t="s">
        <v>2276</v>
      </c>
      <c r="B83" s="3110"/>
      <c r="C83" s="3110"/>
      <c r="D83" s="3110"/>
      <c r="E83" s="3110"/>
      <c r="F83" s="3110"/>
      <c r="G83" s="3110"/>
      <c r="H83" s="311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8" t="s">
        <v>2239</v>
      </c>
      <c r="B84" s="3089"/>
      <c r="C84" s="1804"/>
      <c r="D84" s="1804" t="s">
        <v>2240</v>
      </c>
      <c r="E84" s="213" t="s">
        <v>2241</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2259</v>
      </c>
      <c r="C85" s="207">
        <f ca="1">ROUND(D45/(1+'数据-取费表'!C42),0)</f>
        <v>12025</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2260</v>
      </c>
      <c r="C86" s="207">
        <f ca="1">IF(H88="仅含出让金",C87+C90+C91+C92+C93+C94,C87+C91+C92+C93+C94)</f>
        <v>60</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2277</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2278</v>
      </c>
      <c r="C88" s="236"/>
      <c r="D88" s="226"/>
      <c r="E88" s="237" t="s">
        <v>2279</v>
      </c>
      <c r="F88" s="1800"/>
      <c r="G88" s="238"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2268</v>
      </c>
      <c r="C89" s="225">
        <f>ROUND(C88*D89,0)</f>
        <v>0</v>
      </c>
      <c r="D89" s="226">
        <f>'数据-取费表'!B48+'数据-取费表'!B49</f>
        <v>3.0499999999999999E-2</v>
      </c>
      <c r="E89" s="237" t="s">
        <v>2281</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2282</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2283</v>
      </c>
      <c r="B91" s="198" t="s">
        <v>2284</v>
      </c>
      <c r="C91" s="225">
        <f>IF(H91="——",成本法!C33,I91)</f>
        <v>0</v>
      </c>
      <c r="D91" s="226"/>
      <c r="E91" s="3069" t="s">
        <v>2285</v>
      </c>
      <c r="F91" s="3070"/>
      <c r="G91" s="3070"/>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2287</v>
      </c>
      <c r="B92" s="198" t="s">
        <v>2288</v>
      </c>
      <c r="C92" s="225">
        <f>ROUND((C87+C90+C91)*D92,0)</f>
        <v>0</v>
      </c>
      <c r="D92" s="226">
        <v>0.1</v>
      </c>
      <c r="E92" s="3069" t="s">
        <v>2289</v>
      </c>
      <c r="F92" s="3070"/>
      <c r="G92" s="3070"/>
      <c r="H92" s="307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2290</v>
      </c>
      <c r="B93" s="198" t="s">
        <v>2271</v>
      </c>
      <c r="C93" s="225">
        <f ca="1">ROUND(D45*D93/(1+'数据-取费表'!C42),0)</f>
        <v>60</v>
      </c>
      <c r="D93" s="226">
        <f>'数据-取费表'!B43</f>
        <v>5.000000000000001E-3</v>
      </c>
      <c r="E93" s="3069" t="s">
        <v>2272</v>
      </c>
      <c r="F93" s="3070"/>
      <c r="G93" s="3070"/>
      <c r="H93" s="307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2291</v>
      </c>
      <c r="B94" s="198" t="s">
        <v>2292</v>
      </c>
      <c r="C94" s="236">
        <f>ROUND((C87+C90+C91)*D94,0)</f>
        <v>0</v>
      </c>
      <c r="D94" s="226">
        <v>0.2</v>
      </c>
      <c r="E94" s="3080" t="s">
        <v>2293</v>
      </c>
      <c r="F94" s="3081"/>
      <c r="G94" s="3081"/>
      <c r="H94" s="308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2273</v>
      </c>
      <c r="C95" s="207">
        <f ca="1">ROUND(C85-C86,0)</f>
        <v>11965</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2274</v>
      </c>
      <c r="C96" s="227">
        <f ca="1">IF(C95&lt;=0,0,C95/C86)</f>
        <v>199.41666666666666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2275</v>
      </c>
      <c r="C97" s="228">
        <f ca="1">ROUND(IF(C95&lt;=0,0,IF(C96&gt;=200%,C95*60%-C86*35%,IF(C96&gt;=100%,C95*50%-C86*15%,IF(C96&gt;=50%,C95*40%-C86*5%,IF(C96&lt;50%,C95*30%,0))))),0)</f>
        <v>7158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9"/>
      <c r="F98" s="2169"/>
      <c r="G98" s="2169"/>
      <c r="H98" s="2168"/>
      <c r="I98" s="138"/>
    </row>
    <row r="99" spans="1:35" ht="21.75" customHeight="1" thickBot="1">
      <c r="A99" s="2473" t="s">
        <v>2294</v>
      </c>
      <c r="B99" s="2417"/>
      <c r="C99" s="2417"/>
      <c r="D99" s="2417"/>
      <c r="E99" s="2169"/>
      <c r="F99" s="2169"/>
      <c r="G99" s="2169"/>
      <c r="H99" s="2168"/>
      <c r="I99" s="138"/>
    </row>
    <row r="100" spans="1:35" ht="18.75" customHeight="1">
      <c r="A100" s="3054" t="s">
        <v>2295</v>
      </c>
      <c r="B100" s="3055"/>
      <c r="C100" s="3055"/>
      <c r="D100" s="3071"/>
      <c r="E100" s="3055" t="s">
        <v>2296</v>
      </c>
      <c r="F100" s="3055"/>
      <c r="G100" s="3055"/>
      <c r="H100" s="3071"/>
      <c r="I100" s="138"/>
    </row>
    <row r="101" spans="1:35" ht="18.75" customHeight="1">
      <c r="A101" s="3133" t="s">
        <v>2297</v>
      </c>
      <c r="B101" s="3134"/>
      <c r="C101" s="736" t="str">
        <f>C4</f>
        <v>成本法</v>
      </c>
      <c r="D101" s="737" t="str">
        <f>D4</f>
        <v>收益法</v>
      </c>
      <c r="E101" s="3147" t="s">
        <v>2298</v>
      </c>
      <c r="F101" s="3101"/>
      <c r="G101" s="2519" t="s">
        <v>2299</v>
      </c>
      <c r="H101" s="1047">
        <f ca="1">H118</f>
        <v>12626</v>
      </c>
      <c r="I101" s="138"/>
    </row>
    <row r="102" spans="1:35" ht="18.75" customHeight="1">
      <c r="A102" s="3103" t="s">
        <v>2300</v>
      </c>
      <c r="B102" s="2519" t="s">
        <v>2299</v>
      </c>
      <c r="C102" s="736">
        <f ca="1">C19</f>
        <v>9844</v>
      </c>
      <c r="D102" s="737">
        <f ca="1">D19</f>
        <v>14481</v>
      </c>
      <c r="E102" s="3147"/>
      <c r="F102" s="3101"/>
      <c r="G102" s="2519" t="s">
        <v>2301</v>
      </c>
      <c r="H102" s="371">
        <f ca="1">I118</f>
        <v>7549</v>
      </c>
      <c r="I102" s="138"/>
    </row>
    <row r="103" spans="1:35" ht="42.75" customHeight="1">
      <c r="A103" s="3103"/>
      <c r="B103" s="2519" t="s">
        <v>2301</v>
      </c>
      <c r="C103" s="738">
        <f ca="1">C20</f>
        <v>5886</v>
      </c>
      <c r="D103" s="739">
        <f ca="1">D20</f>
        <v>8659</v>
      </c>
      <c r="E103" s="3142" t="s">
        <v>2302</v>
      </c>
      <c r="F103" s="3143"/>
      <c r="G103" s="2520" t="s">
        <v>2303</v>
      </c>
      <c r="H103" s="1047">
        <f>IF(D36="正常操作",H104+H105+H106,H105+H106)</f>
        <v>0</v>
      </c>
      <c r="I103" s="138"/>
    </row>
    <row r="104" spans="1:35" ht="18.75" customHeight="1">
      <c r="A104" s="3103" t="s">
        <v>2304</v>
      </c>
      <c r="B104" s="2521" t="s">
        <v>2299</v>
      </c>
      <c r="C104" s="740">
        <f ca="1">H118</f>
        <v>12626</v>
      </c>
      <c r="D104" s="741"/>
      <c r="E104" s="2268" t="s">
        <v>2305</v>
      </c>
      <c r="F104" s="2260"/>
      <c r="G104" s="2520" t="s">
        <v>2303</v>
      </c>
      <c r="H104" s="1048">
        <f>IF(D36="同一抵押权人同一抵押物续贷",C36&amp;"（未扣减，详见特别提示）",C36)</f>
        <v>0</v>
      </c>
      <c r="I104" s="138"/>
    </row>
    <row r="105" spans="1:35" ht="18.75" customHeight="1" thickBot="1">
      <c r="A105" s="3104"/>
      <c r="B105" s="2522" t="s">
        <v>2301</v>
      </c>
      <c r="C105" s="742">
        <f ca="1">I118</f>
        <v>7549</v>
      </c>
      <c r="D105" s="743"/>
      <c r="E105" s="2268" t="s">
        <v>2306</v>
      </c>
      <c r="F105" s="2260"/>
      <c r="G105" s="2520" t="s">
        <v>2303</v>
      </c>
      <c r="H105" s="1048">
        <f>C37</f>
        <v>0</v>
      </c>
      <c r="I105" s="138"/>
    </row>
    <row r="106" spans="1:35" ht="18.75" customHeight="1">
      <c r="A106" s="2417" t="s">
        <v>2307</v>
      </c>
      <c r="B106" s="2417"/>
      <c r="C106" s="2417"/>
      <c r="D106" s="2417"/>
      <c r="E106" s="2523" t="s">
        <v>2308</v>
      </c>
      <c r="F106" s="2260"/>
      <c r="G106" s="2520" t="s">
        <v>2303</v>
      </c>
      <c r="H106" s="1048">
        <f>C38</f>
        <v>0</v>
      </c>
      <c r="I106" s="138"/>
    </row>
    <row r="107" spans="1:35" ht="18.75" customHeight="1">
      <c r="A107" s="138"/>
      <c r="B107" s="138"/>
      <c r="C107" s="138"/>
      <c r="D107" s="138"/>
      <c r="E107" s="3100" t="str">
        <f>IF(项目基本情况!E8="已注销","——","3.房地产抵押价值")</f>
        <v>3.房地产抵押价值</v>
      </c>
      <c r="F107" s="3101"/>
      <c r="G107" s="2519" t="s">
        <v>2299</v>
      </c>
      <c r="H107" s="1047">
        <f ca="1">IF(E107="——","——",H101-H103)</f>
        <v>12626</v>
      </c>
      <c r="I107" s="138"/>
    </row>
    <row r="108" spans="1:35" ht="18.75" customHeight="1">
      <c r="A108" s="138"/>
      <c r="B108" s="138"/>
      <c r="C108" s="138"/>
      <c r="D108" s="138"/>
      <c r="E108" s="3100"/>
      <c r="F108" s="3101"/>
      <c r="G108" s="2519" t="s">
        <v>2301</v>
      </c>
      <c r="H108" s="371">
        <f ca="1">ROUND(H107*10000/'数据-汇总表'!E3,0)</f>
        <v>7549</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4.抵押担保权已注销时的房地产抵押价值</v>
      </c>
      <c r="F109" s="3101"/>
      <c r="G109" s="2519" t="s">
        <v>2299</v>
      </c>
      <c r="H109" s="348">
        <f ca="1">IF(E109="——","——",H101-H105-H106)</f>
        <v>12626</v>
      </c>
      <c r="I109" s="138"/>
    </row>
    <row r="110" spans="1:35" ht="18.75" customHeight="1">
      <c r="A110" s="138"/>
      <c r="B110" s="138"/>
      <c r="C110" s="138"/>
      <c r="D110" s="138"/>
      <c r="E110" s="3100"/>
      <c r="F110" s="3101"/>
      <c r="G110" s="2519" t="s">
        <v>2301</v>
      </c>
      <c r="H110" s="371">
        <f ca="1">IF(H109="——","——",ROUND(H109*10000/'数据-汇总表'!E3,0))</f>
        <v>7549</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9" t="s">
        <v>2299</v>
      </c>
      <c r="H111" s="1047" t="str">
        <f>IF(E111="——","——",N59)</f>
        <v>——</v>
      </c>
      <c r="I111" s="138"/>
    </row>
    <row r="112" spans="1:35" ht="18.75" customHeight="1" thickBot="1">
      <c r="A112" s="138"/>
      <c r="B112" s="138"/>
      <c r="C112" s="138"/>
      <c r="D112" s="138"/>
      <c r="E112" s="3137"/>
      <c r="F112" s="3138"/>
      <c r="G112" s="2524" t="s">
        <v>2301</v>
      </c>
      <c r="H112" s="790" t="str">
        <f>IF(E111="——","——",N61)</f>
        <v>——</v>
      </c>
      <c r="I112" s="138"/>
    </row>
    <row r="113" spans="1:11" ht="18.75" customHeight="1">
      <c r="A113" s="138"/>
      <c r="B113" s="138"/>
      <c r="C113" s="138"/>
      <c r="D113" s="138"/>
      <c r="E113" s="3105" t="s">
        <v>2307</v>
      </c>
      <c r="F113" s="3105"/>
      <c r="G113" s="3105"/>
      <c r="H113" s="3105"/>
      <c r="I113" s="138"/>
    </row>
    <row r="114" spans="1:11" ht="3.75" customHeight="1">
      <c r="A114" s="2417"/>
      <c r="B114" s="2417"/>
      <c r="C114" s="2417"/>
      <c r="D114" s="2417"/>
      <c r="E114" s="2495"/>
      <c r="F114" s="2495"/>
      <c r="G114" s="2495"/>
      <c r="H114" s="2495"/>
      <c r="I114" s="2417"/>
    </row>
    <row r="115" spans="1:11" ht="18.75" customHeight="1">
      <c r="A115" s="3118" t="s">
        <v>2309</v>
      </c>
      <c r="B115" s="3119"/>
      <c r="C115" s="3119"/>
      <c r="D115" s="3119"/>
      <c r="E115" s="3119"/>
      <c r="F115" s="3119"/>
      <c r="G115" s="3119"/>
      <c r="H115" s="3119"/>
      <c r="I115" s="3120"/>
    </row>
    <row r="116" spans="1:11" ht="27" customHeight="1">
      <c r="A116" s="3011" t="s">
        <v>2310</v>
      </c>
      <c r="B116" s="3106" t="s">
        <v>2311</v>
      </c>
      <c r="C116" s="3106" t="s">
        <v>2312</v>
      </c>
      <c r="D116" s="3122" t="s">
        <v>2313</v>
      </c>
      <c r="E116" s="3123"/>
      <c r="F116" s="3114" t="s">
        <v>2314</v>
      </c>
      <c r="G116" s="3114"/>
      <c r="H116" s="3011" t="s">
        <v>2315</v>
      </c>
      <c r="I116" s="3011"/>
    </row>
    <row r="117" spans="1:11" ht="18.75" customHeight="1">
      <c r="A117" s="3011"/>
      <c r="B117" s="3107"/>
      <c r="C117" s="3107"/>
      <c r="D117" s="1798" t="s">
        <v>2316</v>
      </c>
      <c r="E117" s="1798" t="s">
        <v>2317</v>
      </c>
      <c r="F117" s="1798" t="s">
        <v>2316</v>
      </c>
      <c r="G117" s="1798" t="s">
        <v>2318</v>
      </c>
      <c r="H117" s="1798" t="s">
        <v>2316</v>
      </c>
      <c r="I117" s="1798" t="s">
        <v>2318</v>
      </c>
    </row>
    <row r="118" spans="1:11" ht="24.75" customHeight="1">
      <c r="A118" s="2525" t="str">
        <f>项目基本情况!S2</f>
        <v>北京市房地产</v>
      </c>
      <c r="B118" s="1798">
        <f>M18</f>
        <v>16724.509999999998</v>
      </c>
      <c r="C118" s="1798">
        <f>M19</f>
        <v>9999.1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12626</v>
      </c>
      <c r="I118" s="1798">
        <f ca="1">ROUND(IF(D32="楼面单价",C32,H118*10000/B118),0)</f>
        <v>7549</v>
      </c>
    </row>
    <row r="119" spans="1:11" ht="18.75" customHeight="1">
      <c r="A119" s="3011" t="s">
        <v>2319</v>
      </c>
      <c r="B119" s="3011"/>
      <c r="C119" s="3011"/>
      <c r="D119" s="3111" t="e">
        <f ca="1">NUMBERSTRING(INT(D118*10000),2)&amp;"元整"</f>
        <v>#REF!</v>
      </c>
      <c r="E119" s="3113"/>
      <c r="F119" s="3111" t="e">
        <f ca="1">NUMBERSTRING(INT(F118*10000),2)&amp;"元整"</f>
        <v>#REF!</v>
      </c>
      <c r="G119" s="3113"/>
      <c r="H119" s="3111" t="str">
        <f ca="1">NUMBERSTRING(INT(H118*10000),2)&amp;"元整"</f>
        <v>壹亿贰仟陆佰贰拾陆万元整</v>
      </c>
      <c r="I119" s="3113"/>
    </row>
    <row r="120" spans="1:11" ht="18.75" customHeight="1">
      <c r="A120" s="3139" t="str">
        <f>IF(项目基本情况!B9="房地产市场价值","",MID(E103,3,LEN(E103)-2))</f>
        <v/>
      </c>
      <c r="B120" s="3140"/>
      <c r="C120" s="3141"/>
      <c r="D120" s="3139">
        <f>H103</f>
        <v>0</v>
      </c>
      <c r="E120" s="3140"/>
      <c r="F120" s="3140"/>
      <c r="G120" s="3140"/>
      <c r="H120" s="3140"/>
      <c r="I120" s="3141"/>
      <c r="K120" s="2422" t="str">
        <f>IF(D120=0,"故，本次评估不存在"&amp;A120,"故，本次评估"&amp;A120&amp;"为人民币"&amp;D120&amp;"万元整。")</f>
        <v>故，本次评估不存在</v>
      </c>
    </row>
    <row r="121" spans="1:11" ht="18.75" customHeight="1">
      <c r="A121" s="3115" t="s">
        <v>2319</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
      </c>
      <c r="B122" s="3102"/>
      <c r="C122" s="3102"/>
      <c r="D122" s="3139">
        <f ca="1">H107</f>
        <v>12626</v>
      </c>
      <c r="E122" s="3140"/>
      <c r="F122" s="3140"/>
      <c r="G122" s="3140"/>
      <c r="H122" s="3140"/>
      <c r="I122" s="3141"/>
    </row>
    <row r="123" spans="1:11" ht="18.75" customHeight="1">
      <c r="A123" s="3011" t="s">
        <v>2319</v>
      </c>
      <c r="B123" s="3011"/>
      <c r="C123" s="3011"/>
      <c r="D123" s="3111" t="str">
        <f ca="1">NUMBERSTRING(INT(D122*10000),2)&amp;"元整"</f>
        <v>壹亿贰仟陆佰贰拾陆万元整</v>
      </c>
      <c r="E123" s="3112"/>
      <c r="F123" s="3112"/>
      <c r="G123" s="3112"/>
      <c r="H123" s="3112"/>
      <c r="I123" s="3113"/>
    </row>
    <row r="124" spans="1:11" ht="18.75" customHeight="1">
      <c r="A124" s="3102" t="str">
        <f>IF(项目基本情况!B9="房地产市场价值","",MID(E109,3,LEN(E109)-2))</f>
        <v/>
      </c>
      <c r="B124" s="3102"/>
      <c r="C124" s="3102"/>
      <c r="D124" s="3139">
        <f ca="1">H109</f>
        <v>12626</v>
      </c>
      <c r="E124" s="3140"/>
      <c r="F124" s="3140"/>
      <c r="G124" s="3140"/>
      <c r="H124" s="3140"/>
      <c r="I124" s="3141"/>
    </row>
    <row r="125" spans="1:11" ht="18.75" customHeight="1">
      <c r="A125" s="3011" t="s">
        <v>2319</v>
      </c>
      <c r="B125" s="3011"/>
      <c r="C125" s="3011"/>
      <c r="D125" s="3111" t="str">
        <f ca="1">NUMBERSTRING(INT(D124*10000),2)&amp;"元整"</f>
        <v>壹亿贰仟陆佰贰拾陆万元整</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2319</v>
      </c>
      <c r="B127" s="3011"/>
      <c r="C127" s="3011"/>
      <c r="D127" s="3111" t="e">
        <f>NUMBERSTRING(INT(D126*10000),2)&amp;"元整"</f>
        <v>#VALUE!</v>
      </c>
      <c r="E127" s="3112"/>
      <c r="F127" s="3112"/>
      <c r="G127" s="3112"/>
      <c r="H127" s="3112"/>
      <c r="I127" s="3113"/>
    </row>
    <row r="128" spans="1:11" ht="21.75" customHeight="1">
      <c r="A128" s="3121" t="s">
        <v>2320</v>
      </c>
      <c r="B128" s="3121"/>
      <c r="C128" s="3121"/>
      <c r="D128" s="3121"/>
      <c r="E128" s="3121"/>
      <c r="F128" s="3121"/>
      <c r="G128" s="3121"/>
      <c r="H128" s="3121"/>
      <c r="I128" s="3121"/>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2323</v>
      </c>
      <c r="G135" s="2543"/>
      <c r="H135" s="2543"/>
      <c r="I135" s="2544" t="s">
        <v>2324</v>
      </c>
    </row>
    <row r="136" spans="1:35" ht="21.75" customHeight="1">
      <c r="A136" s="795"/>
      <c r="B136" s="2545"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2326</v>
      </c>
    </row>
    <row r="139" spans="1:35" ht="21.75" customHeight="1">
      <c r="A139" s="795"/>
      <c r="B139" s="2545" t="s">
        <v>2327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2326</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5" sqref="H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3057</v>
      </c>
      <c r="C1" s="242"/>
      <c r="D1" s="242"/>
      <c r="E1" s="242"/>
      <c r="F1" s="242"/>
      <c r="G1" s="1381">
        <f>MATCH(B1,'数据-取费表'!A6:A16,0)+5</f>
        <v>6</v>
      </c>
    </row>
    <row r="2" spans="1:9" s="244" customFormat="1" ht="18" customHeight="1">
      <c r="A2" s="245" t="s">
        <v>2329</v>
      </c>
      <c r="B2" s="246">
        <f ca="1">IF(D2="——",C52,C52-E2)</f>
        <v>9844</v>
      </c>
      <c r="C2" s="243" t="s">
        <v>2330</v>
      </c>
      <c r="D2" s="2548" t="s">
        <v>70</v>
      </c>
      <c r="E2" s="1442">
        <f ca="1">SUMIF(INDIRECT("'"&amp;G2&amp;"'"&amp;"!A:A"),"承租人权益价值",INDIRECT("'"&amp;G2&amp;"'"&amp;"!c:c"))</f>
        <v>0</v>
      </c>
      <c r="F2" s="2549" t="s">
        <v>2330</v>
      </c>
      <c r="G2" s="2550" t="s">
        <v>3126</v>
      </c>
    </row>
    <row r="3" spans="1:9" s="244" customFormat="1" ht="18" customHeight="1" thickBot="1">
      <c r="A3" s="247" t="s">
        <v>2331</v>
      </c>
      <c r="B3" s="248">
        <f ca="1">ROUND(B2*10000/(IF(B1="",'数据-汇总表'!E3,INDIRECT("'数据-取费表'!k"&amp;$G$1))),0)</f>
        <v>5886</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3221</v>
      </c>
      <c r="D5" s="255" t="s">
        <v>2336</v>
      </c>
      <c r="E5" s="256" t="s">
        <v>2337</v>
      </c>
      <c r="F5" s="256" t="s">
        <v>2338</v>
      </c>
      <c r="G5" s="257"/>
    </row>
    <row r="6" spans="1:9" s="258" customFormat="1" ht="13.5" customHeight="1">
      <c r="A6" s="951" t="s">
        <v>2339</v>
      </c>
      <c r="B6" s="259" t="s">
        <v>2340</v>
      </c>
      <c r="C6" s="260">
        <f>'土地比较法-工业'!F61</f>
        <v>3126</v>
      </c>
      <c r="D6" s="261"/>
      <c r="E6" s="262"/>
      <c r="F6" s="262"/>
      <c r="G6" s="263"/>
    </row>
    <row r="7" spans="1:9" s="258" customFormat="1" ht="13.5" customHeight="1">
      <c r="A7" s="951" t="s">
        <v>2341</v>
      </c>
      <c r="B7" s="259" t="s">
        <v>2342</v>
      </c>
      <c r="C7" s="264">
        <f>ROUND(C6*F7,0)</f>
        <v>95</v>
      </c>
      <c r="D7" s="264"/>
      <c r="E7" s="262"/>
      <c r="F7" s="265">
        <f>'数据-取费表'!B48+'数据-取费表'!B49</f>
        <v>3.0499999999999999E-2</v>
      </c>
      <c r="G7" s="263"/>
    </row>
    <row r="8" spans="1:9" s="267" customFormat="1">
      <c r="A8" s="951" t="s">
        <v>2343</v>
      </c>
      <c r="B8" s="259" t="s">
        <v>2344</v>
      </c>
      <c r="C8" s="264" t="str">
        <f>IF(G8="已包含在土地购买价格中","0",IF(B1="",'数据-取费表'!B29,IF(G9="全部缴纳",C9+C10,H9)))</f>
        <v>0</v>
      </c>
      <c r="D8" s="266"/>
      <c r="E8" s="264"/>
      <c r="F8" s="265"/>
      <c r="G8" s="2551" t="s">
        <v>1148</v>
      </c>
    </row>
    <row r="9" spans="1:9" s="258" customFormat="1" ht="13.5" customHeight="1">
      <c r="A9" s="952" t="s">
        <v>800</v>
      </c>
      <c r="B9" s="268" t="s">
        <v>2345</v>
      </c>
      <c r="C9" s="269">
        <f ca="1">ROUND(D9*E9/10000,0)</f>
        <v>0</v>
      </c>
      <c r="D9" s="1034">
        <f ca="1">IF(B1="",'数据-汇总表'!E5,IF(INDIRECT("'数据-取费表'!c"&amp;$G$1)="住宅",INDIRECT("'数据-取费表'!k"&amp;$G$1),0))</f>
        <v>0</v>
      </c>
      <c r="E9" s="269">
        <f>'数据-取费表'!B27</f>
        <v>200</v>
      </c>
      <c r="F9" s="265"/>
      <c r="G9" s="2552" t="s">
        <v>3127</v>
      </c>
      <c r="H9" s="1392"/>
      <c r="I9" s="2553" t="s">
        <v>2346</v>
      </c>
    </row>
    <row r="10" spans="1:9" s="258" customFormat="1" ht="13.5" customHeight="1">
      <c r="A10" s="952" t="s">
        <v>801</v>
      </c>
      <c r="B10" s="268" t="s">
        <v>2347</v>
      </c>
      <c r="C10" s="269">
        <f ca="1">ROUND(D10*E10/10000,0)</f>
        <v>334</v>
      </c>
      <c r="D10" s="1034">
        <f ca="1">IF(B1="",'数据-汇总表'!E6,IF(INDIRECT("'数据-取费表'!c"&amp;$G$1)="住宅",INDIRECT("'数据-取费表'!s"&amp;$G$1),INDIRECT("'数据-取费表'!k"&amp;$G$1)+INDIRECT("'数据-取费表'!s"&amp;$G$1)))</f>
        <v>16724.509999999998</v>
      </c>
      <c r="E10" s="269">
        <f>'数据-取费表'!B28</f>
        <v>200</v>
      </c>
      <c r="F10" s="265"/>
      <c r="G10" s="270"/>
    </row>
    <row r="11" spans="1:9" s="258" customFormat="1" ht="13.5" hidden="1" customHeight="1">
      <c r="A11" s="271" t="s">
        <v>7</v>
      </c>
      <c r="B11" s="259" t="s">
        <v>2348</v>
      </c>
      <c r="C11" s="255"/>
      <c r="D11" s="1036"/>
      <c r="E11" s="262"/>
      <c r="F11" s="262"/>
      <c r="G11" s="263"/>
    </row>
    <row r="12" spans="1:9" s="258" customFormat="1" ht="13.5" hidden="1" customHeight="1">
      <c r="A12" s="271" t="s">
        <v>8</v>
      </c>
      <c r="B12" s="259" t="s">
        <v>2349</v>
      </c>
      <c r="C12" s="255">
        <v>0</v>
      </c>
      <c r="D12" s="1036"/>
      <c r="E12" s="272"/>
      <c r="F12" s="265">
        <v>3.0499999999999999E-2</v>
      </c>
      <c r="G12" s="263"/>
    </row>
    <row r="13" spans="1:9" s="258" customFormat="1" ht="13.5" hidden="1" customHeight="1">
      <c r="A13" s="271" t="s">
        <v>9</v>
      </c>
      <c r="B13" s="259" t="s">
        <v>2350</v>
      </c>
      <c r="C13" s="255"/>
      <c r="D13" s="1036"/>
      <c r="E13" s="262"/>
      <c r="F13" s="262"/>
      <c r="G13" s="263"/>
    </row>
    <row r="14" spans="1:9" s="258" customFormat="1" ht="13.5" hidden="1" customHeight="1">
      <c r="A14" s="271" t="s">
        <v>10</v>
      </c>
      <c r="B14" s="259" t="s">
        <v>2351</v>
      </c>
      <c r="C14" s="255"/>
      <c r="D14" s="1036"/>
      <c r="E14" s="262"/>
      <c r="F14" s="262"/>
      <c r="G14" s="263" t="s">
        <v>2352</v>
      </c>
    </row>
    <row r="15" spans="1:9" s="258" customFormat="1" ht="13.5" hidden="1" customHeight="1">
      <c r="A15" s="271" t="s">
        <v>11</v>
      </c>
      <c r="B15" s="259" t="s">
        <v>2353</v>
      </c>
      <c r="C15" s="264"/>
      <c r="D15" s="1036"/>
      <c r="E15" s="262"/>
      <c r="F15" s="262"/>
      <c r="G15" s="263" t="s">
        <v>2354</v>
      </c>
    </row>
    <row r="16" spans="1:9" s="258" customFormat="1" ht="13.5" hidden="1" customHeight="1">
      <c r="A16" s="271" t="s">
        <v>12</v>
      </c>
      <c r="B16" s="259" t="s">
        <v>2351</v>
      </c>
      <c r="C16" s="264"/>
      <c r="D16" s="1036"/>
      <c r="E16" s="262"/>
      <c r="F16" s="262"/>
      <c r="G16" s="263"/>
    </row>
    <row r="17" spans="1:7" s="258" customFormat="1" ht="13.5" hidden="1" customHeight="1">
      <c r="A17" s="271" t="s">
        <v>13</v>
      </c>
      <c r="B17" s="259" t="s">
        <v>2355</v>
      </c>
      <c r="C17" s="273"/>
      <c r="D17" s="1037"/>
      <c r="E17" s="273"/>
      <c r="F17" s="273"/>
      <c r="G17" s="263" t="s">
        <v>2354</v>
      </c>
    </row>
    <row r="18" spans="1:7" s="258" customFormat="1" ht="13.5" hidden="1" customHeight="1">
      <c r="A18" s="271" t="s">
        <v>14</v>
      </c>
      <c r="B18" s="259" t="s">
        <v>2356</v>
      </c>
      <c r="C18" s="264">
        <v>0</v>
      </c>
      <c r="D18" s="1036"/>
      <c r="E18" s="262"/>
      <c r="F18" s="265">
        <v>3.0499999999999999E-2</v>
      </c>
      <c r="G18" s="263" t="s">
        <v>2357</v>
      </c>
    </row>
    <row r="19" spans="1:7" s="267" customFormat="1" ht="13.5" customHeight="1">
      <c r="A19" s="299" t="s">
        <v>2358</v>
      </c>
      <c r="B19" s="254" t="s">
        <v>2359</v>
      </c>
      <c r="C19" s="255" t="str">
        <f>IF(G19="已包含在土地取得成本中","0",ROUND(D19*E19/10000,0))</f>
        <v>0</v>
      </c>
      <c r="D19" s="1038">
        <f ca="1">D9+D10</f>
        <v>16724.509999999998</v>
      </c>
      <c r="E19" s="255">
        <f>'数据-取费表'!B31</f>
        <v>200</v>
      </c>
      <c r="F19" s="275"/>
      <c r="G19" s="2551" t="s">
        <v>3205</v>
      </c>
    </row>
    <row r="20" spans="1:7" s="258" customFormat="1" ht="13.5" customHeight="1">
      <c r="A20" s="299" t="s">
        <v>2360</v>
      </c>
      <c r="B20" s="254" t="s">
        <v>2361</v>
      </c>
      <c r="C20" s="276">
        <f>ROUND((C5+C19)*F20,0)</f>
        <v>64</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6">
        <f ca="1">ROUND(SUM(C23:C25),0)</f>
        <v>316</v>
      </c>
      <c r="D22" s="279">
        <f ca="1">C26</f>
        <v>1E-3</v>
      </c>
      <c r="E22" s="280" t="s">
        <v>2365</v>
      </c>
      <c r="F22" s="281">
        <f ca="1">'数据-取费表'!B40</f>
        <v>4.7500000000000001E-2</v>
      </c>
      <c r="G22" s="278" t="str">
        <f>IF('数据-取费表'!B22&lt;=1,"单利计息","复利计息")</f>
        <v>复利计息</v>
      </c>
    </row>
    <row r="23" spans="1:7" s="258" customFormat="1" ht="13.5" customHeight="1">
      <c r="A23" s="953" t="s">
        <v>2369</v>
      </c>
      <c r="B23" s="259" t="s">
        <v>2370</v>
      </c>
      <c r="C23" s="1357">
        <f ca="1">ROUND(IF('数据-取费表'!B22&lt;=1,C5*F22*'数据-取费表'!B23,C5*(POWER((1+F22),'数据-取费表'!B23)-1)),0)</f>
        <v>313</v>
      </c>
      <c r="D23" s="282"/>
      <c r="E23" s="282"/>
      <c r="F23" s="283"/>
      <c r="G23" s="284" t="s">
        <v>2371</v>
      </c>
    </row>
    <row r="24" spans="1:7" s="258" customFormat="1" ht="13.5" customHeight="1">
      <c r="A24" s="953" t="s">
        <v>2372</v>
      </c>
      <c r="B24" s="259" t="s">
        <v>2373</v>
      </c>
      <c r="C24" s="1357">
        <f ca="1">ROUND(IF('数据-取费表'!B22&lt;=1,C19*F22*('数据-取费表'!B19/2+'数据-取费表'!B21),C19*(POWER((1+F22),('数据-取费表'!B19/2+'数据-取费表'!B21))-1)),0)</f>
        <v>0</v>
      </c>
      <c r="D24" s="282"/>
      <c r="E24" s="282"/>
      <c r="F24" s="283"/>
      <c r="G24" s="284" t="s">
        <v>2374</v>
      </c>
    </row>
    <row r="25" spans="1:7" s="258" customFormat="1" ht="24">
      <c r="A25" s="953" t="s">
        <v>2375</v>
      </c>
      <c r="B25" s="259" t="s">
        <v>2376</v>
      </c>
      <c r="C25" s="1357">
        <f ca="1">ROUND(IF('数据-取费表'!B22&lt;=1,C20*F22*'数据-取费表'!B23/2,C20*(POWER((1+F22),'数据-取费表'!B23/2)-1)),0)</f>
        <v>3</v>
      </c>
      <c r="D25" s="282"/>
      <c r="E25" s="285"/>
      <c r="F25" s="283"/>
      <c r="G25" s="286" t="s">
        <v>2377</v>
      </c>
    </row>
    <row r="26" spans="1:7" s="258" customFormat="1">
      <c r="A26" s="953"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493</v>
      </c>
      <c r="D27" s="279">
        <f ca="1">C29</f>
        <v>3.0000000000000001E-3</v>
      </c>
      <c r="E27" s="280" t="s">
        <v>2381</v>
      </c>
      <c r="F27" s="290">
        <f ca="1">IF(B1="",'数据-取费表'!Q16,INDIRECT("'数据-取费表'!q"&amp;$G$1))</f>
        <v>0.15</v>
      </c>
      <c r="G27" s="291" t="s">
        <v>2382</v>
      </c>
    </row>
    <row r="28" spans="1:7" s="258" customFormat="1" ht="13.5" customHeight="1">
      <c r="A28" s="953" t="s">
        <v>791</v>
      </c>
      <c r="B28" s="292" t="s">
        <v>2383</v>
      </c>
      <c r="C28" s="293">
        <f ca="1">ROUND((C5+C19+C20)*F27*'数据-取费表'!B21/'数据-取费表'!B20,0)</f>
        <v>493</v>
      </c>
      <c r="D28" s="279"/>
      <c r="E28" s="280"/>
      <c r="F28" s="290"/>
      <c r="G28" s="291"/>
    </row>
    <row r="29" spans="1:7" s="258" customFormat="1" ht="13.5" customHeight="1">
      <c r="A29" s="953"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4433</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4703</v>
      </c>
      <c r="D33" s="276"/>
      <c r="E33" s="256"/>
      <c r="F33" s="285"/>
      <c r="G33" s="278"/>
    </row>
    <row r="34" spans="1:7" s="302" customFormat="1" ht="13.5" customHeight="1">
      <c r="A34" s="953" t="s">
        <v>791</v>
      </c>
      <c r="B34" s="259" t="s">
        <v>2392</v>
      </c>
      <c r="C34" s="264">
        <f ca="1">IF(B1="",IF(F34=100%,'数据-取费表'!M16,'数据-取费表'!O16),IF(F34=100%,INDIRECT("'数据-取费表'!m"&amp;$G$1)+INDIRECT("'数据-取费表'!t"&amp;$G$1),INDIRECT("'数据-取费表'!o"&amp;$G$1)+INDIRECT("'数据-取费表'!aq"&amp;$G$1)))</f>
        <v>4181</v>
      </c>
      <c r="D34" s="261"/>
      <c r="E34" s="264"/>
      <c r="F34" s="301">
        <f ca="1">IF('数据-取费表'!B24=0,1,IF(B1="",'数据-取费表'!N16,INDIRECT("'数据-取费表'!n"&amp;$G$1)))</f>
        <v>1</v>
      </c>
      <c r="G34" s="263" t="s">
        <v>2393</v>
      </c>
    </row>
    <row r="35" spans="1:7" ht="13.5" customHeight="1">
      <c r="A35" s="953" t="s">
        <v>796</v>
      </c>
      <c r="B35" s="259" t="s">
        <v>2394</v>
      </c>
      <c r="C35" s="264">
        <f ca="1">ROUND(C34*F35,0)</f>
        <v>125</v>
      </c>
      <c r="D35" s="264"/>
      <c r="E35" s="264"/>
      <c r="F35" s="303">
        <f>'数据-取费表'!B33</f>
        <v>0.03</v>
      </c>
      <c r="G35" s="263" t="s">
        <v>2395</v>
      </c>
    </row>
    <row r="36" spans="1:7" ht="24">
      <c r="A36" s="953"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0.02</v>
      </c>
      <c r="G36" s="304" t="s">
        <v>2397</v>
      </c>
    </row>
    <row r="37" spans="1:7" s="302" customFormat="1" ht="13.5" customHeight="1">
      <c r="A37" s="953" t="s">
        <v>798</v>
      </c>
      <c r="B37" s="259" t="s">
        <v>2398</v>
      </c>
      <c r="C37" s="293">
        <f ca="1">ROUND(E37*D37*F34/10000,0)</f>
        <v>334</v>
      </c>
      <c r="D37" s="261">
        <f ca="1">D19</f>
        <v>16724.509999999998</v>
      </c>
      <c r="E37" s="293">
        <f>'数据-取费表'!B35</f>
        <v>200</v>
      </c>
      <c r="F37" s="303"/>
      <c r="G37" s="305" t="s">
        <v>2399</v>
      </c>
    </row>
    <row r="38" spans="1:7" ht="13.5" customHeight="1">
      <c r="A38" s="953" t="s">
        <v>799</v>
      </c>
      <c r="B38" s="259" t="s">
        <v>2400</v>
      </c>
      <c r="C38" s="264">
        <f ca="1">ROUND(C34*F38,0)</f>
        <v>63</v>
      </c>
      <c r="D38" s="264"/>
      <c r="E38" s="264"/>
      <c r="F38" s="303">
        <f>'数据-取费表'!B36</f>
        <v>1.4999999999999999E-2</v>
      </c>
      <c r="G38" s="263" t="s">
        <v>2395</v>
      </c>
    </row>
    <row r="39" spans="1:7" s="258" customFormat="1" ht="13.5" customHeight="1">
      <c r="A39" s="299" t="s">
        <v>2401</v>
      </c>
      <c r="B39" s="254" t="s">
        <v>2402</v>
      </c>
      <c r="C39" s="276">
        <f ca="1">ROUND(C33*F20,0)</f>
        <v>94</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227</v>
      </c>
      <c r="D41" s="279">
        <f ca="1">C44</f>
        <v>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ROUND(IF('数据-取费表'!B22&lt;=1,C33*F22*'数据-取费表'!B21/2,C33*(POWER((1+F22),'数据-取费表'!B21/2)-1)),0)</f>
        <v>223</v>
      </c>
      <c r="D42" s="282"/>
      <c r="E42" s="282"/>
      <c r="F42" s="283"/>
      <c r="G42" s="3153" t="s">
        <v>2411</v>
      </c>
    </row>
    <row r="43" spans="1:7" ht="13.5" customHeight="1">
      <c r="A43" s="953" t="s">
        <v>792</v>
      </c>
      <c r="B43" s="259" t="s">
        <v>2412</v>
      </c>
      <c r="C43" s="282">
        <f ca="1">ROUND(IF('数据-取费表'!B22&lt;=1,C39*F22*'数据-取费表'!B21/2,C39*(POWER((1+F22),'数据-取费表'!B21/2)-1)),0)</f>
        <v>4</v>
      </c>
      <c r="D43" s="282"/>
      <c r="E43" s="282"/>
      <c r="F43" s="283"/>
      <c r="G43" s="3154"/>
    </row>
    <row r="44" spans="1:7" ht="13.5" customHeight="1">
      <c r="A44" s="953" t="s">
        <v>793</v>
      </c>
      <c r="B44" s="259" t="s">
        <v>2413</v>
      </c>
      <c r="C44" s="282">
        <f ca="1">ROUND(IF('数据-取费表'!B22&lt;=1,C40*F22*'数据-取费表'!B21/2,C40*(POWER((1+F22),'数据-取费表'!B21/2)-1)),4)</f>
        <v>1E-3</v>
      </c>
      <c r="D44" s="282"/>
      <c r="E44" s="282"/>
      <c r="F44" s="283"/>
      <c r="G44" s="3155"/>
    </row>
    <row r="45" spans="1:7" s="258" customFormat="1" ht="13.5" customHeight="1">
      <c r="A45" s="299" t="s">
        <v>2414</v>
      </c>
      <c r="B45" s="288" t="s">
        <v>2380</v>
      </c>
      <c r="C45" s="289">
        <f ca="1">C46</f>
        <v>720</v>
      </c>
      <c r="D45" s="279">
        <f ca="1">C47</f>
        <v>3.0000000000000001E-3</v>
      </c>
      <c r="E45" s="280" t="s">
        <v>2406</v>
      </c>
      <c r="F45" s="290"/>
      <c r="G45" s="291" t="s">
        <v>2415</v>
      </c>
    </row>
    <row r="46" spans="1:7" s="258" customFormat="1" ht="13.5" customHeight="1">
      <c r="A46" s="953" t="s">
        <v>791</v>
      </c>
      <c r="B46" s="292" t="s">
        <v>2416</v>
      </c>
      <c r="C46" s="293">
        <f ca="1">ROUND((C33+C39)*F27,0)</f>
        <v>720</v>
      </c>
      <c r="D46" s="307"/>
      <c r="E46" s="280"/>
      <c r="F46" s="290"/>
      <c r="G46" s="291"/>
    </row>
    <row r="47" spans="1:7" s="258" customFormat="1" ht="13.5" customHeight="1">
      <c r="A47" s="953" t="s">
        <v>792</v>
      </c>
      <c r="B47" s="292" t="s">
        <v>2417</v>
      </c>
      <c r="C47" s="282">
        <f ca="1">ROUND(C40*F27,4)</f>
        <v>3.0000000000000001E-3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6219</v>
      </c>
      <c r="D49" s="276"/>
      <c r="E49" s="276"/>
      <c r="F49" s="308"/>
      <c r="G49" s="278" t="s">
        <v>2421</v>
      </c>
    </row>
    <row r="50" spans="1:7" s="302" customFormat="1" ht="24">
      <c r="A50" s="299" t="s">
        <v>2422</v>
      </c>
      <c r="B50" s="254" t="s">
        <v>2423</v>
      </c>
      <c r="C50" s="276"/>
      <c r="D50" s="276"/>
      <c r="E50" s="276"/>
      <c r="F50" s="308">
        <f>IF('数据-取费表'!B24=0,'数据-取费表'!N16,1)</f>
        <v>0.87</v>
      </c>
      <c r="G50" s="291" t="s">
        <v>2424</v>
      </c>
    </row>
    <row r="51" spans="1:7" ht="16.5" customHeight="1">
      <c r="A51" s="299" t="s">
        <v>2425</v>
      </c>
      <c r="B51" s="254" t="s">
        <v>2426</v>
      </c>
      <c r="C51" s="276">
        <f ca="1">ROUND(C49*F50,0)</f>
        <v>5411</v>
      </c>
      <c r="D51" s="276"/>
      <c r="E51" s="276"/>
      <c r="F51" s="308"/>
      <c r="G51" s="278" t="s">
        <v>2427</v>
      </c>
    </row>
    <row r="52" spans="1:7" s="252" customFormat="1" ht="16.5" thickBot="1">
      <c r="A52" s="309" t="s">
        <v>2428</v>
      </c>
      <c r="B52" s="310"/>
      <c r="C52" s="311">
        <f ca="1">C31+C51</f>
        <v>9844</v>
      </c>
      <c r="D52" s="310"/>
      <c r="E52" s="310"/>
      <c r="F52" s="310"/>
      <c r="G52" s="312"/>
    </row>
    <row r="55" spans="1:7" ht="15">
      <c r="B55" s="314" t="s">
        <v>2429</v>
      </c>
      <c r="C55" s="315"/>
    </row>
    <row r="56" spans="1:7">
      <c r="B56" s="317" t="s">
        <v>1515</v>
      </c>
      <c r="C56" s="319">
        <f ca="1">1-C57</f>
        <v>0.44999999999999996</v>
      </c>
    </row>
    <row r="57" spans="1:7">
      <c r="B57" s="317" t="s">
        <v>1516</v>
      </c>
      <c r="C57" s="318">
        <f ca="1">ROUND(C51/C52,3)</f>
        <v>0.55000000000000004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7"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7" t="str">
        <f>项目基本情况!B1</f>
        <v>北京市房地产市场价值预评估</v>
      </c>
      <c r="C37" s="2967"/>
      <c r="D37" s="2967"/>
      <c r="E37" s="2967"/>
      <c r="F37" s="2967"/>
      <c r="G37" s="2967"/>
      <c r="H37" s="2967"/>
      <c r="I37" s="2967"/>
    </row>
    <row r="38" spans="1:9">
      <c r="A38" s="1018"/>
      <c r="B38" s="1018"/>
    </row>
    <row r="39" spans="1:9">
      <c r="A39" s="1016" t="s">
        <v>818</v>
      </c>
      <c r="B39" s="1016" t="s">
        <v>820</v>
      </c>
    </row>
    <row r="40" spans="1:9">
      <c r="A40" s="1016"/>
      <c r="B40" s="1945" t="str">
        <f>项目基本情况!B5</f>
        <v>泛骏华国际物流（中国）有限公司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刘梅（注册号：1120140022)、吴薇（注册号：1419970001)</v>
      </c>
    </row>
    <row r="47" spans="1:9">
      <c r="A47" s="1016"/>
      <c r="B47" s="1016" t="str">
        <f ca="1">项目基本情况!K5</f>
        <v>王鹏（注册号：1120050019)</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4" t="s">
        <v>2430</v>
      </c>
      <c r="D1" s="242"/>
      <c r="E1" s="242"/>
      <c r="F1" s="242"/>
      <c r="G1" s="1381">
        <f>MATCH(B1,'数据-取费表'!A6:A16,0)+5</f>
        <v>7</v>
      </c>
      <c r="H1" s="1284" t="str">
        <f>IF(ISERROR(FIND("住宅",B1)),"非住宅","住宅")</f>
        <v>非住宅</v>
      </c>
    </row>
    <row r="2" spans="1:8" s="244" customFormat="1" ht="18" customHeight="1">
      <c r="A2" s="245" t="s">
        <v>2329</v>
      </c>
      <c r="B2" s="246">
        <f ca="1">ROUND(IF(D2="——",C52/10000,C52/10000-E2),0)</f>
        <v>6333</v>
      </c>
      <c r="C2" s="243" t="s">
        <v>2330</v>
      </c>
      <c r="D2" s="2548" t="s">
        <v>70</v>
      </c>
      <c r="E2" s="1442" t="e">
        <f ca="1">SUMIF(INDIRECT("'"&amp;G2&amp;"'"&amp;"!A:A"),"承租人权益价值",INDIRECT("'"&amp;G2&amp;"'"&amp;"!c:c"))</f>
        <v>#REF!</v>
      </c>
      <c r="F2" s="2549" t="s">
        <v>2330</v>
      </c>
      <c r="G2" s="2550"/>
    </row>
    <row r="3" spans="1:8" s="244" customFormat="1" ht="18" customHeight="1" thickBot="1">
      <c r="A3" s="247" t="s">
        <v>2331</v>
      </c>
      <c r="B3" s="248">
        <f ca="1">ROUND(B2*10000/(IF(B1="",'数据-汇总表'!E3,INDIRECT("'数据-取费表'!k"&amp;$G$1))),0)</f>
        <v>3787</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3344902</v>
      </c>
      <c r="D5" s="255" t="s">
        <v>2336</v>
      </c>
      <c r="E5" s="256" t="s">
        <v>2337</v>
      </c>
      <c r="F5" s="256" t="s">
        <v>2338</v>
      </c>
      <c r="G5" s="257"/>
    </row>
    <row r="6" spans="1:8" s="258" customFormat="1" ht="13.5" customHeight="1">
      <c r="A6" s="951" t="s">
        <v>2339</v>
      </c>
      <c r="B6" s="259" t="s">
        <v>2340</v>
      </c>
      <c r="C6" s="260"/>
      <c r="D6" s="261"/>
      <c r="E6" s="262"/>
      <c r="F6" s="262"/>
      <c r="G6" s="263"/>
    </row>
    <row r="7" spans="1:8" s="258" customFormat="1" ht="13.5" customHeight="1">
      <c r="A7" s="951" t="s">
        <v>2341</v>
      </c>
      <c r="B7" s="259" t="s">
        <v>2342</v>
      </c>
      <c r="C7" s="264">
        <f>ROUND(C6*F7,0)</f>
        <v>0</v>
      </c>
      <c r="D7" s="264"/>
      <c r="E7" s="262"/>
      <c r="F7" s="265">
        <f>'数据-取费表'!B48+'数据-取费表'!B49</f>
        <v>3.0499999999999999E-2</v>
      </c>
      <c r="G7" s="263"/>
    </row>
    <row r="8" spans="1:8" s="267" customFormat="1">
      <c r="A8" s="951" t="s">
        <v>2343</v>
      </c>
      <c r="B8" s="259" t="s">
        <v>2344</v>
      </c>
      <c r="C8" s="264">
        <f ca="1">IF(G8="已包含在土地购买价格中",0,C9+C10)</f>
        <v>3344902</v>
      </c>
      <c r="D8" s="266"/>
      <c r="E8" s="264"/>
      <c r="F8" s="265"/>
      <c r="G8" s="2551"/>
    </row>
    <row r="9" spans="1:8" s="258" customFormat="1" ht="13.5" customHeight="1">
      <c r="A9" s="952" t="s">
        <v>800</v>
      </c>
      <c r="B9" s="268" t="s">
        <v>2345</v>
      </c>
      <c r="C9" s="269">
        <f ca="1">ROUND(D9*E9,0)</f>
        <v>0</v>
      </c>
      <c r="D9" s="1034">
        <f ca="1">IF(B1="",'数据-汇总表'!E5,IF(INDIRECT("'数据-取费表'!c"&amp;$G$1)="住宅",INDIRECT("'数据-取费表'!k"&amp;$G$1),0))</f>
        <v>0</v>
      </c>
      <c r="E9" s="269">
        <f>'数据-取费表'!B27</f>
        <v>200</v>
      </c>
      <c r="F9" s="265"/>
      <c r="G9" s="270"/>
    </row>
    <row r="10" spans="1:8" s="258" customFormat="1" ht="13.5" customHeight="1">
      <c r="A10" s="952" t="s">
        <v>801</v>
      </c>
      <c r="B10" s="268" t="s">
        <v>2347</v>
      </c>
      <c r="C10" s="269">
        <f ca="1">ROUND(D10*E10,0)</f>
        <v>3344902</v>
      </c>
      <c r="D10" s="1034">
        <f ca="1">IF(B1="",'数据-汇总表'!E6,IF(INDIRECT("'数据-取费表'!c"&amp;$G$1)="住宅",INDIRECT("'数据-取费表'!s"&amp;$G$1),INDIRECT("'数据-取费表'!k"&amp;$G$1)+INDIRECT("'数据-取费表'!s"&amp;$G$1)))</f>
        <v>16724.510000000002</v>
      </c>
      <c r="E10" s="269">
        <f>'数据-取费表'!B28</f>
        <v>200</v>
      </c>
      <c r="F10" s="265"/>
      <c r="G10" s="270"/>
    </row>
    <row r="11" spans="1:8" s="258" customFormat="1" ht="13.5" hidden="1" customHeight="1">
      <c r="A11" s="271" t="s">
        <v>7</v>
      </c>
      <c r="B11" s="259" t="s">
        <v>2348</v>
      </c>
      <c r="C11" s="255"/>
      <c r="D11" s="1036"/>
      <c r="E11" s="262"/>
      <c r="F11" s="262"/>
      <c r="G11" s="263"/>
    </row>
    <row r="12" spans="1:8" s="258" customFormat="1" ht="13.5" hidden="1" customHeight="1">
      <c r="A12" s="271" t="s">
        <v>8</v>
      </c>
      <c r="B12" s="259" t="s">
        <v>2431</v>
      </c>
      <c r="C12" s="255">
        <v>0</v>
      </c>
      <c r="D12" s="1036"/>
      <c r="E12" s="272"/>
      <c r="F12" s="265">
        <v>3.0499999999999999E-2</v>
      </c>
      <c r="G12" s="263"/>
    </row>
    <row r="13" spans="1:8" s="258" customFormat="1" ht="13.5" hidden="1" customHeight="1">
      <c r="A13" s="271" t="s">
        <v>9</v>
      </c>
      <c r="B13" s="259" t="s">
        <v>2432</v>
      </c>
      <c r="C13" s="255"/>
      <c r="D13" s="1036"/>
      <c r="E13" s="262"/>
      <c r="F13" s="262"/>
      <c r="G13" s="263"/>
    </row>
    <row r="14" spans="1:8" s="258" customFormat="1" ht="13.5" hidden="1" customHeight="1">
      <c r="A14" s="271" t="s">
        <v>10</v>
      </c>
      <c r="B14" s="259" t="s">
        <v>2344</v>
      </c>
      <c r="C14" s="255"/>
      <c r="D14" s="1036"/>
      <c r="E14" s="262"/>
      <c r="F14" s="262"/>
      <c r="G14" s="263" t="s">
        <v>2433</v>
      </c>
    </row>
    <row r="15" spans="1:8" s="258" customFormat="1" ht="13.5" hidden="1" customHeight="1">
      <c r="A15" s="271" t="s">
        <v>11</v>
      </c>
      <c r="B15" s="259" t="s">
        <v>2434</v>
      </c>
      <c r="C15" s="264"/>
      <c r="D15" s="1036"/>
      <c r="E15" s="262"/>
      <c r="F15" s="262"/>
      <c r="G15" s="263" t="s">
        <v>2435</v>
      </c>
    </row>
    <row r="16" spans="1:8" s="258" customFormat="1" ht="13.5" hidden="1" customHeight="1">
      <c r="A16" s="271" t="s">
        <v>12</v>
      </c>
      <c r="B16" s="259" t="s">
        <v>2344</v>
      </c>
      <c r="C16" s="264"/>
      <c r="D16" s="1036"/>
      <c r="E16" s="262"/>
      <c r="F16" s="262"/>
      <c r="G16" s="263"/>
    </row>
    <row r="17" spans="1:7" s="258" customFormat="1" ht="13.5" hidden="1" customHeight="1">
      <c r="A17" s="271" t="s">
        <v>13</v>
      </c>
      <c r="B17" s="259" t="s">
        <v>2436</v>
      </c>
      <c r="C17" s="273"/>
      <c r="D17" s="1037"/>
      <c r="E17" s="273"/>
      <c r="F17" s="273"/>
      <c r="G17" s="263" t="s">
        <v>2435</v>
      </c>
    </row>
    <row r="18" spans="1:7" s="258" customFormat="1" ht="13.5" hidden="1" customHeight="1">
      <c r="A18" s="271" t="s">
        <v>14</v>
      </c>
      <c r="B18" s="259" t="s">
        <v>2437</v>
      </c>
      <c r="C18" s="264">
        <v>0</v>
      </c>
      <c r="D18" s="1036"/>
      <c r="E18" s="262"/>
      <c r="F18" s="265">
        <v>3.0499999999999999E-2</v>
      </c>
      <c r="G18" s="263" t="s">
        <v>2438</v>
      </c>
    </row>
    <row r="19" spans="1:7" s="267" customFormat="1" ht="13.5" customHeight="1">
      <c r="A19" s="299" t="s">
        <v>2439</v>
      </c>
      <c r="B19" s="254" t="s">
        <v>2440</v>
      </c>
      <c r="C19" s="255">
        <f ca="1">IF(G19="已包含在土地取得成本中","0",ROUND(D19*E19,0))</f>
        <v>3344902</v>
      </c>
      <c r="D19" s="1038">
        <f ca="1">D9+D10</f>
        <v>16724.510000000002</v>
      </c>
      <c r="E19" s="255">
        <f>'数据-取费表'!B31</f>
        <v>200</v>
      </c>
      <c r="F19" s="275"/>
      <c r="G19" s="2551"/>
    </row>
    <row r="20" spans="1:7" s="258" customFormat="1" ht="13.5" customHeight="1">
      <c r="A20" s="299" t="s">
        <v>2441</v>
      </c>
      <c r="B20" s="254" t="s">
        <v>2442</v>
      </c>
      <c r="C20" s="276">
        <f ca="1">ROUND((C5+C19)*F20,0)</f>
        <v>133796</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2">
        <f ca="1">ROUND(SUM(C23:C25),0)</f>
        <v>656981</v>
      </c>
      <c r="D22" s="279">
        <f ca="1">C26</f>
        <v>1E-3</v>
      </c>
      <c r="E22" s="280" t="s">
        <v>2446</v>
      </c>
      <c r="F22" s="281">
        <f ca="1">'数据-取费表'!B40</f>
        <v>4.7500000000000001E-2</v>
      </c>
      <c r="G22" s="278" t="str">
        <f>IF('数据-取费表'!B22&lt;=1,"单利计息","复利计息")</f>
        <v>复利计息</v>
      </c>
    </row>
    <row r="23" spans="1:7" s="258" customFormat="1" ht="13.5" customHeight="1">
      <c r="A23" s="953" t="s">
        <v>2339</v>
      </c>
      <c r="B23" s="259" t="s">
        <v>2450</v>
      </c>
      <c r="C23" s="1383">
        <f ca="1">ROUND(IF('数据-取费表'!B22&lt;=1,C5*F22*'数据-取费表'!B22,C5*(POWER((1+F22),'数据-取费表'!B22)-1)),0)</f>
        <v>325313</v>
      </c>
      <c r="D23" s="282"/>
      <c r="E23" s="282"/>
      <c r="F23" s="283"/>
      <c r="G23" s="284" t="s">
        <v>2451</v>
      </c>
    </row>
    <row r="24" spans="1:7" s="258" customFormat="1" ht="13.5" customHeight="1">
      <c r="A24" s="953" t="s">
        <v>2341</v>
      </c>
      <c r="B24" s="259" t="s">
        <v>2452</v>
      </c>
      <c r="C24" s="1383">
        <f ca="1">ROUND(IF('数据-取费表'!B22&lt;=1,C19*F22*('数据-取费表'!B19/2+'数据-取费表'!B20),C19*(POWER((1+F22),('数据-取费表'!B19/2+'数据-取费表'!B20))-1)),0)</f>
        <v>325313</v>
      </c>
      <c r="D24" s="282"/>
      <c r="E24" s="282"/>
      <c r="F24" s="283"/>
      <c r="G24" s="284" t="s">
        <v>2453</v>
      </c>
    </row>
    <row r="25" spans="1:7" s="258" customFormat="1" ht="24">
      <c r="A25" s="953" t="s">
        <v>2343</v>
      </c>
      <c r="B25" s="259" t="s">
        <v>2454</v>
      </c>
      <c r="C25" s="1383">
        <f ca="1">ROUND(IF('数据-取费表'!B22&lt;=1,C20*F22*'数据-取费表'!B22/2,C20*(POWER((1+F22),'数据-取费表'!B22/2)-1)),0)</f>
        <v>6355</v>
      </c>
      <c r="D25" s="282"/>
      <c r="E25" s="285"/>
      <c r="F25" s="283"/>
      <c r="G25" s="286" t="s">
        <v>2455</v>
      </c>
    </row>
    <row r="26" spans="1:7" s="258" customFormat="1">
      <c r="A26" s="953"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1023540</v>
      </c>
      <c r="D27" s="279">
        <f ca="1">C29</f>
        <v>3.0000000000000001E-3</v>
      </c>
      <c r="E27" s="280" t="s">
        <v>2381</v>
      </c>
      <c r="F27" s="290">
        <f ca="1">IF(B1="",'数据-取费表'!Q16,INDIRECT("'数据-取费表'!q"&amp;$G$1))</f>
        <v>0.15</v>
      </c>
      <c r="G27" s="291" t="s">
        <v>2382</v>
      </c>
    </row>
    <row r="28" spans="1:7" s="258" customFormat="1" ht="13.5" customHeight="1">
      <c r="A28" s="953" t="s">
        <v>791</v>
      </c>
      <c r="B28" s="292" t="s">
        <v>2383</v>
      </c>
      <c r="C28" s="293">
        <f ca="1">ROUND((C5+C19+C20)*F27,0)</f>
        <v>1023540</v>
      </c>
      <c r="D28" s="279"/>
      <c r="E28" s="280"/>
      <c r="F28" s="290"/>
      <c r="G28" s="291"/>
    </row>
    <row r="29" spans="1:7" s="258" customFormat="1" ht="13.5" customHeight="1">
      <c r="A29" s="953"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9207580</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47037684</v>
      </c>
      <c r="D33" s="276"/>
      <c r="E33" s="256"/>
      <c r="F33" s="285"/>
      <c r="G33" s="278"/>
    </row>
    <row r="34" spans="1:7" s="302" customFormat="1" ht="13.5" customHeight="1">
      <c r="A34" s="953" t="s">
        <v>791</v>
      </c>
      <c r="B34" s="259" t="s">
        <v>2392</v>
      </c>
      <c r="C34" s="264">
        <f ca="1">ROUND(IF(B1="",SUMPRODUCT('数据-取费表'!K6:K14,'数据-取费表'!L6:L14),INDIRECT("'数据-取费表'!l"&amp;$G$1)*INDIRECT("'数据-取费表'!k"&amp;$G$1)+'数据-取费表'!L14*INDIRECT("'数据-取费表'!S"&amp;$G$1)),0)</f>
        <v>41811275</v>
      </c>
      <c r="D34" s="261"/>
      <c r="E34" s="264"/>
      <c r="F34" s="301"/>
      <c r="G34" s="263"/>
    </row>
    <row r="35" spans="1:7" ht="13.5" customHeight="1">
      <c r="A35" s="953" t="s">
        <v>796</v>
      </c>
      <c r="B35" s="259" t="s">
        <v>2394</v>
      </c>
      <c r="C35" s="264">
        <f ca="1">ROUND(C34*F35,0)</f>
        <v>1254338</v>
      </c>
      <c r="D35" s="264"/>
      <c r="E35" s="264"/>
      <c r="F35" s="303">
        <f>'数据-取费表'!B33</f>
        <v>0.03</v>
      </c>
      <c r="G35" s="263" t="s">
        <v>2395</v>
      </c>
    </row>
    <row r="36" spans="1:7" ht="24">
      <c r="A36" s="953" t="s">
        <v>797</v>
      </c>
      <c r="B36" s="259" t="s">
        <v>2396</v>
      </c>
      <c r="C36" s="264">
        <f ca="1">ROUND(IF(B1="",SUM('数据-取费表'!AP6:AP13)*F36,IF(INDIRECT("'数据-取费表'!c"&amp;$G$1)="住宅",INDIRECT("'数据-取费表'!k"&amp;$G$1)*INDIRECT("'数据-取费表'!l"&amp;$G$1)*F36,0)),0)</f>
        <v>0</v>
      </c>
      <c r="D36" s="264"/>
      <c r="E36" s="264"/>
      <c r="F36" s="303">
        <f>'数据-取费表'!B34</f>
        <v>0.02</v>
      </c>
      <c r="G36" s="304" t="s">
        <v>2397</v>
      </c>
    </row>
    <row r="37" spans="1:7" s="302" customFormat="1" ht="13.5" customHeight="1">
      <c r="A37" s="953" t="s">
        <v>798</v>
      </c>
      <c r="B37" s="259" t="s">
        <v>2398</v>
      </c>
      <c r="C37" s="293">
        <f ca="1">ROUND(E37*D37,0)</f>
        <v>3344902</v>
      </c>
      <c r="D37" s="261">
        <f ca="1">D19</f>
        <v>16724.510000000002</v>
      </c>
      <c r="E37" s="293">
        <f>'数据-取费表'!B35</f>
        <v>200</v>
      </c>
      <c r="F37" s="303"/>
      <c r="G37" s="305"/>
    </row>
    <row r="38" spans="1:7" ht="13.5" customHeight="1">
      <c r="A38" s="953" t="s">
        <v>799</v>
      </c>
      <c r="B38" s="259" t="s">
        <v>2400</v>
      </c>
      <c r="C38" s="264">
        <f ca="1">ROUND(C34*F38,0)</f>
        <v>627169</v>
      </c>
      <c r="D38" s="264"/>
      <c r="E38" s="264"/>
      <c r="F38" s="303">
        <f>'数据-取费表'!B36</f>
        <v>1.4999999999999999E-2</v>
      </c>
      <c r="G38" s="263" t="s">
        <v>2395</v>
      </c>
    </row>
    <row r="39" spans="1:7" s="258" customFormat="1" ht="13.5" customHeight="1">
      <c r="A39" s="299" t="s">
        <v>2401</v>
      </c>
      <c r="B39" s="254" t="s">
        <v>2402</v>
      </c>
      <c r="C39" s="276">
        <f ca="1">ROUND(C33*F20,0)</f>
        <v>940754</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2278976</v>
      </c>
      <c r="D41" s="279">
        <f ca="1">C44</f>
        <v>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ROUND(IF('数据-取费表'!B22&lt;=1,C33*F22*'数据-取费表'!B20/2,C33*(POWER((1+F22),'数据-取费表'!B20/2)-1)),0)</f>
        <v>2234290</v>
      </c>
      <c r="D42" s="282"/>
      <c r="E42" s="282"/>
      <c r="F42" s="283"/>
      <c r="G42" s="3153" t="s">
        <v>2458</v>
      </c>
    </row>
    <row r="43" spans="1:7" ht="13.5" customHeight="1">
      <c r="A43" s="953" t="s">
        <v>792</v>
      </c>
      <c r="B43" s="259" t="s">
        <v>2412</v>
      </c>
      <c r="C43" s="282">
        <f ca="1">ROUND(IF('数据-取费表'!B22&lt;=1,C39*F22*'数据-取费表'!B20/2,C39*(POWER((1+F22),'数据-取费表'!B20/2)-1)),0)</f>
        <v>44686</v>
      </c>
      <c r="D43" s="282"/>
      <c r="E43" s="282"/>
      <c r="F43" s="283"/>
      <c r="G43" s="3154"/>
    </row>
    <row r="44" spans="1:7" ht="13.5" customHeight="1">
      <c r="A44" s="953" t="s">
        <v>793</v>
      </c>
      <c r="B44" s="259" t="s">
        <v>2413</v>
      </c>
      <c r="C44" s="282">
        <f ca="1">ROUND(IF('数据-取费表'!B22&lt;=1,C40*F22*'数据-取费表'!B20/2,C40*(POWER((1+F22),'数据-取费表'!B20/2)-1)),4)</f>
        <v>1E-3</v>
      </c>
      <c r="D44" s="282"/>
      <c r="E44" s="282"/>
      <c r="F44" s="283"/>
      <c r="G44" s="3155"/>
    </row>
    <row r="45" spans="1:7" s="258" customFormat="1" ht="13.5" customHeight="1">
      <c r="A45" s="299" t="s">
        <v>2414</v>
      </c>
      <c r="B45" s="288" t="s">
        <v>2380</v>
      </c>
      <c r="C45" s="289">
        <f ca="1">C46</f>
        <v>7196766</v>
      </c>
      <c r="D45" s="279">
        <f ca="1">C47</f>
        <v>3.0000000000000001E-3</v>
      </c>
      <c r="E45" s="280" t="s">
        <v>2406</v>
      </c>
      <c r="F45" s="290"/>
      <c r="G45" s="291" t="s">
        <v>2415</v>
      </c>
    </row>
    <row r="46" spans="1:7" s="258" customFormat="1" ht="13.5" customHeight="1">
      <c r="A46" s="953" t="s">
        <v>791</v>
      </c>
      <c r="B46" s="292" t="s">
        <v>2416</v>
      </c>
      <c r="C46" s="293">
        <f ca="1">ROUND((C33+C39)*F27,0)</f>
        <v>7196766</v>
      </c>
      <c r="D46" s="307"/>
      <c r="E46" s="280"/>
      <c r="F46" s="290"/>
      <c r="G46" s="291"/>
    </row>
    <row r="47" spans="1:7" s="258" customFormat="1" ht="13.5" customHeight="1">
      <c r="A47" s="953"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62206778</v>
      </c>
      <c r="D49" s="276"/>
      <c r="E49" s="276"/>
      <c r="F49" s="308"/>
      <c r="G49" s="278" t="s">
        <v>2421</v>
      </c>
    </row>
    <row r="50" spans="1:7" s="302" customFormat="1">
      <c r="A50" s="299" t="s">
        <v>2422</v>
      </c>
      <c r="B50" s="254" t="s">
        <v>2423</v>
      </c>
      <c r="C50" s="276"/>
      <c r="D50" s="276"/>
      <c r="E50" s="276"/>
      <c r="F50" s="308">
        <f>IF('数据-取费表'!B24=0,'数据-取费表'!N16,1)</f>
        <v>0.87</v>
      </c>
      <c r="G50" s="291"/>
    </row>
    <row r="51" spans="1:7" ht="16.5" customHeight="1">
      <c r="A51" s="299" t="s">
        <v>2425</v>
      </c>
      <c r="B51" s="254" t="s">
        <v>2460</v>
      </c>
      <c r="C51" s="276">
        <f ca="1">ROUND(C49*F50,0)</f>
        <v>54119897</v>
      </c>
      <c r="D51" s="276"/>
      <c r="E51" s="276"/>
      <c r="F51" s="308"/>
      <c r="G51" s="278" t="s">
        <v>2427</v>
      </c>
    </row>
    <row r="52" spans="1:7" s="252" customFormat="1" ht="16.5" thickBot="1">
      <c r="A52" s="309" t="s">
        <v>2428</v>
      </c>
      <c r="B52" s="310"/>
      <c r="C52" s="311">
        <f ca="1">C31+C51</f>
        <v>63327477</v>
      </c>
      <c r="D52" s="310"/>
      <c r="E52" s="310"/>
      <c r="F52" s="310"/>
      <c r="G52" s="312"/>
    </row>
    <row r="55" spans="1:7" ht="15">
      <c r="B55" s="314" t="s">
        <v>2429</v>
      </c>
      <c r="C55" s="315"/>
    </row>
    <row r="56" spans="1:7">
      <c r="B56" s="317" t="s">
        <v>1515</v>
      </c>
      <c r="C56" s="319">
        <f ca="1">1-C57</f>
        <v>0.14500000000000002</v>
      </c>
    </row>
    <row r="57" spans="1:7">
      <c r="B57" s="317" t="s">
        <v>1516</v>
      </c>
      <c r="C57" s="318">
        <f ca="1">ROUND(C51/C52,3)</f>
        <v>0.85499999999999998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-381</v>
      </c>
      <c r="C2" s="320" t="s">
        <v>2462</v>
      </c>
      <c r="D2" s="320"/>
      <c r="E2" s="320"/>
      <c r="F2" s="320"/>
      <c r="G2" s="320"/>
      <c r="H2" s="320"/>
      <c r="I2" s="320"/>
      <c r="J2" s="320"/>
      <c r="K2" s="320"/>
    </row>
    <row r="3" spans="1:33" ht="18" customHeight="1" thickBot="1">
      <c r="A3" s="247" t="s">
        <v>2331</v>
      </c>
      <c r="B3" s="248">
        <f ca="1">ROUND(B2*10000/IF(C1="",'数据-汇总表'!E3,INDIRECT("'数据-取费表'!K"&amp;$K$1)),0)</f>
        <v>-228</v>
      </c>
      <c r="C3" s="320" t="s">
        <v>2463</v>
      </c>
      <c r="D3" s="320"/>
      <c r="E3" s="320"/>
      <c r="F3" s="320"/>
      <c r="G3" s="320"/>
      <c r="H3" s="320"/>
      <c r="I3" s="320"/>
      <c r="J3" s="320"/>
      <c r="K3" s="320"/>
    </row>
    <row r="4" spans="1:33" s="958" customFormat="1" ht="16.5" customHeight="1">
      <c r="A4" s="955" t="s">
        <v>2464</v>
      </c>
      <c r="B4" s="956"/>
      <c r="C4" s="998">
        <f>SUM(C8:K8)</f>
        <v>0</v>
      </c>
      <c r="D4" s="956"/>
      <c r="E4" s="956"/>
      <c r="F4" s="956"/>
      <c r="G4" s="956"/>
      <c r="H4" s="956"/>
      <c r="I4" s="956"/>
      <c r="J4" s="956"/>
      <c r="K4" s="957"/>
    </row>
    <row r="5" spans="1:33" s="962" customFormat="1" ht="24.75">
      <c r="A5" s="959" t="s">
        <v>2465</v>
      </c>
      <c r="B5" s="960" t="s">
        <v>2466</v>
      </c>
      <c r="C5" s="2555" t="s">
        <v>2467</v>
      </c>
      <c r="D5" s="2555" t="s">
        <v>2468</v>
      </c>
      <c r="E5" s="2555" t="s">
        <v>2469</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2473</v>
      </c>
      <c r="B8" s="177" t="s">
        <v>2474</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2475</v>
      </c>
      <c r="B9" s="956"/>
      <c r="C9" s="956"/>
      <c r="D9" s="956"/>
      <c r="E9" s="956"/>
      <c r="F9" s="956"/>
      <c r="G9" s="956"/>
      <c r="H9" s="956"/>
      <c r="I9" s="956"/>
      <c r="J9" s="956"/>
      <c r="K9" s="957"/>
    </row>
    <row r="10" spans="1:33" s="972" customFormat="1" ht="13.5" customHeight="1">
      <c r="A10" s="959" t="s">
        <v>2476</v>
      </c>
      <c r="B10" s="8" t="s">
        <v>2477</v>
      </c>
      <c r="C10" s="968" t="s">
        <v>2478</v>
      </c>
      <c r="D10" s="969" t="s">
        <v>2479</v>
      </c>
      <c r="E10" s="969" t="s">
        <v>2480</v>
      </c>
      <c r="F10" s="969" t="s">
        <v>2481</v>
      </c>
      <c r="G10" s="8"/>
      <c r="H10" s="970"/>
      <c r="I10" s="970"/>
      <c r="J10" s="970"/>
      <c r="K10" s="971"/>
    </row>
    <row r="11" spans="1:33" s="977" customFormat="1" ht="13.5" customHeight="1">
      <c r="A11" s="973" t="s">
        <v>1335</v>
      </c>
      <c r="B11" s="974" t="s">
        <v>2482</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2483</v>
      </c>
      <c r="C12" s="24">
        <f ca="1">ROUND(C11*F12,0)</f>
        <v>0</v>
      </c>
      <c r="D12" s="975"/>
      <c r="E12" s="375"/>
      <c r="F12" s="978">
        <f>'数据-取费表'!B33</f>
        <v>0.03</v>
      </c>
      <c r="G12" s="8" t="s">
        <v>2484</v>
      </c>
      <c r="H12" s="970"/>
      <c r="I12" s="970"/>
      <c r="J12" s="970"/>
      <c r="K12" s="971"/>
    </row>
    <row r="13" spans="1:33" s="977" customFormat="1" ht="13.5" customHeight="1">
      <c r="A13" s="973" t="s">
        <v>1337</v>
      </c>
      <c r="B13" s="974" t="s">
        <v>2485</v>
      </c>
      <c r="C13" s="24">
        <f ca="1">ROUND(IF(C1="",SUMIF('数据-取费表'!C:C,"住宅",'数据-取费表'!P:P)*F13,IF(INDIRECT("'数据-取费表'!c"&amp;$K$1)="住宅",INDIRECT("'数据-取费表'!P"&amp;$K$1)*F13,0)),0)</f>
        <v>0</v>
      </c>
      <c r="D13" s="1035"/>
      <c r="E13" s="375"/>
      <c r="F13" s="978">
        <f>'数据-取费表'!B34</f>
        <v>0.02</v>
      </c>
      <c r="G13" s="8" t="s">
        <v>2486</v>
      </c>
      <c r="H13" s="970"/>
      <c r="I13" s="970"/>
      <c r="J13" s="970"/>
      <c r="K13" s="971"/>
    </row>
    <row r="14" spans="1:33" s="979" customFormat="1" ht="13.5" customHeight="1">
      <c r="A14" s="973" t="s">
        <v>1338</v>
      </c>
      <c r="B14" s="974" t="s">
        <v>2487</v>
      </c>
      <c r="C14" s="24">
        <f ca="1">ROUND(D14*E14*F11/10000,0)</f>
        <v>0</v>
      </c>
      <c r="D14" s="1035">
        <f ca="1">IF(C1="",'数据-汇总表'!E3,INDIRECT("'数据-取费表'!K"&amp;$K$1)+INDIRECT("'数据-取费表'!S"&amp;$K$1))</f>
        <v>16724.510000000002</v>
      </c>
      <c r="E14" s="24">
        <f>'数据-取费表'!B35</f>
        <v>200</v>
      </c>
      <c r="F14" s="978"/>
      <c r="G14" s="8" t="s">
        <v>2488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2489</v>
      </c>
      <c r="C15" s="985">
        <f ca="1">ROUND(C11*F15,0)</f>
        <v>0</v>
      </c>
      <c r="D15" s="980"/>
      <c r="E15" s="985"/>
      <c r="F15" s="986">
        <f>'数据-取费表'!B36</f>
        <v>1.4999999999999999E-2</v>
      </c>
      <c r="G15" s="140" t="s">
        <v>2490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2491</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2492</v>
      </c>
      <c r="C17" s="24">
        <f ca="1">ROUND(D17*E17/10000,0)</f>
        <v>0</v>
      </c>
      <c r="D17" s="1035">
        <f ca="1">D14</f>
        <v>16724.510000000002</v>
      </c>
      <c r="E17" s="24">
        <f>'数据-取费表'!B32</f>
        <v>0</v>
      </c>
      <c r="F17" s="980"/>
      <c r="G17" s="140" t="s">
        <v>2493</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2494</v>
      </c>
      <c r="C18" s="24">
        <f ca="1">C19+C20-IF(C1="",'数据-取费表'!B29,IF(G18="已全部缴纳",C19+C20,H18))</f>
        <v>334</v>
      </c>
      <c r="D18" s="1035"/>
      <c r="E18" s="24"/>
      <c r="F18" s="978"/>
      <c r="G18" s="2557"/>
      <c r="H18" s="1580"/>
      <c r="I18" s="2558" t="s">
        <v>2495</v>
      </c>
      <c r="J18" s="981"/>
      <c r="K18" s="982"/>
    </row>
    <row r="19" spans="1:33" s="977" customFormat="1" ht="13.5" customHeight="1">
      <c r="A19" s="973" t="s">
        <v>805</v>
      </c>
      <c r="B19" s="974" t="s">
        <v>2496</v>
      </c>
      <c r="C19" s="24">
        <f ca="1">ROUND(D19*E19/10000,0)</f>
        <v>0</v>
      </c>
      <c r="D19" s="1035">
        <f ca="1">IF(C1="",'数据-汇总表'!E5,IF(INDIRECT("'数据-取费表'!c"&amp;$K$1)="住宅",INDIRECT("'数据-取费表'!k"&amp;$K$1),0))</f>
        <v>0</v>
      </c>
      <c r="E19" s="24">
        <f>'数据-取费表'!B27</f>
        <v>200</v>
      </c>
      <c r="F19" s="978"/>
      <c r="G19" s="15"/>
      <c r="H19" s="1582"/>
      <c r="I19" s="983"/>
      <c r="J19" s="983"/>
      <c r="K19" s="984"/>
    </row>
    <row r="20" spans="1:33" s="977" customFormat="1" ht="13.5" customHeight="1">
      <c r="A20" s="973" t="s">
        <v>806</v>
      </c>
      <c r="B20" s="974" t="s">
        <v>2497</v>
      </c>
      <c r="C20" s="24">
        <f ca="1">ROUND(D20*E20/10000,0)</f>
        <v>334</v>
      </c>
      <c r="D20" s="1035">
        <f ca="1">IF(C1="",'数据-汇总表'!E6,IF(INDIRECT("'数据-取费表'!c"&amp;$K$1)="住宅",INDIRECT("'数据-取费表'!s"&amp;$K$1),INDIRECT("'数据-取费表'!k"&amp;$K$1)+INDIRECT("'数据-取费表'!s"&amp;$K$1)))</f>
        <v>16724.510000000002</v>
      </c>
      <c r="E20" s="24">
        <f>'数据-取费表'!B28</f>
        <v>200</v>
      </c>
      <c r="F20" s="978"/>
      <c r="G20" s="15"/>
      <c r="H20" s="983"/>
      <c r="I20" s="983"/>
      <c r="J20" s="983"/>
      <c r="K20" s="984"/>
    </row>
    <row r="21" spans="1:33" s="977" customFormat="1" ht="13.5" customHeight="1">
      <c r="A21" s="963" t="s">
        <v>802</v>
      </c>
      <c r="B21" s="987" t="s">
        <v>2498</v>
      </c>
      <c r="C21" s="988">
        <f ca="1">C16+C17+C18</f>
        <v>334</v>
      </c>
      <c r="D21" s="989"/>
      <c r="E21" s="325"/>
      <c r="F21" s="325"/>
      <c r="G21" s="140" t="s">
        <v>2499</v>
      </c>
      <c r="H21" s="981"/>
      <c r="I21" s="981"/>
      <c r="J21" s="981"/>
      <c r="K21" s="982"/>
    </row>
    <row r="22" spans="1:33" s="977" customFormat="1" ht="13.5" customHeight="1">
      <c r="A22" s="963" t="s">
        <v>2471</v>
      </c>
      <c r="B22" s="987" t="s">
        <v>2500</v>
      </c>
      <c r="C22" s="988">
        <f ca="1">ROUND(C21*F22,0)</f>
        <v>7</v>
      </c>
      <c r="D22" s="325"/>
      <c r="E22" s="325"/>
      <c r="F22" s="990">
        <f>'数据-取费表'!B37</f>
        <v>0.02</v>
      </c>
      <c r="G22" s="8" t="s">
        <v>2501</v>
      </c>
      <c r="H22" s="970"/>
      <c r="I22" s="970"/>
      <c r="J22" s="970"/>
      <c r="K22" s="971"/>
    </row>
    <row r="23" spans="1:33" s="977" customFormat="1" ht="13.5" customHeight="1">
      <c r="A23" s="963" t="s">
        <v>2473</v>
      </c>
      <c r="B23" s="987" t="s">
        <v>2502</v>
      </c>
      <c r="C23" s="988">
        <f ca="1">ROUND(C4*F23*F11,0)</f>
        <v>0</v>
      </c>
      <c r="D23" s="325"/>
      <c r="E23" s="325"/>
      <c r="F23" s="990">
        <f>'数据-取费表'!B38</f>
        <v>0.02</v>
      </c>
      <c r="G23" s="8" t="s">
        <v>2503</v>
      </c>
      <c r="H23" s="970"/>
      <c r="I23" s="970"/>
      <c r="J23" s="970"/>
      <c r="K23" s="971"/>
    </row>
    <row r="24" spans="1:33" s="977" customFormat="1" ht="13.5" customHeight="1">
      <c r="A24" s="963" t="s">
        <v>2504</v>
      </c>
      <c r="B24" s="987" t="s">
        <v>2505</v>
      </c>
      <c r="C24" s="324">
        <f>ROUND(F24/(1+'数据-取费表'!C42),4)</f>
        <v>2.9000000000000001E-2</v>
      </c>
      <c r="D24" s="325" t="s">
        <v>15</v>
      </c>
      <c r="E24" s="325"/>
      <c r="F24" s="990">
        <f>'数据-取费表'!B48+'数据-取费表'!B49</f>
        <v>3.0499999999999999E-2</v>
      </c>
      <c r="G24" s="8" t="s">
        <v>2506</v>
      </c>
      <c r="H24" s="992"/>
      <c r="I24" s="992"/>
      <c r="J24" s="992"/>
      <c r="K24" s="993"/>
    </row>
    <row r="25" spans="1:33" s="977" customFormat="1" ht="13.5" customHeight="1">
      <c r="A25" s="963" t="s">
        <v>2507</v>
      </c>
      <c r="B25" s="989" t="s">
        <v>2508</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2509</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2510</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2511</v>
      </c>
      <c r="B28" s="2560" t="s">
        <v>2512</v>
      </c>
      <c r="C28" s="331">
        <f ca="1">C30</f>
        <v>51</v>
      </c>
      <c r="D28" s="324">
        <f ca="1">C29</f>
        <v>0</v>
      </c>
      <c r="E28" s="326" t="s">
        <v>15</v>
      </c>
      <c r="F28" s="332">
        <f ca="1">IF(C1="",'数据-取费表'!Q16,INDIRECT("'数据-取费表'!q"&amp;$K$1))</f>
        <v>0.15</v>
      </c>
      <c r="G28" s="991"/>
      <c r="H28" s="992"/>
      <c r="I28" s="992"/>
      <c r="J28" s="992"/>
      <c r="K28" s="993"/>
    </row>
    <row r="29" spans="1:33" s="335" customFormat="1" ht="13.5" customHeight="1">
      <c r="A29" s="973" t="s">
        <v>803</v>
      </c>
      <c r="B29" s="996" t="s">
        <v>2513</v>
      </c>
      <c r="C29" s="328">
        <f ca="1">ROUND((1+C24)*F28*'数据-取费表'!B24/'数据-取费表'!B20,4)</f>
        <v>0</v>
      </c>
      <c r="D29" s="328"/>
      <c r="E29" s="329"/>
      <c r="F29" s="334"/>
      <c r="G29" s="140" t="s">
        <v>2514</v>
      </c>
      <c r="H29" s="981"/>
      <c r="I29" s="981"/>
      <c r="J29" s="981"/>
      <c r="K29" s="982"/>
    </row>
    <row r="30" spans="1:33" s="335" customFormat="1" ht="13.5" customHeight="1">
      <c r="A30" s="973" t="s">
        <v>804</v>
      </c>
      <c r="B30" s="996" t="s">
        <v>2515</v>
      </c>
      <c r="C30" s="336">
        <f ca="1">ROUND((C21+C22+C23)*F28,0)</f>
        <v>51</v>
      </c>
      <c r="D30" s="328"/>
      <c r="E30" s="329"/>
      <c r="F30" s="334"/>
      <c r="G30" s="140"/>
      <c r="H30" s="981"/>
      <c r="I30" s="981"/>
      <c r="J30" s="981"/>
      <c r="K30" s="982"/>
    </row>
    <row r="31" spans="1:33" s="977" customFormat="1" ht="13.5" customHeight="1" thickBot="1">
      <c r="A31" s="2561" t="s">
        <v>2516</v>
      </c>
      <c r="B31" s="1007" t="s">
        <v>2517</v>
      </c>
      <c r="C31" s="1008">
        <f>ROUND(C4*F31/(1+'数据-取费表'!C42),0)</f>
        <v>0</v>
      </c>
      <c r="D31" s="1009"/>
      <c r="E31" s="1010"/>
      <c r="F31" s="1011">
        <f>'数据-取费表'!B41</f>
        <v>5.5000000000000007E-2</v>
      </c>
      <c r="G31" s="1012" t="s">
        <v>2518</v>
      </c>
      <c r="H31" s="1013"/>
      <c r="I31" s="1013"/>
      <c r="J31" s="1013"/>
      <c r="K31" s="1014"/>
    </row>
    <row r="32" spans="1:33" s="972" customFormat="1" ht="13.5" customHeight="1" thickBot="1">
      <c r="A32" s="1002" t="s">
        <v>2519</v>
      </c>
      <c r="B32" s="1003"/>
      <c r="C32" s="1004">
        <f ca="1">ROUND((C4-C21-C22-C23-C25-C28-C31)/(1+C24+D25+D28),0)</f>
        <v>-381</v>
      </c>
      <c r="D32" s="1003"/>
      <c r="E32" s="1003"/>
      <c r="F32" s="1003"/>
      <c r="G32" s="1005" t="s">
        <v>2520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2531</v>
      </c>
      <c r="C1" s="1637" t="s">
        <v>2532</v>
      </c>
      <c r="D1" s="1624"/>
      <c r="E1" s="2584"/>
      <c r="F1" s="2585" t="s">
        <v>2533</v>
      </c>
      <c r="G1" s="1634" t="s">
        <v>2534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7"/>
      <c r="D2" s="1367" t="e">
        <f ca="1">SUMIF(INDIRECT("'"&amp;F2&amp;"'"&amp;"!A:A"),"承租人权益价值",INDIRECT("'"&amp;F2&amp;"'"&amp;"!c:c"))</f>
        <v>#REF!</v>
      </c>
      <c r="E2" s="2588" t="s">
        <v>2535</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2536</v>
      </c>
      <c r="D3" s="399">
        <f>IF(D1="",'数据-汇总表'!E3,SUMIF('数据-汇总表'!$C19:$C33,D1,'数据-汇总表'!$E19:$E33))</f>
        <v>16724.510000000002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2537</v>
      </c>
      <c r="B4" s="402"/>
      <c r="C4" s="3174" t="s">
        <v>2538</v>
      </c>
      <c r="D4" s="3175"/>
      <c r="E4" s="3176" t="s">
        <v>2539</v>
      </c>
      <c r="F4" s="3177"/>
      <c r="G4" s="3174" t="s">
        <v>2540</v>
      </c>
      <c r="H4" s="3175"/>
      <c r="I4" s="3174" t="s">
        <v>2541</v>
      </c>
      <c r="J4" s="3175"/>
      <c r="K4" s="2597" t="s">
        <v>2542</v>
      </c>
      <c r="L4" s="1132"/>
      <c r="M4" s="1133"/>
      <c r="N4" s="1133"/>
      <c r="O4" s="1133"/>
      <c r="P4" s="3178" t="s">
        <v>2543</v>
      </c>
      <c r="Q4" s="3179"/>
      <c r="R4" s="3184" t="s">
        <v>2539</v>
      </c>
      <c r="S4" s="3185"/>
      <c r="T4" s="3184" t="s">
        <v>2540</v>
      </c>
      <c r="U4" s="3185"/>
      <c r="V4" s="3190" t="s">
        <v>2541</v>
      </c>
      <c r="W4" s="3190"/>
      <c r="X4" s="1816"/>
      <c r="Y4" s="3184" t="s">
        <v>2543</v>
      </c>
      <c r="Z4" s="3185"/>
      <c r="AA4" s="3171" t="s">
        <v>2539</v>
      </c>
      <c r="AB4" s="3171" t="s">
        <v>2540</v>
      </c>
      <c r="AC4" s="3171" t="s">
        <v>2541</v>
      </c>
    </row>
    <row r="5" spans="1:29" ht="15">
      <c r="A5" s="404"/>
      <c r="B5" s="405"/>
      <c r="C5" s="3193" t="s">
        <v>2544</v>
      </c>
      <c r="D5" s="3194"/>
      <c r="E5" s="3200" t="s">
        <v>2545</v>
      </c>
      <c r="F5" s="3201"/>
      <c r="G5" s="3193" t="s">
        <v>2546</v>
      </c>
      <c r="H5" s="3194"/>
      <c r="I5" s="3193" t="s">
        <v>2547</v>
      </c>
      <c r="J5" s="3194"/>
      <c r="K5" s="2598"/>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2598"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95" t="s">
        <v>2551</v>
      </c>
      <c r="Q7" s="3197"/>
      <c r="R7" s="770" t="s">
        <v>23</v>
      </c>
      <c r="S7" s="771">
        <f t="shared" ref="S7:S15" si="0">F7</f>
        <v>0</v>
      </c>
      <c r="T7" s="770" t="s">
        <v>23</v>
      </c>
      <c r="U7" s="771">
        <f t="shared" ref="U7:U15" si="1">H7</f>
        <v>0</v>
      </c>
      <c r="V7" s="770" t="s">
        <v>23</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2600" t="s">
        <v>3050</v>
      </c>
      <c r="F8" s="413">
        <f>SUMIF(61:61,E8,62:62)-SUMIF(61:61,C8,62:62)+100</f>
        <v>100</v>
      </c>
      <c r="G8" s="414" t="s">
        <v>3050</v>
      </c>
      <c r="H8" s="411">
        <f>SUMIF(61:61,G8,62:62)-SUMIF(61:61,C8,62:62)+100</f>
        <v>100</v>
      </c>
      <c r="I8" s="2600" t="s">
        <v>3050</v>
      </c>
      <c r="J8" s="411">
        <f>SUMIF(61:61,I8,62:62)-SUMIF(61:61,C8,62:62)+100</f>
        <v>100</v>
      </c>
      <c r="K8" s="2599"/>
      <c r="L8" s="1134"/>
      <c r="M8" s="1135"/>
      <c r="N8" s="1135"/>
      <c r="O8" s="1135"/>
      <c r="P8" s="3195" t="s">
        <v>2554</v>
      </c>
      <c r="Q8" s="3196"/>
      <c r="R8" s="770" t="s">
        <v>23</v>
      </c>
      <c r="S8" s="771">
        <f t="shared" si="0"/>
        <v>100</v>
      </c>
      <c r="T8" s="770" t="s">
        <v>23</v>
      </c>
      <c r="U8" s="771">
        <f t="shared" si="1"/>
        <v>100</v>
      </c>
      <c r="V8" s="770" t="s">
        <v>23</v>
      </c>
      <c r="W8" s="771">
        <f t="shared" si="2"/>
        <v>100</v>
      </c>
      <c r="X8" s="772"/>
      <c r="Y8" s="3195" t="s">
        <v>2554</v>
      </c>
      <c r="Z8" s="3196"/>
      <c r="AA8" s="773">
        <f t="shared" ref="AA8:AA19" si="3">D8/F8</f>
        <v>1</v>
      </c>
      <c r="AB8" s="773">
        <f t="shared" ref="AB8:AB19" si="4">D8/H8</f>
        <v>1</v>
      </c>
      <c r="AC8" s="773">
        <f t="shared" ref="AC8:AC19" si="5">D8/J8</f>
        <v>1</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70"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0"/>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2560</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70"/>
      <c r="Q11" s="1798" t="str">
        <f t="shared" si="6"/>
        <v>容积率</v>
      </c>
      <c r="R11" s="770" t="s">
        <v>21</v>
      </c>
      <c r="S11" s="771">
        <f t="shared" si="0"/>
        <v>100</v>
      </c>
      <c r="T11" s="770" t="s">
        <v>21</v>
      </c>
      <c r="U11" s="771">
        <f t="shared" si="1"/>
        <v>100</v>
      </c>
      <c r="V11" s="770" t="s">
        <v>21</v>
      </c>
      <c r="W11" s="771">
        <f t="shared" si="2"/>
        <v>100</v>
      </c>
      <c r="X11" s="772"/>
      <c r="Y11" s="3011"/>
      <c r="Z11" s="55" t="str">
        <f t="shared" si="7"/>
        <v>容积率</v>
      </c>
      <c r="AA11" s="773">
        <f t="shared" si="3"/>
        <v>1</v>
      </c>
      <c r="AB11" s="773">
        <f t="shared" si="4"/>
        <v>1</v>
      </c>
      <c r="AC11" s="773">
        <f t="shared" si="5"/>
        <v>1</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70"/>
      <c r="Q12" s="1798">
        <f t="shared" si="6"/>
        <v>111</v>
      </c>
      <c r="R12" s="770" t="s">
        <v>21</v>
      </c>
      <c r="S12" s="771">
        <f t="shared" si="0"/>
        <v>100</v>
      </c>
      <c r="T12" s="770" t="s">
        <v>21</v>
      </c>
      <c r="U12" s="771">
        <f t="shared" si="1"/>
        <v>100</v>
      </c>
      <c r="V12" s="770" t="s">
        <v>21</v>
      </c>
      <c r="W12" s="771">
        <f t="shared" si="2"/>
        <v>100</v>
      </c>
      <c r="X12" s="772"/>
      <c r="Y12" s="301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70"/>
      <c r="Q13" s="1798">
        <f t="shared" si="6"/>
        <v>111</v>
      </c>
      <c r="R13" s="770" t="s">
        <v>21</v>
      </c>
      <c r="S13" s="771">
        <f t="shared" si="0"/>
        <v>100</v>
      </c>
      <c r="T13" s="770" t="s">
        <v>21</v>
      </c>
      <c r="U13" s="771">
        <f t="shared" si="1"/>
        <v>100</v>
      </c>
      <c r="V13" s="770" t="s">
        <v>21</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70"/>
      <c r="Q14" s="1798">
        <f t="shared" si="6"/>
        <v>111</v>
      </c>
      <c r="R14" s="770" t="s">
        <v>21</v>
      </c>
      <c r="S14" s="771">
        <f t="shared" si="0"/>
        <v>100</v>
      </c>
      <c r="T14" s="770" t="s">
        <v>21</v>
      </c>
      <c r="U14" s="771">
        <f t="shared" si="1"/>
        <v>100</v>
      </c>
      <c r="V14" s="770" t="s">
        <v>21</v>
      </c>
      <c r="W14" s="771">
        <f t="shared" si="2"/>
        <v>100</v>
      </c>
      <c r="X14" s="772"/>
      <c r="Y14" s="3011"/>
      <c r="Z14" s="55">
        <f t="shared" si="7"/>
        <v>111</v>
      </c>
      <c r="AA14" s="773">
        <f t="shared" si="3"/>
        <v>1</v>
      </c>
      <c r="AB14" s="773">
        <f t="shared" si="4"/>
        <v>1</v>
      </c>
      <c r="AC14" s="773">
        <f t="shared" si="5"/>
        <v>1</v>
      </c>
    </row>
    <row r="15" spans="1:29" ht="99.75">
      <c r="A15" s="440" t="s">
        <v>2561</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8" t="s">
        <v>2562</v>
      </c>
      <c r="Q15" s="1813" t="str">
        <f t="shared" si="6"/>
        <v>居住社区成熟度</v>
      </c>
      <c r="R15" s="774" t="s">
        <v>21</v>
      </c>
      <c r="S15" s="775">
        <f t="shared" si="0"/>
        <v>100</v>
      </c>
      <c r="T15" s="774" t="s">
        <v>21</v>
      </c>
      <c r="U15" s="775">
        <f t="shared" si="1"/>
        <v>100</v>
      </c>
      <c r="V15" s="774" t="s">
        <v>21</v>
      </c>
      <c r="W15" s="775">
        <f t="shared" si="2"/>
        <v>100</v>
      </c>
      <c r="X15" s="1816"/>
      <c r="Y15" s="3161" t="s">
        <v>2562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2"/>
      <c r="M16" s="1133"/>
      <c r="N16" s="1133"/>
      <c r="O16" s="1133"/>
      <c r="P16" s="3169"/>
      <c r="Q16" s="1813"/>
      <c r="R16" s="774"/>
      <c r="S16" s="775"/>
      <c r="T16" s="774"/>
      <c r="U16" s="775"/>
      <c r="V16" s="774"/>
      <c r="W16" s="775"/>
      <c r="X16" s="1816"/>
      <c r="Y16" s="3162"/>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9"/>
      <c r="Q17" s="1813" t="str">
        <f>B17</f>
        <v>交通便捷度</v>
      </c>
      <c r="R17" s="774" t="s">
        <v>21</v>
      </c>
      <c r="S17" s="775">
        <f>F17</f>
        <v>100</v>
      </c>
      <c r="T17" s="774" t="s">
        <v>21</v>
      </c>
      <c r="U17" s="775">
        <f>H17</f>
        <v>100</v>
      </c>
      <c r="V17" s="774" t="s">
        <v>21</v>
      </c>
      <c r="W17" s="775">
        <f>J17</f>
        <v>100</v>
      </c>
      <c r="X17" s="1816"/>
      <c r="Y17" s="3162"/>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2"/>
      <c r="M18" s="1133"/>
      <c r="N18" s="1133"/>
      <c r="O18" s="1133"/>
      <c r="P18" s="3169"/>
      <c r="Q18" s="1813"/>
      <c r="R18" s="774"/>
      <c r="S18" s="775"/>
      <c r="T18" s="774"/>
      <c r="U18" s="775"/>
      <c r="V18" s="774"/>
      <c r="W18" s="775"/>
      <c r="X18" s="1816"/>
      <c r="Y18" s="3162"/>
      <c r="Z18" s="1817"/>
      <c r="AA18" s="1814">
        <v>1</v>
      </c>
      <c r="AB18" s="1814">
        <v>1</v>
      </c>
      <c r="AC18" s="1814">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9"/>
      <c r="Q19" s="1813" t="str">
        <f>B19</f>
        <v>公共配套设施</v>
      </c>
      <c r="R19" s="774" t="s">
        <v>21</v>
      </c>
      <c r="S19" s="775">
        <f>F19</f>
        <v>100</v>
      </c>
      <c r="T19" s="774" t="s">
        <v>21</v>
      </c>
      <c r="U19" s="775">
        <f>H19</f>
        <v>100</v>
      </c>
      <c r="V19" s="774" t="s">
        <v>21</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2"/>
      <c r="M20" s="1133"/>
      <c r="N20" s="1133"/>
      <c r="O20" s="1133"/>
      <c r="P20" s="3169"/>
      <c r="Q20" s="1813"/>
      <c r="R20" s="774"/>
      <c r="S20" s="775"/>
      <c r="T20" s="774"/>
      <c r="U20" s="775"/>
      <c r="V20" s="774"/>
      <c r="W20" s="775"/>
      <c r="X20" s="1816"/>
      <c r="Y20" s="3162"/>
      <c r="Z20" s="1817"/>
      <c r="AA20" s="1814">
        <v>1</v>
      </c>
      <c r="AB20" s="1814">
        <v>1</v>
      </c>
      <c r="AC20" s="1814">
        <v>1</v>
      </c>
    </row>
    <row r="21" spans="1:29" ht="28.5">
      <c r="A21" s="428"/>
      <c r="B21" s="1386"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9"/>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8"/>
      <c r="G22" s="2612"/>
      <c r="H22" s="448"/>
      <c r="I22" s="447"/>
      <c r="J22" s="448"/>
      <c r="K22" s="2613"/>
      <c r="L22" s="1142"/>
      <c r="M22" s="1133"/>
      <c r="N22" s="1133"/>
      <c r="O22" s="1133"/>
      <c r="P22" s="3169"/>
      <c r="Q22" s="1813"/>
      <c r="R22" s="774"/>
      <c r="S22" s="775"/>
      <c r="T22" s="774"/>
      <c r="U22" s="775"/>
      <c r="V22" s="774"/>
      <c r="W22" s="775"/>
      <c r="X22" s="1816"/>
      <c r="Y22" s="3162"/>
      <c r="Z22" s="1817"/>
      <c r="AA22" s="1814">
        <v>1</v>
      </c>
      <c r="AB22" s="1814">
        <v>1</v>
      </c>
      <c r="AC22" s="1814">
        <v>1</v>
      </c>
    </row>
    <row r="23" spans="1:29" ht="57">
      <c r="A23" s="428"/>
      <c r="B23" s="451" t="s">
        <v>2103</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9"/>
      <c r="Q23" s="1813" t="str">
        <f>B23</f>
        <v>自然及人文环境</v>
      </c>
      <c r="R23" s="774" t="s">
        <v>21</v>
      </c>
      <c r="S23" s="775">
        <f>F23</f>
        <v>100</v>
      </c>
      <c r="T23" s="774" t="s">
        <v>21</v>
      </c>
      <c r="U23" s="775">
        <f>H23</f>
        <v>100</v>
      </c>
      <c r="V23" s="774" t="s">
        <v>21</v>
      </c>
      <c r="W23" s="775">
        <f>J23</f>
        <v>100</v>
      </c>
      <c r="X23" s="1816"/>
      <c r="Y23" s="3162"/>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2"/>
      <c r="M24" s="1133"/>
      <c r="N24" s="1133"/>
      <c r="O24" s="1133"/>
      <c r="P24" s="3169"/>
      <c r="Q24" s="1813"/>
      <c r="R24" s="774"/>
      <c r="S24" s="775"/>
      <c r="T24" s="774"/>
      <c r="U24" s="775"/>
      <c r="V24" s="774"/>
      <c r="W24" s="775"/>
      <c r="X24" s="1816"/>
      <c r="Y24" s="3162"/>
      <c r="Z24" s="1817"/>
      <c r="AA24" s="1814">
        <v>1</v>
      </c>
      <c r="AB24" s="1814">
        <v>1</v>
      </c>
      <c r="AC24" s="1814">
        <v>1</v>
      </c>
    </row>
    <row r="25" spans="1:29" ht="15">
      <c r="A25" s="428"/>
      <c r="B25" s="422" t="s">
        <v>2563</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16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2"/>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169"/>
      <c r="Q26" s="1813" t="str">
        <f t="shared" si="11"/>
        <v>朝向</v>
      </c>
      <c r="R26" s="774" t="s">
        <v>21</v>
      </c>
      <c r="S26" s="775">
        <f t="shared" si="12"/>
        <v>100</v>
      </c>
      <c r="T26" s="774" t="s">
        <v>21</v>
      </c>
      <c r="U26" s="775">
        <f t="shared" si="13"/>
        <v>100</v>
      </c>
      <c r="V26" s="774" t="s">
        <v>21</v>
      </c>
      <c r="W26" s="775">
        <f t="shared" si="14"/>
        <v>100</v>
      </c>
      <c r="X26" s="1816"/>
      <c r="Y26" s="3162"/>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169"/>
      <c r="Q27" s="1798">
        <f t="shared" si="11"/>
        <v>111</v>
      </c>
      <c r="R27" s="770" t="s">
        <v>21</v>
      </c>
      <c r="S27" s="771">
        <f t="shared" si="12"/>
        <v>100</v>
      </c>
      <c r="T27" s="770" t="s">
        <v>21</v>
      </c>
      <c r="U27" s="771">
        <f t="shared" si="13"/>
        <v>100</v>
      </c>
      <c r="V27" s="770" t="s">
        <v>21</v>
      </c>
      <c r="W27" s="771">
        <f t="shared" si="14"/>
        <v>100</v>
      </c>
      <c r="X27" s="772"/>
      <c r="Y27" s="3162"/>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169"/>
      <c r="Q28" s="1813">
        <f t="shared" si="11"/>
        <v>111</v>
      </c>
      <c r="R28" s="774" t="s">
        <v>21</v>
      </c>
      <c r="S28" s="775">
        <f t="shared" si="12"/>
        <v>100</v>
      </c>
      <c r="T28" s="774" t="s">
        <v>21</v>
      </c>
      <c r="U28" s="775">
        <f t="shared" si="13"/>
        <v>100</v>
      </c>
      <c r="V28" s="774" t="s">
        <v>21</v>
      </c>
      <c r="W28" s="775">
        <f t="shared" si="14"/>
        <v>100</v>
      </c>
      <c r="X28" s="1816"/>
      <c r="Y28" s="3162"/>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169"/>
      <c r="Q29" s="1813">
        <f t="shared" si="11"/>
        <v>111</v>
      </c>
      <c r="R29" s="774" t="s">
        <v>21</v>
      </c>
      <c r="S29" s="775">
        <f t="shared" si="12"/>
        <v>100</v>
      </c>
      <c r="T29" s="774" t="s">
        <v>21</v>
      </c>
      <c r="U29" s="775">
        <f t="shared" si="13"/>
        <v>100</v>
      </c>
      <c r="V29" s="774" t="s">
        <v>21</v>
      </c>
      <c r="W29" s="775">
        <f t="shared" si="14"/>
        <v>100</v>
      </c>
      <c r="X29" s="1816"/>
      <c r="Y29" s="3162"/>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169"/>
      <c r="Q30" s="1813">
        <f t="shared" si="11"/>
        <v>111</v>
      </c>
      <c r="R30" s="774" t="s">
        <v>21</v>
      </c>
      <c r="S30" s="775">
        <f t="shared" si="12"/>
        <v>100</v>
      </c>
      <c r="T30" s="774" t="s">
        <v>21</v>
      </c>
      <c r="U30" s="775">
        <f t="shared" si="13"/>
        <v>100</v>
      </c>
      <c r="V30" s="774" t="s">
        <v>21</v>
      </c>
      <c r="W30" s="775">
        <f t="shared" si="14"/>
        <v>100</v>
      </c>
      <c r="X30" s="1816"/>
      <c r="Y30" s="3162"/>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169"/>
      <c r="Q31" s="1813">
        <f t="shared" si="11"/>
        <v>111</v>
      </c>
      <c r="R31" s="774" t="s">
        <v>21</v>
      </c>
      <c r="S31" s="775">
        <f t="shared" si="12"/>
        <v>100</v>
      </c>
      <c r="T31" s="774" t="s">
        <v>21</v>
      </c>
      <c r="U31" s="775">
        <f t="shared" si="13"/>
        <v>100</v>
      </c>
      <c r="V31" s="774" t="s">
        <v>21</v>
      </c>
      <c r="W31" s="775">
        <f t="shared" si="14"/>
        <v>100</v>
      </c>
      <c r="X31" s="1816"/>
      <c r="Y31" s="3162"/>
      <c r="Z31" s="1817">
        <f t="shared" si="18"/>
        <v>111</v>
      </c>
      <c r="AA31" s="1814">
        <f t="shared" si="15"/>
        <v>1</v>
      </c>
      <c r="AB31" s="1814">
        <f t="shared" si="16"/>
        <v>1</v>
      </c>
      <c r="AC31" s="1814">
        <f t="shared" si="17"/>
        <v>1</v>
      </c>
    </row>
    <row r="32" spans="1:29" ht="15">
      <c r="A32" s="440" t="s">
        <v>2565</v>
      </c>
      <c r="B32" s="71" t="s">
        <v>2566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63" t="s">
        <v>2567</v>
      </c>
      <c r="Q32" s="1813" t="str">
        <f t="shared" si="11"/>
        <v>建筑类型</v>
      </c>
      <c r="R32" s="774" t="s">
        <v>21</v>
      </c>
      <c r="S32" s="775">
        <f t="shared" si="12"/>
        <v>100</v>
      </c>
      <c r="T32" s="774" t="s">
        <v>21</v>
      </c>
      <c r="U32" s="775">
        <f t="shared" si="13"/>
        <v>100</v>
      </c>
      <c r="V32" s="774" t="s">
        <v>21</v>
      </c>
      <c r="W32" s="775">
        <f t="shared" si="14"/>
        <v>100</v>
      </c>
      <c r="X32" s="1816"/>
      <c r="Y32" s="3166"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2"/>
      <c r="L33" s="1140"/>
      <c r="M33" s="1143"/>
      <c r="N33" s="1143"/>
      <c r="O33" s="1143"/>
      <c r="P33" s="3164"/>
      <c r="Q33" s="776" t="str">
        <f t="shared" si="11"/>
        <v>项目建筑规模</v>
      </c>
      <c r="R33" s="777" t="s">
        <v>21</v>
      </c>
      <c r="S33" s="778">
        <f t="shared" si="12"/>
        <v>100</v>
      </c>
      <c r="T33" s="777" t="s">
        <v>21</v>
      </c>
      <c r="U33" s="778">
        <f t="shared" si="13"/>
        <v>100</v>
      </c>
      <c r="V33" s="777" t="s">
        <v>21</v>
      </c>
      <c r="W33" s="778">
        <f t="shared" si="14"/>
        <v>100</v>
      </c>
      <c r="X33" s="779"/>
      <c r="Y33" s="3166"/>
      <c r="Z33" s="780" t="str">
        <f t="shared" si="18"/>
        <v>项目建筑规模</v>
      </c>
      <c r="AA33" s="1814">
        <f t="shared" si="15"/>
        <v>1</v>
      </c>
      <c r="AB33" s="1814">
        <f t="shared" si="16"/>
        <v>1</v>
      </c>
      <c r="AC33" s="1814">
        <f t="shared" si="17"/>
        <v>1</v>
      </c>
    </row>
    <row r="34" spans="1:29" ht="15">
      <c r="A34" s="472"/>
      <c r="B34" s="422" t="s">
        <v>2569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64"/>
      <c r="Q34" s="1813" t="str">
        <f t="shared" si="11"/>
        <v>建筑结构</v>
      </c>
      <c r="R34" s="774" t="s">
        <v>21</v>
      </c>
      <c r="S34" s="775">
        <f t="shared" si="12"/>
        <v>100</v>
      </c>
      <c r="T34" s="774" t="s">
        <v>21</v>
      </c>
      <c r="U34" s="775">
        <f t="shared" si="13"/>
        <v>100</v>
      </c>
      <c r="V34" s="774" t="s">
        <v>21</v>
      </c>
      <c r="W34" s="775">
        <f t="shared" si="14"/>
        <v>100</v>
      </c>
      <c r="X34" s="1816"/>
      <c r="Y34" s="3166"/>
      <c r="Z34" s="1817" t="str">
        <f t="shared" si="18"/>
        <v>建筑结构</v>
      </c>
      <c r="AA34" s="1814">
        <f t="shared" si="15"/>
        <v>1</v>
      </c>
      <c r="AB34" s="1814">
        <f t="shared" si="16"/>
        <v>1</v>
      </c>
      <c r="AC34" s="1814">
        <f t="shared" si="17"/>
        <v>1</v>
      </c>
    </row>
    <row r="35" spans="1:29" ht="15">
      <c r="A35" s="472"/>
      <c r="B35" s="422" t="s">
        <v>2570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64"/>
      <c r="Q35" s="1813" t="str">
        <f t="shared" si="11"/>
        <v>建筑品质</v>
      </c>
      <c r="R35" s="774" t="s">
        <v>21</v>
      </c>
      <c r="S35" s="775">
        <f t="shared" si="12"/>
        <v>100</v>
      </c>
      <c r="T35" s="774" t="s">
        <v>21</v>
      </c>
      <c r="U35" s="775">
        <f t="shared" si="13"/>
        <v>100</v>
      </c>
      <c r="V35" s="774" t="s">
        <v>21</v>
      </c>
      <c r="W35" s="775">
        <f t="shared" si="14"/>
        <v>100</v>
      </c>
      <c r="X35" s="1816"/>
      <c r="Y35" s="3166"/>
      <c r="Z35" s="1817" t="str">
        <f t="shared" si="18"/>
        <v>建筑品质</v>
      </c>
      <c r="AA35" s="1814">
        <f t="shared" si="15"/>
        <v>1</v>
      </c>
      <c r="AB35" s="1814">
        <f t="shared" si="16"/>
        <v>1</v>
      </c>
      <c r="AC35" s="1814">
        <f t="shared" si="17"/>
        <v>1</v>
      </c>
    </row>
    <row r="36" spans="1:29" ht="15">
      <c r="A36" s="472"/>
      <c r="B36" s="422" t="s">
        <v>2571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64"/>
      <c r="Q36" s="1813" t="str">
        <f t="shared" si="11"/>
        <v>公共部分装修</v>
      </c>
      <c r="R36" s="774" t="s">
        <v>21</v>
      </c>
      <c r="S36" s="775">
        <f t="shared" si="12"/>
        <v>100</v>
      </c>
      <c r="T36" s="774" t="s">
        <v>21</v>
      </c>
      <c r="U36" s="775">
        <f t="shared" si="13"/>
        <v>100</v>
      </c>
      <c r="V36" s="774" t="s">
        <v>21</v>
      </c>
      <c r="W36" s="775">
        <f t="shared" si="14"/>
        <v>100</v>
      </c>
      <c r="X36" s="1816"/>
      <c r="Y36" s="3166"/>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4"/>
      <c r="Q37" s="1798" t="str">
        <f t="shared" si="11"/>
        <v>成新度</v>
      </c>
      <c r="R37" s="770" t="s">
        <v>21</v>
      </c>
      <c r="S37" s="771" t="e">
        <f t="shared" si="12"/>
        <v>#N/A</v>
      </c>
      <c r="T37" s="770" t="s">
        <v>21</v>
      </c>
      <c r="U37" s="771" t="e">
        <f t="shared" si="13"/>
        <v>#N/A</v>
      </c>
      <c r="V37" s="770" t="s">
        <v>21</v>
      </c>
      <c r="W37" s="771" t="e">
        <f t="shared" si="14"/>
        <v>#N/A</v>
      </c>
      <c r="X37" s="772"/>
      <c r="Y37" s="3166"/>
      <c r="Z37" s="55" t="str">
        <f t="shared" si="18"/>
        <v>成新度</v>
      </c>
      <c r="AA37" s="773" t="e">
        <f t="shared" si="15"/>
        <v>#N/A</v>
      </c>
      <c r="AB37" s="773" t="e">
        <f t="shared" si="16"/>
        <v>#N/A</v>
      </c>
      <c r="AC37" s="773" t="e">
        <f t="shared" si="17"/>
        <v>#N/A</v>
      </c>
    </row>
    <row r="38" spans="1:29" ht="15">
      <c r="A38" s="472"/>
      <c r="B38" s="422" t="s">
        <v>2573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64" t="s">
        <v>2567</v>
      </c>
      <c r="Q38" s="1813" t="str">
        <f t="shared" si="11"/>
        <v>物业管理</v>
      </c>
      <c r="R38" s="774" t="s">
        <v>21</v>
      </c>
      <c r="S38" s="775">
        <f t="shared" si="12"/>
        <v>100</v>
      </c>
      <c r="T38" s="774" t="s">
        <v>21</v>
      </c>
      <c r="U38" s="775">
        <f t="shared" si="13"/>
        <v>100</v>
      </c>
      <c r="V38" s="774" t="s">
        <v>21</v>
      </c>
      <c r="W38" s="775">
        <f t="shared" si="14"/>
        <v>100</v>
      </c>
      <c r="X38" s="1816"/>
      <c r="Y38" s="3166" t="s">
        <v>2567</v>
      </c>
      <c r="Z38" s="1817" t="str">
        <f t="shared" si="18"/>
        <v>物业管理</v>
      </c>
      <c r="AA38" s="1814">
        <f t="shared" si="15"/>
        <v>1</v>
      </c>
      <c r="AB38" s="1814">
        <f t="shared" si="16"/>
        <v>1</v>
      </c>
      <c r="AC38" s="1814">
        <f t="shared" si="17"/>
        <v>1</v>
      </c>
    </row>
    <row r="39" spans="1:29" ht="15">
      <c r="A39" s="472"/>
      <c r="B39" s="422" t="s">
        <v>2574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64"/>
      <c r="Q39" s="1813" t="str">
        <f t="shared" si="11"/>
        <v>市政基础设施</v>
      </c>
      <c r="R39" s="774" t="s">
        <v>21</v>
      </c>
      <c r="S39" s="775">
        <f t="shared" si="12"/>
        <v>100</v>
      </c>
      <c r="T39" s="774" t="s">
        <v>21</v>
      </c>
      <c r="U39" s="775">
        <f t="shared" si="13"/>
        <v>100</v>
      </c>
      <c r="V39" s="774" t="s">
        <v>21</v>
      </c>
      <c r="W39" s="775">
        <f t="shared" si="14"/>
        <v>100</v>
      </c>
      <c r="X39" s="1816"/>
      <c r="Y39" s="3166"/>
      <c r="Z39" s="1817" t="str">
        <f t="shared" si="18"/>
        <v>市政基础设施</v>
      </c>
      <c r="AA39" s="1814">
        <f t="shared" si="15"/>
        <v>1</v>
      </c>
      <c r="AB39" s="1814">
        <f t="shared" si="16"/>
        <v>1</v>
      </c>
      <c r="AC39" s="1814">
        <f t="shared" si="17"/>
        <v>1</v>
      </c>
    </row>
    <row r="40" spans="1:29" ht="15">
      <c r="A40" s="472"/>
      <c r="B40" s="422" t="s">
        <v>2575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64"/>
      <c r="Q40" s="1813" t="str">
        <f t="shared" si="11"/>
        <v>房型</v>
      </c>
      <c r="R40" s="774" t="s">
        <v>21</v>
      </c>
      <c r="S40" s="775">
        <f t="shared" si="12"/>
        <v>100</v>
      </c>
      <c r="T40" s="774" t="s">
        <v>21</v>
      </c>
      <c r="U40" s="775">
        <f t="shared" si="13"/>
        <v>100</v>
      </c>
      <c r="V40" s="774" t="s">
        <v>21</v>
      </c>
      <c r="W40" s="775">
        <f t="shared" si="14"/>
        <v>100</v>
      </c>
      <c r="X40" s="1816"/>
      <c r="Y40" s="3166"/>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64"/>
      <c r="Q41" s="776" t="str">
        <f t="shared" si="11"/>
        <v>单套/主力户型建筑面积</v>
      </c>
      <c r="R41" s="777" t="s">
        <v>21</v>
      </c>
      <c r="S41" s="778">
        <f t="shared" si="12"/>
        <v>100</v>
      </c>
      <c r="T41" s="777" t="s">
        <v>21</v>
      </c>
      <c r="U41" s="778">
        <f t="shared" si="13"/>
        <v>100</v>
      </c>
      <c r="V41" s="777" t="s">
        <v>21</v>
      </c>
      <c r="W41" s="778">
        <f t="shared" si="14"/>
        <v>100</v>
      </c>
      <c r="X41" s="779"/>
      <c r="Y41" s="3166"/>
      <c r="Z41" s="780" t="str">
        <f t="shared" si="18"/>
        <v>单套/主力户型建筑面积</v>
      </c>
      <c r="AA41" s="1814">
        <f t="shared" si="15"/>
        <v>1</v>
      </c>
      <c r="AB41" s="1814">
        <f t="shared" si="16"/>
        <v>1</v>
      </c>
      <c r="AC41" s="1814">
        <f t="shared" si="17"/>
        <v>1</v>
      </c>
    </row>
    <row r="42" spans="1:29" ht="15">
      <c r="A42" s="472"/>
      <c r="B42" s="422" t="s">
        <v>2577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64"/>
      <c r="Q42" s="1813" t="str">
        <f t="shared" si="11"/>
        <v>内部装修</v>
      </c>
      <c r="R42" s="774" t="s">
        <v>21</v>
      </c>
      <c r="S42" s="775">
        <f t="shared" si="12"/>
        <v>100</v>
      </c>
      <c r="T42" s="774" t="s">
        <v>21</v>
      </c>
      <c r="U42" s="775">
        <f t="shared" si="13"/>
        <v>100</v>
      </c>
      <c r="V42" s="774" t="s">
        <v>21</v>
      </c>
      <c r="W42" s="775">
        <f t="shared" si="14"/>
        <v>100</v>
      </c>
      <c r="X42" s="1816"/>
      <c r="Y42" s="3166"/>
      <c r="Z42" s="1817" t="str">
        <f t="shared" si="18"/>
        <v>内部装修</v>
      </c>
      <c r="AA42" s="1814">
        <f t="shared" si="15"/>
        <v>1</v>
      </c>
      <c r="AB42" s="1814">
        <f t="shared" si="16"/>
        <v>1</v>
      </c>
      <c r="AC42" s="1814">
        <f t="shared" si="17"/>
        <v>1</v>
      </c>
    </row>
    <row r="43" spans="1:29" ht="15">
      <c r="A43" s="472"/>
      <c r="B43" s="422" t="s">
        <v>2578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64"/>
      <c r="Q43" s="1813" t="str">
        <f t="shared" si="11"/>
        <v>内部装修维护情况</v>
      </c>
      <c r="R43" s="774" t="s">
        <v>21</v>
      </c>
      <c r="S43" s="775">
        <f t="shared" si="12"/>
        <v>100</v>
      </c>
      <c r="T43" s="774" t="s">
        <v>21</v>
      </c>
      <c r="U43" s="775">
        <f t="shared" si="13"/>
        <v>100</v>
      </c>
      <c r="V43" s="774" t="s">
        <v>21</v>
      </c>
      <c r="W43" s="775">
        <f t="shared" si="14"/>
        <v>100</v>
      </c>
      <c r="X43" s="1816"/>
      <c r="Y43" s="3166"/>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64"/>
      <c r="Q44" s="1798">
        <f t="shared" si="11"/>
        <v>111</v>
      </c>
      <c r="R44" s="770" t="s">
        <v>21</v>
      </c>
      <c r="S44" s="771">
        <f t="shared" si="12"/>
        <v>100</v>
      </c>
      <c r="T44" s="770" t="s">
        <v>21</v>
      </c>
      <c r="U44" s="771">
        <f t="shared" si="13"/>
        <v>100</v>
      </c>
      <c r="V44" s="770" t="s">
        <v>21</v>
      </c>
      <c r="W44" s="771">
        <f t="shared" si="14"/>
        <v>100</v>
      </c>
      <c r="X44" s="772"/>
      <c r="Y44" s="316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64"/>
      <c r="Q45" s="1813">
        <f t="shared" si="11"/>
        <v>111</v>
      </c>
      <c r="R45" s="774" t="s">
        <v>21</v>
      </c>
      <c r="S45" s="775">
        <f t="shared" si="12"/>
        <v>100</v>
      </c>
      <c r="T45" s="774" t="s">
        <v>21</v>
      </c>
      <c r="U45" s="775">
        <f t="shared" si="13"/>
        <v>100</v>
      </c>
      <c r="V45" s="774" t="s">
        <v>21</v>
      </c>
      <c r="W45" s="775">
        <f t="shared" si="14"/>
        <v>100</v>
      </c>
      <c r="X45" s="1816"/>
      <c r="Y45" s="3166"/>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65"/>
      <c r="Q46" s="1813">
        <f t="shared" si="11"/>
        <v>111</v>
      </c>
      <c r="R46" s="774" t="s">
        <v>20</v>
      </c>
      <c r="S46" s="775">
        <f t="shared" si="12"/>
        <v>100</v>
      </c>
      <c r="T46" s="774" t="s">
        <v>20</v>
      </c>
      <c r="U46" s="775">
        <f t="shared" si="13"/>
        <v>100</v>
      </c>
      <c r="V46" s="774" t="s">
        <v>20</v>
      </c>
      <c r="W46" s="775">
        <f t="shared" si="14"/>
        <v>100</v>
      </c>
      <c r="X46" s="1816"/>
      <c r="Y46" s="3167"/>
      <c r="Z46" s="1817">
        <f t="shared" si="18"/>
        <v>111</v>
      </c>
      <c r="AA46" s="1814">
        <f t="shared" si="15"/>
        <v>1</v>
      </c>
      <c r="AB46" s="1814">
        <f t="shared" si="16"/>
        <v>1</v>
      </c>
      <c r="AC46" s="1814">
        <f t="shared" si="17"/>
        <v>1</v>
      </c>
    </row>
    <row r="47" spans="1:29" ht="15">
      <c r="A47" s="479" t="s">
        <v>2579</v>
      </c>
      <c r="B47" s="480"/>
      <c r="C47" s="1409" t="s">
        <v>19</v>
      </c>
      <c r="D47" s="1410"/>
      <c r="E47" s="1411"/>
      <c r="F47" s="1412"/>
      <c r="G47" s="1413"/>
      <c r="H47" s="1414"/>
      <c r="I47" s="1411"/>
      <c r="J47" s="1414"/>
      <c r="K47" s="2622"/>
      <c r="L47" s="1145"/>
      <c r="M47" s="1146"/>
      <c r="N47" s="1133"/>
      <c r="O47" s="1146"/>
      <c r="P47" s="3159" t="str">
        <f>A47</f>
        <v>成交单价（元/平方米）</v>
      </c>
      <c r="Q47" s="3159"/>
      <c r="R47" s="3160">
        <f>E47</f>
        <v>0</v>
      </c>
      <c r="S47" s="3160"/>
      <c r="T47" s="3160">
        <f>G47</f>
        <v>0</v>
      </c>
      <c r="U47" s="3160"/>
      <c r="V47" s="3160">
        <f>I47</f>
        <v>0</v>
      </c>
      <c r="W47" s="3160"/>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3"/>
      <c r="L48" s="1145"/>
      <c r="M48" s="1146"/>
      <c r="N48" s="1146"/>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4"/>
      <c r="L49" s="1145"/>
      <c r="M49" s="1146"/>
      <c r="N49" s="1146"/>
      <c r="O49" s="1146"/>
      <c r="P49" s="3156" t="str">
        <f>A49</f>
        <v>估价对象XX用房的比较价值（楼面单价，元/平方米）</v>
      </c>
      <c r="Q49" s="3157"/>
      <c r="R49" s="3158" t="e">
        <f>IF(F1="售价",ROUND(AVERAGE(R48:V48),0),ROUND(AVERAGE(R48:V48),1))</f>
        <v>#DIV/0!</v>
      </c>
      <c r="S49" s="3158"/>
      <c r="T49" s="3158"/>
      <c r="U49" s="3158"/>
      <c r="V49" s="3158"/>
      <c r="W49" s="315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27"/>
      <c r="Q57" s="504"/>
    </row>
    <row r="58" spans="1:29" s="508" customFormat="1" ht="15">
      <c r="A58" s="505" t="s">
        <v>2586</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2588</v>
      </c>
      <c r="B61" s="510"/>
      <c r="C61" s="522" t="s">
        <v>2589</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2560</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v>0</v>
      </c>
      <c r="D68" s="549">
        <v>1</v>
      </c>
      <c r="E68" s="549">
        <v>2</v>
      </c>
      <c r="F68" s="549">
        <v>3</v>
      </c>
      <c r="G68" s="549">
        <v>4</v>
      </c>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2100</v>
      </c>
      <c r="C82" s="539" t="s">
        <v>2606</v>
      </c>
      <c r="D82" s="539" t="s">
        <v>2607</v>
      </c>
      <c r="E82" s="539" t="s">
        <v>2608</v>
      </c>
      <c r="F82" s="539" t="s">
        <v>2609</v>
      </c>
      <c r="G82" s="539" t="s">
        <v>2610</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2612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2613</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2565</v>
      </c>
      <c r="B100" s="528" t="s">
        <v>2614</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2615</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2617</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2618</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2619</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2620</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2621</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6">
        <v>6</v>
      </c>
      <c r="C139" s="1087">
        <v>96</v>
      </c>
      <c r="D139" s="2649" t="s">
        <v>2633</v>
      </c>
      <c r="E139" s="1088">
        <v>100</v>
      </c>
      <c r="F139" s="1089">
        <v>102.5</v>
      </c>
      <c r="G139" s="2649" t="s">
        <v>2633</v>
      </c>
      <c r="H139" s="1090">
        <v>105</v>
      </c>
      <c r="I139" s="2650" t="s">
        <v>2634</v>
      </c>
      <c r="J139" s="1087">
        <v>20</v>
      </c>
      <c r="K139" s="1091">
        <f>C145/(J139-2)</f>
        <v>4.0555555555555553E-3</v>
      </c>
    </row>
    <row r="140" spans="1:17" ht="15">
      <c r="B140" s="1092">
        <v>5</v>
      </c>
      <c r="C140" s="1093">
        <v>100</v>
      </c>
      <c r="D140" s="1093"/>
      <c r="E140" s="1094"/>
      <c r="F140" s="1095">
        <v>102</v>
      </c>
      <c r="G140" s="1093"/>
      <c r="H140" s="1096"/>
      <c r="I140" s="2651" t="s">
        <v>2635</v>
      </c>
      <c r="J140" s="315">
        <f>ROUNDUP((J139-1)/2,0)</f>
        <v>10</v>
      </c>
      <c r="K140" s="1097">
        <v>100</v>
      </c>
    </row>
    <row r="141" spans="1:17" ht="15">
      <c r="B141" s="1092">
        <v>4</v>
      </c>
      <c r="C141" s="1093">
        <v>102</v>
      </c>
      <c r="D141" s="1093"/>
      <c r="E141" s="1094"/>
      <c r="F141" s="1095">
        <v>101.5</v>
      </c>
      <c r="G141" s="1093"/>
      <c r="H141" s="1096"/>
      <c r="I141" s="2651" t="s">
        <v>2636</v>
      </c>
      <c r="J141" s="315">
        <v>1</v>
      </c>
      <c r="K141" s="1098">
        <f>ROUND(100+(J141-J140)*K139*100,1)</f>
        <v>96.4</v>
      </c>
    </row>
    <row r="142" spans="1:17" ht="15">
      <c r="B142" s="1092">
        <v>3</v>
      </c>
      <c r="C142" s="1093">
        <v>103</v>
      </c>
      <c r="D142" s="1093"/>
      <c r="E142" s="1094"/>
      <c r="F142" s="1095">
        <v>101</v>
      </c>
      <c r="G142" s="1093"/>
      <c r="H142" s="1096"/>
      <c r="I142" s="2651" t="s">
        <v>2637</v>
      </c>
      <c r="J142" s="315">
        <f>J139</f>
        <v>20</v>
      </c>
      <c r="K142" s="1099">
        <v>95</v>
      </c>
    </row>
    <row r="143" spans="1:17" ht="15">
      <c r="B143" s="1092">
        <v>2</v>
      </c>
      <c r="C143" s="1093">
        <v>100</v>
      </c>
      <c r="D143" s="1093"/>
      <c r="E143" s="1094"/>
      <c r="F143" s="1095">
        <v>100.5</v>
      </c>
      <c r="G143" s="1093"/>
      <c r="H143" s="1096"/>
      <c r="I143" s="2651" t="s">
        <v>2638</v>
      </c>
      <c r="J143" s="1093">
        <v>15</v>
      </c>
      <c r="K143" s="1098">
        <f>ROUND(100+(J143-J140)*K139*100,1)</f>
        <v>102</v>
      </c>
    </row>
    <row r="144" spans="1:17" ht="15">
      <c r="B144" s="1092">
        <v>1</v>
      </c>
      <c r="C144" s="1093">
        <v>98</v>
      </c>
      <c r="D144" s="2652" t="s">
        <v>2639</v>
      </c>
      <c r="E144" s="1094">
        <v>102</v>
      </c>
      <c r="F144" s="1100">
        <v>100</v>
      </c>
      <c r="G144" s="2652" t="s">
        <v>2639</v>
      </c>
      <c r="H144" s="1096">
        <v>105</v>
      </c>
      <c r="I144" s="2651" t="s">
        <v>2638</v>
      </c>
      <c r="J144" s="1093">
        <v>18</v>
      </c>
      <c r="K144" s="1098">
        <f>ROUND(100+(J144-J140)*K139*100,1)</f>
        <v>103.2</v>
      </c>
    </row>
    <row r="145" spans="2:11" ht="15.75" thickBot="1">
      <c r="B145" s="2653" t="s">
        <v>2640</v>
      </c>
      <c r="C145" s="1101">
        <f>ROUND(MAX(C139:C144)/MIN(C139:C144)-1,3)</f>
        <v>7.2999999999999995E-2</v>
      </c>
      <c r="D145" s="1102"/>
      <c r="E145" s="1102"/>
      <c r="F145" s="2654" t="s">
        <v>2641</v>
      </c>
      <c r="G145" s="2655"/>
      <c r="H145" s="2656"/>
      <c r="I145" s="2657" t="s">
        <v>2638</v>
      </c>
      <c r="J145" s="1103">
        <v>8</v>
      </c>
      <c r="K145" s="1104">
        <f>ROUND(100+(J145-J140)*K139*100,1)</f>
        <v>99.2</v>
      </c>
    </row>
    <row r="147" spans="2:11">
      <c r="B147" s="2638" t="s">
        <v>2642</v>
      </c>
    </row>
    <row r="148" spans="2:11">
      <c r="B148" s="2638"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 sqref="E5:J6"/>
    </sheetView>
  </sheetViews>
  <sheetFormatPr defaultRowHeight="14.25"/>
  <cols>
    <col min="1" max="1" width="14.375" style="403" customWidth="1"/>
    <col min="2" max="2" width="15.75" style="403" customWidth="1"/>
    <col min="3" max="3" width="16.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30" ht="15">
      <c r="A5" s="404"/>
      <c r="B5" s="405"/>
      <c r="C5" s="3193" t="s">
        <v>2544</v>
      </c>
      <c r="D5" s="3194"/>
      <c r="E5" s="3213" t="s">
        <v>3071</v>
      </c>
      <c r="F5" s="3214"/>
      <c r="G5" s="3209" t="s">
        <v>3072</v>
      </c>
      <c r="H5" s="3210"/>
      <c r="I5" s="3209" t="s">
        <v>3073</v>
      </c>
      <c r="J5" s="3210"/>
      <c r="K5" s="610"/>
      <c r="L5" s="1132"/>
      <c r="M5" s="1133"/>
      <c r="N5" s="1133"/>
      <c r="O5" s="1133"/>
      <c r="P5" s="3180"/>
      <c r="Q5" s="3181"/>
      <c r="R5" s="3186"/>
      <c r="S5" s="3187"/>
      <c r="T5" s="3186"/>
      <c r="U5" s="3187"/>
      <c r="V5" s="3190"/>
      <c r="W5" s="3190"/>
      <c r="X5" s="1816"/>
      <c r="Y5" s="3186"/>
      <c r="Z5" s="3187"/>
      <c r="AA5" s="3172"/>
      <c r="AB5" s="3172"/>
      <c r="AC5" s="3172"/>
    </row>
    <row r="6" spans="1:30" ht="15.75" thickBot="1">
      <c r="A6" s="406"/>
      <c r="B6" s="407"/>
      <c r="C6" s="3191" t="s">
        <v>2548</v>
      </c>
      <c r="D6" s="3192"/>
      <c r="E6" s="3211" t="s">
        <v>3074</v>
      </c>
      <c r="F6" s="3212"/>
      <c r="G6" s="3207" t="s">
        <v>3075</v>
      </c>
      <c r="H6" s="3208"/>
      <c r="I6" s="3207" t="s">
        <v>3076</v>
      </c>
      <c r="J6" s="3208"/>
      <c r="K6" s="610" t="s">
        <v>2549</v>
      </c>
      <c r="L6" s="1132"/>
      <c r="M6" s="1133"/>
      <c r="N6" s="1133"/>
      <c r="O6" s="1133"/>
      <c r="P6" s="3182"/>
      <c r="Q6" s="3183"/>
      <c r="R6" s="3186"/>
      <c r="S6" s="3187"/>
      <c r="T6" s="3188"/>
      <c r="U6" s="3189"/>
      <c r="V6" s="3190"/>
      <c r="W6" s="3190"/>
      <c r="X6" s="1816"/>
      <c r="Y6" s="3188"/>
      <c r="Z6" s="3189"/>
      <c r="AA6" s="3173"/>
      <c r="AB6" s="3173"/>
      <c r="AC6" s="3173"/>
    </row>
    <row r="7" spans="1:30" s="117" customFormat="1" ht="15.75" thickBot="1">
      <c r="A7" s="408" t="s">
        <v>2550</v>
      </c>
      <c r="B7" s="409"/>
      <c r="C7" s="410">
        <f>'数据-取费表'!B2</f>
        <v>43100</v>
      </c>
      <c r="D7" s="411">
        <v>100</v>
      </c>
      <c r="E7" s="412">
        <v>42079</v>
      </c>
      <c r="F7" s="413">
        <f>SUMIF(70:70,YEAR(E7)&amp;"-"&amp;INT((MONTH(E7)+2)/3),71:71)</f>
        <v>0</v>
      </c>
      <c r="G7" s="2697">
        <v>42102</v>
      </c>
      <c r="H7" s="411">
        <f>SUMIF(70:70,YEAR(G7)&amp;"-"&amp;INT((MONTH(G7)+2)/3),71:71)</f>
        <v>0</v>
      </c>
      <c r="I7" s="2697">
        <v>42668</v>
      </c>
      <c r="J7" s="411">
        <f>SUMIF(70:70,YEAR(I7)&amp;"-"&amp;INT((MONTH(I7)+2)/3),71:71)</f>
        <v>0</v>
      </c>
      <c r="K7" s="611"/>
      <c r="L7" s="1134"/>
      <c r="M7" s="1135"/>
      <c r="N7" s="1135"/>
      <c r="O7" s="1135"/>
      <c r="P7" s="3195"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30" s="117" customFormat="1" ht="15.75" thickBot="1">
      <c r="A8" s="408" t="s">
        <v>2552</v>
      </c>
      <c r="B8" s="409"/>
      <c r="C8" s="414" t="s">
        <v>2553</v>
      </c>
      <c r="D8" s="411">
        <v>100</v>
      </c>
      <c r="E8" s="414" t="s">
        <v>3050</v>
      </c>
      <c r="F8" s="413">
        <f>SUMIF(73:73,E8,74:74)-SUMIF(73:73,C8,74:74)+100</f>
        <v>100</v>
      </c>
      <c r="G8" s="414" t="s">
        <v>3050</v>
      </c>
      <c r="H8" s="411">
        <f>SUMIF(73:73,G8,74:74)-SUMIF(73:73,C8,74:74)+100</f>
        <v>100</v>
      </c>
      <c r="I8" s="414" t="s">
        <v>3050</v>
      </c>
      <c r="J8" s="411">
        <f>SUMIF(73:73,I8,74:74)-SUMIF(73:73,C8,74:74)+100</f>
        <v>100</v>
      </c>
      <c r="K8" s="611"/>
      <c r="L8" s="1134"/>
      <c r="M8" s="1135"/>
      <c r="N8" s="1135"/>
      <c r="O8" s="1135"/>
      <c r="P8" s="3195" t="s">
        <v>2554</v>
      </c>
      <c r="Q8" s="3196"/>
      <c r="R8" s="770" t="s">
        <v>17</v>
      </c>
      <c r="S8" s="771">
        <f t="shared" si="0"/>
        <v>100</v>
      </c>
      <c r="T8" s="770" t="s">
        <v>17</v>
      </c>
      <c r="U8" s="771">
        <f t="shared" si="1"/>
        <v>100</v>
      </c>
      <c r="V8" s="770" t="s">
        <v>17</v>
      </c>
      <c r="W8" s="771">
        <f t="shared" si="2"/>
        <v>100</v>
      </c>
      <c r="X8" s="772"/>
      <c r="Y8" s="3195" t="s">
        <v>2554</v>
      </c>
      <c r="Z8" s="3196"/>
      <c r="AA8" s="773">
        <f t="shared" ref="AA8:AA45" si="3">D8/F8</f>
        <v>1</v>
      </c>
      <c r="AB8" s="773">
        <f t="shared" ref="AB8:AB45" si="4">D8/H8</f>
        <v>1</v>
      </c>
      <c r="AC8" s="773">
        <f t="shared" ref="AC8:AC45" si="5">D8/J8</f>
        <v>1</v>
      </c>
    </row>
    <row r="9" spans="1:30" s="117" customFormat="1">
      <c r="A9" s="415" t="s">
        <v>2555</v>
      </c>
      <c r="B9" s="71" t="s">
        <v>2556</v>
      </c>
      <c r="C9" s="2950" t="s">
        <v>3077</v>
      </c>
      <c r="D9" s="135">
        <v>100</v>
      </c>
      <c r="E9" s="2950" t="s">
        <v>3078</v>
      </c>
      <c r="F9" s="135">
        <f>SUMIF(75:75,E9,76:76)-SUMIF(75:75,C9,76:76)+100</f>
        <v>100</v>
      </c>
      <c r="G9" s="2950" t="s">
        <v>3078</v>
      </c>
      <c r="H9" s="135">
        <f>SUMIF(75:75,G9,76:76)-SUMIF(75:75,C9,76:76)+100</f>
        <v>100</v>
      </c>
      <c r="I9" s="2950" t="s">
        <v>3078</v>
      </c>
      <c r="J9" s="135">
        <f>SUMIF(75:75,I9,76:76)-SUMIF(75:75,C9,76:76)+100</f>
        <v>100</v>
      </c>
      <c r="K9" s="611"/>
      <c r="L9" s="1134"/>
      <c r="M9" s="1135"/>
      <c r="N9" s="1135"/>
      <c r="O9" s="1136"/>
      <c r="P9" s="3159"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109</v>
      </c>
      <c r="G10" s="463"/>
      <c r="H10" s="136">
        <f>ROUND(100/'数据-取费表'!G16,0)</f>
        <v>109</v>
      </c>
      <c r="I10" s="463"/>
      <c r="J10" s="136">
        <f>ROUND(100/'数据-取费表'!G16,0)</f>
        <v>109</v>
      </c>
      <c r="K10" s="672"/>
      <c r="L10" s="1137"/>
      <c r="M10" s="1138"/>
      <c r="N10" s="1138"/>
      <c r="O10" s="1139"/>
      <c r="P10" s="3159"/>
      <c r="Q10" s="1798" t="str">
        <f t="shared" si="6"/>
        <v>土地使用年限（年）</v>
      </c>
      <c r="R10" s="770" t="s">
        <v>17</v>
      </c>
      <c r="S10" s="771">
        <f t="shared" si="0"/>
        <v>109</v>
      </c>
      <c r="T10" s="770" t="s">
        <v>17</v>
      </c>
      <c r="U10" s="771">
        <f t="shared" si="1"/>
        <v>109</v>
      </c>
      <c r="V10" s="770" t="s">
        <v>17</v>
      </c>
      <c r="W10" s="771">
        <f t="shared" si="2"/>
        <v>109</v>
      </c>
      <c r="X10" s="772"/>
      <c r="Y10" s="3011"/>
      <c r="Z10" s="55" t="str">
        <f t="shared" si="7"/>
        <v>土地使用年限（年）</v>
      </c>
      <c r="AA10" s="773">
        <f t="shared" si="3"/>
        <v>0.91743119266055051</v>
      </c>
      <c r="AB10" s="773">
        <f t="shared" si="4"/>
        <v>0.91743119266055051</v>
      </c>
      <c r="AC10" s="773">
        <f t="shared" si="5"/>
        <v>0.91743119266055051</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59"/>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30" s="117" customFormat="1" ht="15">
      <c r="A12" s="431"/>
      <c r="B12" s="2601" t="s">
        <v>2749</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59"/>
      <c r="Q12" s="1798" t="str">
        <f t="shared" si="6"/>
        <v>配建</v>
      </c>
      <c r="R12" s="770" t="s">
        <v>17</v>
      </c>
      <c r="S12" s="771">
        <f t="shared" si="0"/>
        <v>100</v>
      </c>
      <c r="T12" s="770" t="s">
        <v>17</v>
      </c>
      <c r="U12" s="771">
        <f t="shared" si="1"/>
        <v>100</v>
      </c>
      <c r="V12" s="770" t="s">
        <v>17</v>
      </c>
      <c r="W12" s="771">
        <f t="shared" si="2"/>
        <v>100</v>
      </c>
      <c r="X12" s="772"/>
      <c r="Y12" s="301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9"/>
      <c r="Q14" s="1798">
        <f t="shared" si="6"/>
        <v>111</v>
      </c>
      <c r="R14" s="770" t="s">
        <v>17</v>
      </c>
      <c r="S14" s="771">
        <f t="shared" si="0"/>
        <v>100</v>
      </c>
      <c r="T14" s="770" t="s">
        <v>17</v>
      </c>
      <c r="U14" s="771">
        <f t="shared" si="1"/>
        <v>100</v>
      </c>
      <c r="V14" s="770" t="s">
        <v>17</v>
      </c>
      <c r="W14" s="771">
        <f t="shared" si="2"/>
        <v>100</v>
      </c>
      <c r="X14" s="772"/>
      <c r="Y14" s="3011"/>
      <c r="Z14" s="55">
        <f t="shared" si="7"/>
        <v>111</v>
      </c>
      <c r="AA14" s="773">
        <f>D14/F14</f>
        <v>1</v>
      </c>
      <c r="AB14" s="773">
        <f>D14/H14</f>
        <v>1</v>
      </c>
      <c r="AC14" s="773">
        <f>D14/J14</f>
        <v>1</v>
      </c>
    </row>
    <row r="15" spans="1:30" ht="85.5">
      <c r="A15" s="440" t="s">
        <v>2561</v>
      </c>
      <c r="B15" s="69" t="s">
        <v>2088</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61" t="s">
        <v>2562</v>
      </c>
      <c r="Q15" s="1813" t="str">
        <f t="shared" si="6"/>
        <v>居住社区成熟度</v>
      </c>
      <c r="R15" s="774" t="s">
        <v>17</v>
      </c>
      <c r="S15" s="775">
        <f t="shared" si="0"/>
        <v>100</v>
      </c>
      <c r="T15" s="774" t="s">
        <v>17</v>
      </c>
      <c r="U15" s="775">
        <f t="shared" si="1"/>
        <v>100</v>
      </c>
      <c r="V15" s="774" t="s">
        <v>17</v>
      </c>
      <c r="W15" s="775">
        <f t="shared" si="2"/>
        <v>100</v>
      </c>
      <c r="X15" s="1816"/>
      <c r="Y15" s="3161" t="s">
        <v>2562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2"/>
      <c r="M16" s="1133"/>
      <c r="N16" s="1133"/>
      <c r="O16" s="1141"/>
      <c r="P16" s="3162"/>
      <c r="Q16" s="1813"/>
      <c r="R16" s="774"/>
      <c r="S16" s="775"/>
      <c r="T16" s="774"/>
      <c r="U16" s="775"/>
      <c r="V16" s="774"/>
      <c r="W16" s="775"/>
      <c r="X16" s="1816"/>
      <c r="Y16" s="3162"/>
      <c r="Z16" s="1817"/>
      <c r="AA16" s="1814">
        <v>1</v>
      </c>
      <c r="AB16" s="1814">
        <v>1</v>
      </c>
      <c r="AC16" s="1814">
        <v>1</v>
      </c>
    </row>
    <row r="17" spans="1:29" ht="57">
      <c r="A17" s="428"/>
      <c r="B17" s="451" t="s">
        <v>2655</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62"/>
      <c r="Q17" s="1813" t="str">
        <f>B17</f>
        <v>商业繁华度</v>
      </c>
      <c r="R17" s="774" t="s">
        <v>17</v>
      </c>
      <c r="S17" s="775">
        <f>F17</f>
        <v>100</v>
      </c>
      <c r="T17" s="774" t="s">
        <v>17</v>
      </c>
      <c r="U17" s="775">
        <f>H17</f>
        <v>100</v>
      </c>
      <c r="V17" s="774" t="s">
        <v>17</v>
      </c>
      <c r="W17" s="775">
        <f>J17</f>
        <v>100</v>
      </c>
      <c r="X17" s="1816"/>
      <c r="Y17" s="3162"/>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2"/>
      <c r="M18" s="1133"/>
      <c r="N18" s="1133"/>
      <c r="O18" s="1141"/>
      <c r="P18" s="3162"/>
      <c r="Q18" s="1813"/>
      <c r="R18" s="774"/>
      <c r="S18" s="775"/>
      <c r="T18" s="774"/>
      <c r="U18" s="775"/>
      <c r="V18" s="774"/>
      <c r="W18" s="775"/>
      <c r="X18" s="1816"/>
      <c r="Y18" s="3162"/>
      <c r="Z18" s="1817"/>
      <c r="AA18" s="1814">
        <v>1</v>
      </c>
      <c r="AB18" s="1814">
        <v>1</v>
      </c>
      <c r="AC18" s="1814">
        <v>1</v>
      </c>
    </row>
    <row r="19" spans="1:29" ht="71.25">
      <c r="A19" s="428"/>
      <c r="B19" s="451" t="s">
        <v>2689</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62"/>
      <c r="Q19" s="1813" t="str">
        <f>B19</f>
        <v>办公集聚程度</v>
      </c>
      <c r="R19" s="774" t="s">
        <v>17</v>
      </c>
      <c r="S19" s="775">
        <f>F19</f>
        <v>100</v>
      </c>
      <c r="T19" s="774" t="s">
        <v>17</v>
      </c>
      <c r="U19" s="775">
        <f>H19</f>
        <v>100</v>
      </c>
      <c r="V19" s="774" t="s">
        <v>17</v>
      </c>
      <c r="W19" s="775">
        <f>J19</f>
        <v>100</v>
      </c>
      <c r="X19" s="1816"/>
      <c r="Y19" s="3162"/>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2"/>
      <c r="M20" s="1133"/>
      <c r="N20" s="1133"/>
      <c r="O20" s="1141"/>
      <c r="P20" s="3162"/>
      <c r="Q20" s="1813"/>
      <c r="R20" s="774"/>
      <c r="S20" s="775"/>
      <c r="T20" s="774"/>
      <c r="U20" s="775"/>
      <c r="V20" s="774"/>
      <c r="W20" s="775"/>
      <c r="X20" s="1816"/>
      <c r="Y20" s="3162"/>
      <c r="Z20" s="1817"/>
      <c r="AA20" s="1814">
        <v>1</v>
      </c>
      <c r="AB20" s="1814">
        <v>1</v>
      </c>
      <c r="AC20" s="1814">
        <v>1</v>
      </c>
    </row>
    <row r="21" spans="1:29" ht="71.25">
      <c r="A21" s="428"/>
      <c r="B21" s="451" t="s">
        <v>2711</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62"/>
      <c r="Q21" s="1813" t="str">
        <f>B21</f>
        <v>交通便捷度</v>
      </c>
      <c r="R21" s="774" t="s">
        <v>17</v>
      </c>
      <c r="S21" s="775">
        <f>F21</f>
        <v>100</v>
      </c>
      <c r="T21" s="774" t="s">
        <v>17</v>
      </c>
      <c r="U21" s="775">
        <f>H21</f>
        <v>100</v>
      </c>
      <c r="V21" s="774" t="s">
        <v>17</v>
      </c>
      <c r="W21" s="775">
        <f>J21</f>
        <v>100</v>
      </c>
      <c r="X21" s="1816"/>
      <c r="Y21" s="3162"/>
      <c r="Z21" s="1817" t="str">
        <f>Q21</f>
        <v>交通便捷度</v>
      </c>
      <c r="AA21" s="1814">
        <f t="shared" si="3"/>
        <v>1</v>
      </c>
      <c r="AB21" s="1814">
        <f t="shared" si="4"/>
        <v>1</v>
      </c>
      <c r="AC21" s="1814">
        <f t="shared" si="5"/>
        <v>1</v>
      </c>
    </row>
    <row r="22" spans="1:29" ht="15">
      <c r="A22" s="428"/>
      <c r="B22" s="1386"/>
      <c r="C22" s="447"/>
      <c r="D22" s="450"/>
      <c r="E22" s="2606"/>
      <c r="F22" s="448"/>
      <c r="G22" s="2606"/>
      <c r="H22" s="448"/>
      <c r="I22" s="2605"/>
      <c r="J22" s="448"/>
      <c r="K22" s="672"/>
      <c r="L22" s="1142"/>
      <c r="M22" s="1133"/>
      <c r="N22" s="1133"/>
      <c r="O22" s="1141"/>
      <c r="P22" s="3162"/>
      <c r="Q22" s="1813"/>
      <c r="R22" s="774"/>
      <c r="S22" s="775"/>
      <c r="T22" s="774"/>
      <c r="U22" s="775"/>
      <c r="V22" s="774"/>
      <c r="W22" s="775"/>
      <c r="X22" s="1816"/>
      <c r="Y22" s="3162"/>
      <c r="Z22" s="1817"/>
      <c r="AA22" s="1814">
        <v>1</v>
      </c>
      <c r="AB22" s="1814">
        <v>1</v>
      </c>
      <c r="AC22" s="1814">
        <v>1</v>
      </c>
    </row>
    <row r="23" spans="1:29" ht="15">
      <c r="A23" s="404"/>
      <c r="B23" s="451" t="s">
        <v>2750</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62"/>
      <c r="Q23" s="1813" t="str">
        <f t="shared" ref="Q23:Q37" si="8">B23</f>
        <v>区域土地利用方向</v>
      </c>
      <c r="R23" s="774" t="s">
        <v>17</v>
      </c>
      <c r="S23" s="775">
        <f>F23</f>
        <v>100</v>
      </c>
      <c r="T23" s="774" t="s">
        <v>17</v>
      </c>
      <c r="U23" s="775">
        <f>H23</f>
        <v>100</v>
      </c>
      <c r="V23" s="774" t="s">
        <v>17</v>
      </c>
      <c r="W23" s="775">
        <f>J23</f>
        <v>100</v>
      </c>
      <c r="X23" s="1816"/>
      <c r="Y23" s="3162"/>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1"/>
      <c r="L24" s="1142"/>
      <c r="M24" s="1133"/>
      <c r="N24" s="1133"/>
      <c r="O24" s="1141"/>
      <c r="P24" s="3162"/>
      <c r="Q24" s="1813"/>
      <c r="R24" s="774"/>
      <c r="S24" s="775"/>
      <c r="T24" s="774"/>
      <c r="U24" s="775"/>
      <c r="V24" s="774"/>
      <c r="W24" s="775"/>
      <c r="X24" s="1816"/>
      <c r="Y24" s="3162"/>
      <c r="Z24" s="1817"/>
      <c r="AA24" s="1814"/>
      <c r="AB24" s="1814"/>
      <c r="AC24" s="1814"/>
    </row>
    <row r="25" spans="1:29" ht="42.75">
      <c r="A25" s="404"/>
      <c r="B25" s="1386" t="s">
        <v>2751</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62"/>
      <c r="Q25" s="1813" t="str">
        <f t="shared" si="8"/>
        <v>自然及人文环境状况</v>
      </c>
      <c r="R25" s="774" t="s">
        <v>17</v>
      </c>
      <c r="S25" s="775">
        <f>F25</f>
        <v>100</v>
      </c>
      <c r="T25" s="774" t="s">
        <v>17</v>
      </c>
      <c r="U25" s="775">
        <f>H25</f>
        <v>100</v>
      </c>
      <c r="V25" s="774" t="s">
        <v>17</v>
      </c>
      <c r="W25" s="775">
        <f>J25</f>
        <v>100</v>
      </c>
      <c r="X25" s="1816"/>
      <c r="Y25" s="3162"/>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2"/>
      <c r="M26" s="1133"/>
      <c r="N26" s="1133"/>
      <c r="O26" s="1141"/>
      <c r="P26" s="3162"/>
      <c r="Q26" s="1813"/>
      <c r="R26" s="774"/>
      <c r="S26" s="775"/>
      <c r="T26" s="774"/>
      <c r="U26" s="775"/>
      <c r="V26" s="774"/>
      <c r="W26" s="775"/>
      <c r="X26" s="1816"/>
      <c r="Y26" s="3162"/>
      <c r="Z26" s="1817"/>
      <c r="AA26" s="1814">
        <v>1</v>
      </c>
      <c r="AB26" s="1814">
        <v>1</v>
      </c>
      <c r="AC26" s="1814">
        <v>1</v>
      </c>
    </row>
    <row r="27" spans="1:29" s="117" customFormat="1" ht="42.75">
      <c r="A27" s="649"/>
      <c r="B27" s="1386" t="s">
        <v>2656</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62"/>
      <c r="Q27" s="1798" t="str">
        <f t="shared" si="8"/>
        <v>公共配套设施</v>
      </c>
      <c r="R27" s="770" t="s">
        <v>17</v>
      </c>
      <c r="S27" s="771">
        <f>F27</f>
        <v>100</v>
      </c>
      <c r="T27" s="770" t="s">
        <v>17</v>
      </c>
      <c r="U27" s="771">
        <f>H27</f>
        <v>100</v>
      </c>
      <c r="V27" s="770" t="s">
        <v>17</v>
      </c>
      <c r="W27" s="771">
        <f>J27</f>
        <v>100</v>
      </c>
      <c r="X27" s="772"/>
      <c r="Y27" s="3162"/>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4"/>
      <c r="M28" s="1135"/>
      <c r="N28" s="1135"/>
      <c r="O28" s="1136"/>
      <c r="P28" s="3162"/>
      <c r="Q28" s="1798"/>
      <c r="R28" s="770"/>
      <c r="S28" s="771"/>
      <c r="T28" s="770"/>
      <c r="U28" s="771"/>
      <c r="V28" s="770"/>
      <c r="W28" s="771"/>
      <c r="X28" s="772"/>
      <c r="Y28" s="3162"/>
      <c r="Z28" s="55"/>
      <c r="AA28" s="1814">
        <v>1</v>
      </c>
      <c r="AB28" s="1814">
        <v>1</v>
      </c>
      <c r="AC28" s="1814">
        <v>1</v>
      </c>
    </row>
    <row r="29" spans="1:29" s="117" customFormat="1" ht="28.5">
      <c r="A29" s="649"/>
      <c r="B29" s="1386" t="s">
        <v>2657</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62"/>
      <c r="Q29" s="1798" t="str">
        <f t="shared" ref="Q29" si="9">B29</f>
        <v>基础设施水平</v>
      </c>
      <c r="R29" s="770" t="s">
        <v>17</v>
      </c>
      <c r="S29" s="771">
        <f>F29</f>
        <v>100</v>
      </c>
      <c r="T29" s="770" t="s">
        <v>17</v>
      </c>
      <c r="U29" s="771">
        <f>H29</f>
        <v>100</v>
      </c>
      <c r="V29" s="770" t="s">
        <v>17</v>
      </c>
      <c r="W29" s="771">
        <f>J29</f>
        <v>100</v>
      </c>
      <c r="X29" s="772"/>
      <c r="Y29" s="3162"/>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4"/>
      <c r="M30" s="1135"/>
      <c r="N30" s="1135"/>
      <c r="O30" s="1136"/>
      <c r="P30" s="3162"/>
      <c r="Q30" s="1798"/>
      <c r="R30" s="770"/>
      <c r="S30" s="771"/>
      <c r="T30" s="770"/>
      <c r="U30" s="771"/>
      <c r="V30" s="770"/>
      <c r="W30" s="771"/>
      <c r="X30" s="772"/>
      <c r="Y30" s="3162"/>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6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2"/>
      <c r="Z31" s="1817" t="str">
        <f t="shared" ref="Z31:Z45" si="13">Q31</f>
        <v>临街状况</v>
      </c>
      <c r="AA31" s="1814">
        <f t="shared" si="3"/>
        <v>1</v>
      </c>
      <c r="AB31" s="1814">
        <f t="shared" si="4"/>
        <v>1</v>
      </c>
      <c r="AC31" s="1814">
        <f t="shared" si="5"/>
        <v>1</v>
      </c>
    </row>
    <row r="32" spans="1:29" ht="27">
      <c r="A32" s="428"/>
      <c r="B32" s="1386"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62"/>
      <c r="Q32" s="1813" t="str">
        <f t="shared" si="8"/>
        <v>毗邻道路的类型与等级</v>
      </c>
      <c r="R32" s="774" t="s">
        <v>17</v>
      </c>
      <c r="S32" s="775">
        <f t="shared" si="10"/>
        <v>100</v>
      </c>
      <c r="T32" s="774" t="s">
        <v>17</v>
      </c>
      <c r="U32" s="775">
        <f t="shared" si="11"/>
        <v>100</v>
      </c>
      <c r="V32" s="774" t="s">
        <v>17</v>
      </c>
      <c r="W32" s="775">
        <f t="shared" si="12"/>
        <v>100</v>
      </c>
      <c r="X32" s="1816"/>
      <c r="Y32" s="3162"/>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2"/>
      <c r="M33" s="1133"/>
      <c r="N33" s="1133"/>
      <c r="O33" s="1141"/>
      <c r="P33" s="3162"/>
      <c r="Q33" s="1813"/>
      <c r="R33" s="774"/>
      <c r="S33" s="775"/>
      <c r="T33" s="774"/>
      <c r="U33" s="775"/>
      <c r="V33" s="774"/>
      <c r="W33" s="775"/>
      <c r="X33" s="1816"/>
      <c r="Y33" s="3162"/>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62"/>
      <c r="Q34" s="1813" t="str">
        <f t="shared" si="8"/>
        <v>土地级别</v>
      </c>
      <c r="R34" s="774" t="s">
        <v>17</v>
      </c>
      <c r="S34" s="775">
        <f t="shared" si="10"/>
        <v>100</v>
      </c>
      <c r="T34" s="774" t="s">
        <v>17</v>
      </c>
      <c r="U34" s="775">
        <f t="shared" si="11"/>
        <v>100</v>
      </c>
      <c r="V34" s="774" t="s">
        <v>17</v>
      </c>
      <c r="W34" s="775">
        <f t="shared" si="12"/>
        <v>100</v>
      </c>
      <c r="X34" s="1816"/>
      <c r="Y34" s="3162"/>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62"/>
      <c r="Q35" s="1813">
        <f t="shared" si="8"/>
        <v>111</v>
      </c>
      <c r="R35" s="774" t="s">
        <v>17</v>
      </c>
      <c r="S35" s="775">
        <f t="shared" si="10"/>
        <v>100</v>
      </c>
      <c r="T35" s="774" t="s">
        <v>17</v>
      </c>
      <c r="U35" s="775">
        <f t="shared" si="11"/>
        <v>100</v>
      </c>
      <c r="V35" s="774" t="s">
        <v>17</v>
      </c>
      <c r="W35" s="775">
        <f t="shared" si="12"/>
        <v>100</v>
      </c>
      <c r="X35" s="1816"/>
      <c r="Y35" s="3162"/>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6" t="s">
        <v>2567</v>
      </c>
      <c r="Q36" s="1813">
        <f t="shared" si="8"/>
        <v>111</v>
      </c>
      <c r="R36" s="774" t="s">
        <v>17</v>
      </c>
      <c r="S36" s="775">
        <f t="shared" si="10"/>
        <v>100</v>
      </c>
      <c r="T36" s="774" t="s">
        <v>17</v>
      </c>
      <c r="U36" s="775">
        <f t="shared" si="11"/>
        <v>100</v>
      </c>
      <c r="V36" s="774" t="s">
        <v>17</v>
      </c>
      <c r="W36" s="775">
        <f t="shared" si="12"/>
        <v>100</v>
      </c>
      <c r="X36" s="1816"/>
      <c r="Y36" s="3166" t="s">
        <v>2567</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66"/>
      <c r="Q37" s="1813">
        <f t="shared" si="8"/>
        <v>111</v>
      </c>
      <c r="R37" s="777" t="s">
        <v>17</v>
      </c>
      <c r="S37" s="778">
        <f t="shared" si="10"/>
        <v>100</v>
      </c>
      <c r="T37" s="777" t="s">
        <v>17</v>
      </c>
      <c r="U37" s="778">
        <f t="shared" si="11"/>
        <v>100</v>
      </c>
      <c r="V37" s="777" t="s">
        <v>17</v>
      </c>
      <c r="W37" s="778">
        <f t="shared" si="12"/>
        <v>100</v>
      </c>
      <c r="X37" s="779"/>
      <c r="Y37" s="3166"/>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66"/>
      <c r="Q38" s="1813" t="str">
        <f>B38</f>
        <v>宗地面积</v>
      </c>
      <c r="R38" s="774" t="s">
        <v>17</v>
      </c>
      <c r="S38" s="775" t="e">
        <f t="shared" si="10"/>
        <v>#N/A</v>
      </c>
      <c r="T38" s="774" t="s">
        <v>17</v>
      </c>
      <c r="U38" s="775" t="e">
        <f t="shared" si="11"/>
        <v>#N/A</v>
      </c>
      <c r="V38" s="774" t="s">
        <v>17</v>
      </c>
      <c r="W38" s="775" t="e">
        <f t="shared" si="12"/>
        <v>#N/A</v>
      </c>
      <c r="X38" s="1816"/>
      <c r="Y38" s="3166"/>
      <c r="Z38" s="1817" t="str">
        <f t="shared" si="13"/>
        <v>宗地面积</v>
      </c>
      <c r="AA38" s="1814" t="e">
        <f t="shared" si="3"/>
        <v>#N/A</v>
      </c>
      <c r="AB38" s="1814" t="e">
        <f t="shared" si="4"/>
        <v>#N/A</v>
      </c>
      <c r="AC38" s="1814" t="e">
        <f t="shared" si="5"/>
        <v>#N/A</v>
      </c>
    </row>
    <row r="39" spans="1:29" ht="15">
      <c r="A39" s="472"/>
      <c r="B39" s="422" t="s">
        <v>2754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166"/>
      <c r="Q39" s="1813" t="str">
        <f t="shared" ref="Q39:Q45" si="14">B39</f>
        <v>宗地形状</v>
      </c>
      <c r="R39" s="774" t="s">
        <v>17</v>
      </c>
      <c r="S39" s="775">
        <f t="shared" si="10"/>
        <v>100</v>
      </c>
      <c r="T39" s="774" t="s">
        <v>17</v>
      </c>
      <c r="U39" s="775">
        <f t="shared" si="11"/>
        <v>100</v>
      </c>
      <c r="V39" s="774" t="s">
        <v>17</v>
      </c>
      <c r="W39" s="775">
        <f t="shared" si="12"/>
        <v>100</v>
      </c>
      <c r="X39" s="1816"/>
      <c r="Y39" s="3166"/>
      <c r="Z39" s="1817" t="str">
        <f t="shared" si="13"/>
        <v>宗地形状</v>
      </c>
      <c r="AA39" s="1814">
        <f t="shared" si="3"/>
        <v>1</v>
      </c>
      <c r="AB39" s="1814">
        <f t="shared" si="4"/>
        <v>1</v>
      </c>
      <c r="AC39" s="1814">
        <f t="shared" si="5"/>
        <v>1</v>
      </c>
    </row>
    <row r="40" spans="1:29" ht="15">
      <c r="A40" s="472"/>
      <c r="B40" s="422" t="s">
        <v>2755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166"/>
      <c r="Q40" s="1813" t="str">
        <f t="shared" si="14"/>
        <v>临街宽度及深度</v>
      </c>
      <c r="R40" s="774" t="s">
        <v>17</v>
      </c>
      <c r="S40" s="775">
        <f t="shared" si="10"/>
        <v>100</v>
      </c>
      <c r="T40" s="774" t="s">
        <v>17</v>
      </c>
      <c r="U40" s="775">
        <f t="shared" si="11"/>
        <v>100</v>
      </c>
      <c r="V40" s="774" t="s">
        <v>17</v>
      </c>
      <c r="W40" s="775">
        <f t="shared" si="12"/>
        <v>100</v>
      </c>
      <c r="X40" s="1816"/>
      <c r="Y40" s="3166"/>
      <c r="Z40" s="1817" t="str">
        <f t="shared" si="13"/>
        <v>临街宽度及深度</v>
      </c>
      <c r="AA40" s="1814">
        <f t="shared" si="3"/>
        <v>1</v>
      </c>
      <c r="AB40" s="1814">
        <f t="shared" si="4"/>
        <v>1</v>
      </c>
      <c r="AC40" s="1814">
        <f t="shared" si="5"/>
        <v>1</v>
      </c>
    </row>
    <row r="41" spans="1:29" s="117" customFormat="1" ht="15">
      <c r="A41" s="473"/>
      <c r="B41" s="422" t="s">
        <v>2756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166"/>
      <c r="Q41" s="1813" t="str">
        <f t="shared" si="14"/>
        <v>宗地开发程度</v>
      </c>
      <c r="R41" s="770" t="s">
        <v>17</v>
      </c>
      <c r="S41" s="771">
        <f t="shared" si="10"/>
        <v>100</v>
      </c>
      <c r="T41" s="770" t="s">
        <v>17</v>
      </c>
      <c r="U41" s="771">
        <f t="shared" si="11"/>
        <v>100</v>
      </c>
      <c r="V41" s="770" t="s">
        <v>17</v>
      </c>
      <c r="W41" s="771">
        <f t="shared" si="12"/>
        <v>100</v>
      </c>
      <c r="X41" s="772"/>
      <c r="Y41" s="3166"/>
      <c r="Z41" s="55" t="str">
        <f t="shared" si="13"/>
        <v>宗地开发程度</v>
      </c>
      <c r="AA41" s="773">
        <f t="shared" si="3"/>
        <v>1</v>
      </c>
      <c r="AB41" s="773">
        <f t="shared" si="4"/>
        <v>1</v>
      </c>
      <c r="AC41" s="773">
        <f t="shared" si="5"/>
        <v>1</v>
      </c>
    </row>
    <row r="42" spans="1:29" ht="15">
      <c r="A42" s="472"/>
      <c r="B42" s="422" t="s">
        <v>2757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166" t="s">
        <v>2567</v>
      </c>
      <c r="Q42" s="1813" t="str">
        <f t="shared" si="14"/>
        <v>工程地质条件</v>
      </c>
      <c r="R42" s="774" t="s">
        <v>17</v>
      </c>
      <c r="S42" s="775">
        <f t="shared" si="10"/>
        <v>100</v>
      </c>
      <c r="T42" s="774" t="s">
        <v>17</v>
      </c>
      <c r="U42" s="775">
        <f t="shared" si="11"/>
        <v>100</v>
      </c>
      <c r="V42" s="774" t="s">
        <v>17</v>
      </c>
      <c r="W42" s="775">
        <f t="shared" si="12"/>
        <v>100</v>
      </c>
      <c r="X42" s="1816"/>
      <c r="Y42" s="3166" t="s">
        <v>2567</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66"/>
      <c r="Q43" s="1813">
        <f t="shared" si="14"/>
        <v>111</v>
      </c>
      <c r="R43" s="774" t="s">
        <v>17</v>
      </c>
      <c r="S43" s="775">
        <f t="shared" si="10"/>
        <v>100</v>
      </c>
      <c r="T43" s="774" t="s">
        <v>17</v>
      </c>
      <c r="U43" s="775">
        <f t="shared" si="11"/>
        <v>100</v>
      </c>
      <c r="V43" s="774" t="s">
        <v>17</v>
      </c>
      <c r="W43" s="775">
        <f t="shared" si="12"/>
        <v>100</v>
      </c>
      <c r="X43" s="1816"/>
      <c r="Y43" s="3166"/>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66"/>
      <c r="Q44" s="1813">
        <f t="shared" si="14"/>
        <v>111</v>
      </c>
      <c r="R44" s="774" t="s">
        <v>17</v>
      </c>
      <c r="S44" s="775">
        <f t="shared" si="10"/>
        <v>100</v>
      </c>
      <c r="T44" s="774" t="s">
        <v>17</v>
      </c>
      <c r="U44" s="775">
        <f t="shared" si="11"/>
        <v>100</v>
      </c>
      <c r="V44" s="774" t="s">
        <v>17</v>
      </c>
      <c r="W44" s="775">
        <f t="shared" si="12"/>
        <v>100</v>
      </c>
      <c r="X44" s="1816"/>
      <c r="Y44" s="3166"/>
      <c r="Z44" s="1817">
        <f t="shared" si="13"/>
        <v>111</v>
      </c>
      <c r="AA44" s="1814">
        <f t="shared" si="3"/>
        <v>1</v>
      </c>
      <c r="AB44" s="1814">
        <f t="shared" si="4"/>
        <v>1</v>
      </c>
      <c r="AC44" s="1814">
        <f t="shared" si="5"/>
        <v>1</v>
      </c>
    </row>
    <row r="45" spans="1:29" s="471" customFormat="1" ht="15.75"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66"/>
      <c r="Q45" s="1813">
        <f t="shared" si="14"/>
        <v>111</v>
      </c>
      <c r="R45" s="777" t="s">
        <v>17</v>
      </c>
      <c r="S45" s="778">
        <f t="shared" si="10"/>
        <v>100</v>
      </c>
      <c r="T45" s="777" t="s">
        <v>17</v>
      </c>
      <c r="U45" s="778">
        <f t="shared" si="11"/>
        <v>100</v>
      </c>
      <c r="V45" s="777" t="s">
        <v>17</v>
      </c>
      <c r="W45" s="778">
        <f t="shared" si="12"/>
        <v>100</v>
      </c>
      <c r="X45" s="779"/>
      <c r="Y45" s="3166"/>
      <c r="Z45" s="780">
        <f t="shared" si="13"/>
        <v>111</v>
      </c>
      <c r="AA45" s="1814">
        <f t="shared" si="3"/>
        <v>1</v>
      </c>
      <c r="AB45" s="1814">
        <f t="shared" si="4"/>
        <v>1</v>
      </c>
      <c r="AC45" s="1814">
        <f t="shared" si="5"/>
        <v>1</v>
      </c>
    </row>
    <row r="46" spans="1:29" ht="15">
      <c r="A46" s="479" t="s">
        <v>2722</v>
      </c>
      <c r="B46" s="2705" t="s">
        <v>2758</v>
      </c>
      <c r="C46" s="682" t="s">
        <v>1</v>
      </c>
      <c r="D46" s="481"/>
      <c r="E46" s="482"/>
      <c r="F46" s="483"/>
      <c r="G46" s="484"/>
      <c r="H46" s="485"/>
      <c r="I46" s="482"/>
      <c r="J46" s="485"/>
      <c r="K46" s="783"/>
      <c r="L46" s="1145"/>
      <c r="M46" s="1146"/>
      <c r="N46" s="1133"/>
      <c r="O46" s="1146"/>
      <c r="P46" s="3159" t="str">
        <f>A46</f>
        <v>成交单价</v>
      </c>
      <c r="Q46" s="3159"/>
      <c r="R46" s="3190">
        <f>E46</f>
        <v>0</v>
      </c>
      <c r="S46" s="3190"/>
      <c r="T46" s="3190">
        <f>G46</f>
        <v>0</v>
      </c>
      <c r="U46" s="3190"/>
      <c r="V46" s="3190">
        <f>I46</f>
        <v>0</v>
      </c>
      <c r="W46" s="3190"/>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5"/>
      <c r="M47" s="1146"/>
      <c r="N47" s="1146"/>
      <c r="O47" s="1146"/>
      <c r="P47" s="3159" t="str">
        <f>A47</f>
        <v>比较价值（元/平方米）</v>
      </c>
      <c r="Q47" s="3159"/>
      <c r="R47" s="3202" t="e">
        <f>ROUND(PRODUCT(R46,AA7:AA45),0)</f>
        <v>#DIV/0!</v>
      </c>
      <c r="S47" s="3202"/>
      <c r="T47" s="3202" t="e">
        <f>ROUND(PRODUCT(T46,AB7:AB45),0)</f>
        <v>#DIV/0!</v>
      </c>
      <c r="U47" s="3202"/>
      <c r="V47" s="3202" t="e">
        <f>ROUND(PRODUCT(V46,AC7:AC45),0)</f>
        <v>#DIV/0!</v>
      </c>
      <c r="W47" s="3202"/>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5"/>
      <c r="M48" s="1146"/>
      <c r="N48" s="1146"/>
      <c r="O48" s="1146"/>
      <c r="P48" s="3156" t="str">
        <f>A48</f>
        <v>估价对象XX用房的比较价值（楼面单价，元/平方米）</v>
      </c>
      <c r="Q48" s="3157"/>
      <c r="R48" s="3203" t="e">
        <f>ROUND(AVERAGE(R47:V47),0)</f>
        <v>#DIV/0!</v>
      </c>
      <c r="S48" s="3203"/>
      <c r="T48" s="3203"/>
      <c r="U48" s="3203"/>
      <c r="V48" s="3203"/>
      <c r="W48" s="3203"/>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2760</v>
      </c>
      <c r="B55" s="685" t="s">
        <v>2761</v>
      </c>
      <c r="C55" s="2706" t="s">
        <v>2762</v>
      </c>
      <c r="D55" s="2707" t="s">
        <v>2763</v>
      </c>
      <c r="E55" s="686" t="s">
        <v>2764</v>
      </c>
      <c r="F55" s="1109" t="s">
        <v>2765</v>
      </c>
      <c r="G55" s="3174" t="s">
        <v>2766</v>
      </c>
      <c r="H55" s="3204"/>
      <c r="I55" s="144" t="s">
        <v>2767</v>
      </c>
      <c r="J55" s="2708">
        <f>项目基本情况!F35</f>
        <v>0</v>
      </c>
      <c r="K55" s="2709" t="s">
        <v>2768</v>
      </c>
      <c r="L55" s="1108"/>
      <c r="M55" s="1146"/>
      <c r="N55" s="1146"/>
      <c r="O55" s="1146"/>
    </row>
    <row r="56" spans="1:15" s="692" customFormat="1">
      <c r="A56" s="688" t="s">
        <v>2769</v>
      </c>
      <c r="B56" s="689" t="e">
        <f>C48</f>
        <v>#DIV/0!</v>
      </c>
      <c r="C56" s="690">
        <v>1</v>
      </c>
      <c r="D56" s="1165">
        <v>1</v>
      </c>
      <c r="E56" s="690">
        <f>'数据-汇总表'!E8+'数据-汇总表'!E9</f>
        <v>16162.07</v>
      </c>
      <c r="F56" s="1105" t="e">
        <f t="shared" ref="F56:F65" si="15">ROUND(B56*E56/10000,0)</f>
        <v>#DIV/0!</v>
      </c>
      <c r="G56" s="3170"/>
      <c r="H56" s="3159"/>
      <c r="I56" s="1110">
        <v>1</v>
      </c>
      <c r="J56" s="1113">
        <v>1</v>
      </c>
      <c r="K56" s="1147"/>
      <c r="L56" s="943"/>
      <c r="M56" s="943"/>
      <c r="N56" s="943"/>
      <c r="O56" s="943"/>
    </row>
    <row r="57" spans="1:15" s="692" customFormat="1">
      <c r="A57" s="693" t="s">
        <v>2770</v>
      </c>
      <c r="B57" s="262" t="e">
        <f>ROUND($C$48*C57*D57,0)</f>
        <v>#DIV/0!</v>
      </c>
      <c r="C57" s="200">
        <f t="shared" ref="C57:C65" si="16">IF($C$55="北京市系数",I57,J57)</f>
        <v>0</v>
      </c>
      <c r="D57" s="1166">
        <v>0.25</v>
      </c>
      <c r="E57" s="694"/>
      <c r="F57" s="1105" t="e">
        <f t="shared" si="15"/>
        <v>#DIV/0!</v>
      </c>
      <c r="G57" s="3205" t="s">
        <v>2771</v>
      </c>
      <c r="H57" s="1106">
        <f>项目基本情况!B37</f>
        <v>0</v>
      </c>
      <c r="I57" s="1110">
        <f>SUMIF(修正!A45:A56,H57,修正!B45:B56)</f>
        <v>0</v>
      </c>
      <c r="J57" s="1114"/>
      <c r="K57" s="1146"/>
      <c r="L57" s="943"/>
      <c r="M57" s="943"/>
      <c r="N57" s="943"/>
      <c r="O57" s="943"/>
    </row>
    <row r="58" spans="1:15" s="692" customFormat="1">
      <c r="A58" s="693" t="s">
        <v>2772</v>
      </c>
      <c r="B58" s="262" t="e">
        <f t="shared" ref="B58:B65" si="17">ROUND($C$48*C58*D58,0)</f>
        <v>#DIV/0!</v>
      </c>
      <c r="C58" s="200">
        <f t="shared" si="16"/>
        <v>0</v>
      </c>
      <c r="D58" s="1166">
        <v>0.25</v>
      </c>
      <c r="E58" s="694"/>
      <c r="F58" s="1105" t="e">
        <f t="shared" si="15"/>
        <v>#DIV/0!</v>
      </c>
      <c r="G58" s="3205"/>
      <c r="H58" s="1106">
        <f>项目基本情况!B37</f>
        <v>0</v>
      </c>
      <c r="I58" s="1110">
        <f>SUMIF(修正!A45:A56,H58,修正!C45:C56)</f>
        <v>0</v>
      </c>
      <c r="J58" s="1114"/>
      <c r="K58" s="1147"/>
      <c r="L58" s="943"/>
      <c r="M58" s="943"/>
      <c r="N58" s="943"/>
      <c r="O58" s="943"/>
    </row>
    <row r="59" spans="1:15" s="692" customFormat="1">
      <c r="A59" s="693" t="s">
        <v>2773</v>
      </c>
      <c r="B59" s="262" t="e">
        <f t="shared" si="17"/>
        <v>#DIV/0!</v>
      </c>
      <c r="C59" s="200">
        <f t="shared" si="16"/>
        <v>0</v>
      </c>
      <c r="D59" s="1166">
        <v>0.25</v>
      </c>
      <c r="E59" s="694"/>
      <c r="F59" s="1105" t="e">
        <f t="shared" si="15"/>
        <v>#DIV/0!</v>
      </c>
      <c r="G59" s="3205"/>
      <c r="H59" s="1106">
        <f>项目基本情况!B37</f>
        <v>0</v>
      </c>
      <c r="I59" s="1110">
        <f>SUMIF(修正!A45:A56,H59,修正!D45:D56)</f>
        <v>0</v>
      </c>
      <c r="J59" s="1114"/>
      <c r="K59" s="1146"/>
      <c r="L59" s="943"/>
      <c r="M59" s="943"/>
      <c r="N59" s="943"/>
      <c r="O59" s="943"/>
    </row>
    <row r="60" spans="1:15" s="692" customFormat="1">
      <c r="A60" s="693" t="s">
        <v>2774</v>
      </c>
      <c r="B60" s="262" t="e">
        <f t="shared" si="17"/>
        <v>#DIV/0!</v>
      </c>
      <c r="C60" s="200">
        <f t="shared" si="16"/>
        <v>0</v>
      </c>
      <c r="D60" s="1166">
        <v>0.25</v>
      </c>
      <c r="E60" s="694"/>
      <c r="F60" s="1105" t="e">
        <f t="shared" si="15"/>
        <v>#DIV/0!</v>
      </c>
      <c r="G60" s="3205"/>
      <c r="H60" s="1106">
        <f>项目基本情况!B37</f>
        <v>0</v>
      </c>
      <c r="I60" s="1110">
        <f>SUMIF(修正!A45:A56,H60,修正!E45:E56)</f>
        <v>0</v>
      </c>
      <c r="J60" s="1114"/>
      <c r="K60" s="1147"/>
      <c r="L60" s="943"/>
      <c r="M60" s="943"/>
      <c r="N60" s="943"/>
      <c r="O60" s="943"/>
    </row>
    <row r="61" spans="1:15" s="692" customFormat="1">
      <c r="A61" s="693" t="s">
        <v>2775</v>
      </c>
      <c r="B61" s="262" t="e">
        <f t="shared" si="17"/>
        <v>#DIV/0!</v>
      </c>
      <c r="C61" s="200">
        <f t="shared" si="16"/>
        <v>0</v>
      </c>
      <c r="D61" s="1166">
        <v>0.25</v>
      </c>
      <c r="E61" s="261">
        <f>'数据-汇总表'!E11</f>
        <v>0</v>
      </c>
      <c r="F61" s="1105" t="e">
        <f t="shared" si="15"/>
        <v>#DIV/0!</v>
      </c>
      <c r="G61" s="2710" t="s">
        <v>2776</v>
      </c>
      <c r="H61" s="1106">
        <f>项目基本情况!C37</f>
        <v>0</v>
      </c>
      <c r="I61" s="1110">
        <f>SUMIF(修正!A45:A56,H61,修正!F45:F56)</f>
        <v>0</v>
      </c>
      <c r="J61" s="1114"/>
      <c r="K61" s="1146"/>
      <c r="L61" s="943"/>
      <c r="M61" s="943"/>
      <c r="N61" s="943"/>
      <c r="O61" s="943"/>
    </row>
    <row r="62" spans="1:15" s="692" customFormat="1">
      <c r="A62" s="693" t="s">
        <v>2777</v>
      </c>
      <c r="B62" s="262" t="e">
        <f t="shared" si="17"/>
        <v>#DIV/0!</v>
      </c>
      <c r="C62" s="200">
        <f t="shared" si="16"/>
        <v>0</v>
      </c>
      <c r="D62" s="1166">
        <v>0.25</v>
      </c>
      <c r="E62" s="261">
        <f>'数据-汇总表'!E12</f>
        <v>562.44000000000005</v>
      </c>
      <c r="F62" s="1105" t="e">
        <f t="shared" si="15"/>
        <v>#DIV/0!</v>
      </c>
      <c r="G62" s="1111" t="s">
        <v>2778</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2779</v>
      </c>
      <c r="B63" s="262" t="e">
        <f t="shared" si="17"/>
        <v>#DIV/0!</v>
      </c>
      <c r="C63" s="200">
        <f t="shared" si="16"/>
        <v>0</v>
      </c>
      <c r="D63" s="1166">
        <v>0.25</v>
      </c>
      <c r="E63" s="261">
        <f>'数据-汇总表'!E13</f>
        <v>0</v>
      </c>
      <c r="F63" s="1105" t="e">
        <f t="shared" si="15"/>
        <v>#DIV/0!</v>
      </c>
      <c r="G63" s="1111" t="s">
        <v>2780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2781</v>
      </c>
      <c r="B64" s="262" t="e">
        <f t="shared" si="17"/>
        <v>#DIV/0!</v>
      </c>
      <c r="C64" s="200">
        <f t="shared" si="16"/>
        <v>0</v>
      </c>
      <c r="D64" s="1166">
        <v>0.25</v>
      </c>
      <c r="E64" s="261">
        <f>'数据-汇总表'!E14</f>
        <v>0</v>
      </c>
      <c r="F64" s="1105" t="e">
        <f t="shared" si="15"/>
        <v>#DIV/0!</v>
      </c>
      <c r="G64" s="2710" t="s">
        <v>2771</v>
      </c>
      <c r="H64" s="1106">
        <f>项目基本情况!B37</f>
        <v>0</v>
      </c>
      <c r="I64" s="1110">
        <f>SUMIF(修正!A45:A56,H64,修正!H45:H56)</f>
        <v>0</v>
      </c>
      <c r="J64" s="1114"/>
      <c r="K64" s="1147"/>
      <c r="L64" s="943"/>
      <c r="M64" s="943"/>
      <c r="N64" s="943"/>
      <c r="O64" s="943"/>
    </row>
    <row r="65" spans="1:17" s="692" customFormat="1" ht="15" thickBot="1">
      <c r="A65" s="693" t="s">
        <v>2782</v>
      </c>
      <c r="B65" s="262" t="e">
        <f t="shared" si="17"/>
        <v>#DIV/0!</v>
      </c>
      <c r="C65" s="200">
        <f t="shared" si="16"/>
        <v>0</v>
      </c>
      <c r="D65" s="1166">
        <v>0.25</v>
      </c>
      <c r="E65" s="261">
        <f>'数据-汇总表'!E15</f>
        <v>0</v>
      </c>
      <c r="F65" s="1105" t="e">
        <f t="shared" si="15"/>
        <v>#DIV/0!</v>
      </c>
      <c r="G65" s="2711" t="s">
        <v>2776</v>
      </c>
      <c r="H65" s="1116">
        <f>项目基本情况!C37</f>
        <v>0</v>
      </c>
      <c r="I65" s="1112">
        <f>SUMIF(修正!A45:A56,H65,修正!H45:H56)</f>
        <v>0</v>
      </c>
      <c r="J65" s="1115"/>
      <c r="K65" s="1146"/>
      <c r="L65" s="943"/>
      <c r="M65" s="943"/>
      <c r="N65" s="943"/>
      <c r="O65" s="943"/>
    </row>
    <row r="66" spans="1:17" s="692" customFormat="1" ht="13.5" thickBot="1">
      <c r="A66" s="695" t="s">
        <v>2783</v>
      </c>
      <c r="B66" s="696" t="s">
        <v>28</v>
      </c>
      <c r="C66" s="696" t="s">
        <v>29</v>
      </c>
      <c r="D66" s="696" t="s">
        <v>1029</v>
      </c>
      <c r="E66" s="696">
        <f>IF(B46="楼面地价",SUM(E56:E65),'数据-汇总表'!D3)</f>
        <v>16724.509999999998</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2676</v>
      </c>
      <c r="B69" s="759"/>
      <c r="C69" s="764"/>
      <c r="D69" s="764"/>
      <c r="E69" s="764"/>
      <c r="F69" s="765"/>
      <c r="G69" s="765"/>
      <c r="H69" s="764"/>
      <c r="I69" s="764"/>
      <c r="J69" s="1161"/>
      <c r="K69" s="1162"/>
      <c r="L69" s="1163"/>
      <c r="M69" s="1161"/>
      <c r="N69" s="1161"/>
      <c r="O69" s="1161"/>
      <c r="P69" s="503"/>
      <c r="Q69" s="504"/>
    </row>
    <row r="70" spans="1:17" s="508" customFormat="1" ht="15">
      <c r="A70" s="2712" t="s">
        <v>2784</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3" t="s">
        <v>3079</v>
      </c>
      <c r="B71" s="332" t="str">
        <f>"北京市平均增长率"&amp;TEXT(SUMIF(基准地价修正!N21:N25,A71,基准地价修正!P21:P25),"0.00%")</f>
        <v>北京市平均增长率2.49%</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4"/>
      <c r="P72" s="504"/>
      <c r="Q72" s="504"/>
    </row>
    <row r="73" spans="1:17" s="117" customFormat="1" ht="15">
      <c r="A73" s="521" t="s">
        <v>2552</v>
      </c>
      <c r="B73" s="510"/>
      <c r="C73" s="522" t="s">
        <v>2654</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2590</v>
      </c>
      <c r="B75" s="528" t="s">
        <v>2556</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2559</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2693</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2752</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8" zoomScale="80" zoomScaleNormal="80" workbookViewId="0">
      <selection activeCell="I42" sqref="I4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f>F61</f>
        <v>3126</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f>ROUND(IF(D3="",B2*10000/'数据-汇总表'!E3,B2*10000/D3),0)</f>
        <v>1869</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8.75" customHeight="1">
      <c r="A5" s="404"/>
      <c r="B5" s="405"/>
      <c r="C5" s="3193" t="s">
        <v>2544</v>
      </c>
      <c r="D5" s="3194"/>
      <c r="E5" s="3213" t="str">
        <f>土地案例!A2</f>
        <v>顺义新城第14街区SY00-0014-6001M1一类工业用地项目</v>
      </c>
      <c r="F5" s="3214"/>
      <c r="G5" s="3209" t="s">
        <v>3072</v>
      </c>
      <c r="H5" s="3210"/>
      <c r="I5" s="3209" t="s">
        <v>3073</v>
      </c>
      <c r="J5" s="3210"/>
      <c r="K5" s="610"/>
      <c r="L5" s="1132"/>
      <c r="M5" s="1133"/>
      <c r="N5" s="1133"/>
      <c r="O5" s="1133"/>
      <c r="P5" s="3180"/>
      <c r="Q5" s="3181"/>
      <c r="R5" s="3186"/>
      <c r="S5" s="3187"/>
      <c r="T5" s="3186"/>
      <c r="U5" s="3187"/>
      <c r="V5" s="3190"/>
      <c r="W5" s="3190"/>
      <c r="X5" s="1816"/>
      <c r="Y5" s="3186"/>
      <c r="Z5" s="3187"/>
      <c r="AA5" s="3172"/>
      <c r="AB5" s="3172"/>
      <c r="AC5" s="3172"/>
    </row>
    <row r="6" spans="1:29" ht="23.25" customHeight="1" thickBot="1">
      <c r="A6" s="406"/>
      <c r="B6" s="407"/>
      <c r="C6" s="3215" t="s">
        <v>2798</v>
      </c>
      <c r="D6" s="3216"/>
      <c r="E6" s="3211" t="s">
        <v>3199</v>
      </c>
      <c r="F6" s="3212"/>
      <c r="G6" s="3207" t="s">
        <v>3075</v>
      </c>
      <c r="H6" s="3208"/>
      <c r="I6" s="3207" t="s">
        <v>3076</v>
      </c>
      <c r="J6" s="3208"/>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t="str">
        <f>土地案例!H2</f>
        <v>2017-12-25</v>
      </c>
      <c r="F7" s="413">
        <f>SUMIF(65:65,YEAR(E7)&amp;"-"&amp;INT((MONTH(E7)+2)/3),66:66)</f>
        <v>100</v>
      </c>
      <c r="G7" s="2697">
        <v>42102</v>
      </c>
      <c r="H7" s="411">
        <f>SUMIF(65:65,YEAR(G7)&amp;"-"&amp;INT((MONTH(G7)+2)/3),66:66)</f>
        <v>85</v>
      </c>
      <c r="I7" s="2697">
        <v>42668</v>
      </c>
      <c r="J7" s="411">
        <f>SUMIF(65:65,YEAR(I7)&amp;"-"&amp;INT((MONTH(I7)+2)/3),66:66)</f>
        <v>94</v>
      </c>
      <c r="K7" s="611"/>
      <c r="L7" s="1134"/>
      <c r="M7" s="1135"/>
      <c r="N7" s="1135"/>
      <c r="O7" s="1135"/>
      <c r="P7" s="3195" t="s">
        <v>2551</v>
      </c>
      <c r="Q7" s="3197"/>
      <c r="R7" s="770" t="s">
        <v>17</v>
      </c>
      <c r="S7" s="771">
        <f t="shared" ref="S7:S15" si="0">F7</f>
        <v>100</v>
      </c>
      <c r="T7" s="770" t="s">
        <v>17</v>
      </c>
      <c r="U7" s="771">
        <f t="shared" ref="U7:U15" si="1">H7</f>
        <v>85</v>
      </c>
      <c r="V7" s="770" t="s">
        <v>17</v>
      </c>
      <c r="W7" s="771">
        <f t="shared" ref="W7:W15" si="2">J7</f>
        <v>94</v>
      </c>
      <c r="X7" s="772"/>
      <c r="Y7" s="3195" t="s">
        <v>2551</v>
      </c>
      <c r="Z7" s="3196"/>
      <c r="AA7" s="773">
        <f>D7/F7</f>
        <v>1</v>
      </c>
      <c r="AB7" s="773">
        <f>D7/H7</f>
        <v>1.1764705882352942</v>
      </c>
      <c r="AC7" s="773">
        <f>D7/J7</f>
        <v>1.0638297872340425</v>
      </c>
    </row>
    <row r="8" spans="1:29" s="117" customFormat="1" ht="15.75" thickBot="1">
      <c r="A8" s="408" t="s">
        <v>2552</v>
      </c>
      <c r="B8" s="409"/>
      <c r="C8" s="414" t="s">
        <v>2553</v>
      </c>
      <c r="D8" s="411">
        <v>100</v>
      </c>
      <c r="E8" s="414" t="s">
        <v>3050</v>
      </c>
      <c r="F8" s="413">
        <f>SUMIF(68:68,E8,69:69)-SUMIF(68:68,C8,69:69)+100</f>
        <v>100</v>
      </c>
      <c r="G8" s="414" t="s">
        <v>3050</v>
      </c>
      <c r="H8" s="411">
        <f>SUMIF(68:68,G8,69:69)-SUMIF(68:68,C8,69:69)+100</f>
        <v>100</v>
      </c>
      <c r="I8" s="414" t="s">
        <v>3050</v>
      </c>
      <c r="J8" s="411">
        <f>SUMIF(68:68,I8,69:69)-SUMIF(68:68,C8,69:69)+100</f>
        <v>100</v>
      </c>
      <c r="K8" s="611"/>
      <c r="L8" s="1134"/>
      <c r="M8" s="1135"/>
      <c r="N8" s="1135"/>
      <c r="O8" s="1135"/>
      <c r="P8" s="3195" t="s">
        <v>2554</v>
      </c>
      <c r="Q8" s="3196"/>
      <c r="R8" s="770" t="s">
        <v>17</v>
      </c>
      <c r="S8" s="771">
        <f t="shared" si="0"/>
        <v>100</v>
      </c>
      <c r="T8" s="770" t="s">
        <v>17</v>
      </c>
      <c r="U8" s="771">
        <f t="shared" si="1"/>
        <v>100</v>
      </c>
      <c r="V8" s="770" t="s">
        <v>17</v>
      </c>
      <c r="W8" s="771">
        <f t="shared" si="2"/>
        <v>100</v>
      </c>
      <c r="X8" s="772"/>
      <c r="Y8" s="3195" t="s">
        <v>2554</v>
      </c>
      <c r="Z8" s="3196"/>
      <c r="AA8" s="773">
        <f t="shared" ref="AA8:AA40" si="3">D8/F8</f>
        <v>1</v>
      </c>
      <c r="AB8" s="773">
        <f t="shared" ref="AB8:AB40" si="4">D8/H8</f>
        <v>1</v>
      </c>
      <c r="AC8" s="773">
        <f t="shared" ref="AC8:AC40" si="5">D8/J8</f>
        <v>1</v>
      </c>
    </row>
    <row r="9" spans="1:29" s="117" customFormat="1">
      <c r="A9" s="415" t="s">
        <v>2555</v>
      </c>
      <c r="B9" s="71" t="s">
        <v>2556</v>
      </c>
      <c r="C9" s="2700" t="s">
        <v>6</v>
      </c>
      <c r="D9" s="135">
        <v>100</v>
      </c>
      <c r="E9" s="2700" t="s">
        <v>6</v>
      </c>
      <c r="F9" s="135">
        <f>SUMIF(70:70,E9,71:71)-SUMIF(70:70,C9,71:71)+100</f>
        <v>100</v>
      </c>
      <c r="G9" s="2950" t="s">
        <v>3080</v>
      </c>
      <c r="H9" s="135">
        <f>SUMIF(70:70,G9,71:71)-SUMIF(70:70,C9,71:71)+100</f>
        <v>100</v>
      </c>
      <c r="I9" s="2700" t="s">
        <v>6</v>
      </c>
      <c r="J9" s="135">
        <f>SUMIF(70:70,I9,71:71)-SUMIF(70:70,C9,71:71)+100</f>
        <v>100</v>
      </c>
      <c r="K9" s="611"/>
      <c r="L9" s="1134"/>
      <c r="M9" s="1135"/>
      <c r="N9" s="1135"/>
      <c r="O9" s="1136"/>
      <c r="P9" s="3159"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109</v>
      </c>
      <c r="G10" s="432"/>
      <c r="H10" s="136">
        <f>ROUND(100/'数据-取费表'!G16,0)</f>
        <v>109</v>
      </c>
      <c r="I10" s="432"/>
      <c r="J10" s="136">
        <f>ROUND(100/'数据-取费表'!G16,0)</f>
        <v>109</v>
      </c>
      <c r="K10" s="672"/>
      <c r="L10" s="1137"/>
      <c r="M10" s="1138"/>
      <c r="N10" s="1138"/>
      <c r="O10" s="1139"/>
      <c r="P10" s="3159"/>
      <c r="Q10" s="1798" t="str">
        <f t="shared" si="6"/>
        <v>土地使用年限（年）</v>
      </c>
      <c r="R10" s="770" t="s">
        <v>17</v>
      </c>
      <c r="S10" s="771">
        <f t="shared" si="0"/>
        <v>109</v>
      </c>
      <c r="T10" s="770" t="s">
        <v>17</v>
      </c>
      <c r="U10" s="771">
        <f t="shared" si="1"/>
        <v>109</v>
      </c>
      <c r="V10" s="770" t="s">
        <v>17</v>
      </c>
      <c r="W10" s="771">
        <f t="shared" si="2"/>
        <v>109</v>
      </c>
      <c r="X10" s="772"/>
      <c r="Y10" s="3011"/>
      <c r="Z10" s="55" t="str">
        <f t="shared" si="7"/>
        <v>土地使用年限（年）</v>
      </c>
      <c r="AA10" s="773">
        <f t="shared" si="3"/>
        <v>0.91743119266055051</v>
      </c>
      <c r="AB10" s="773">
        <f t="shared" si="4"/>
        <v>0.91743119266055051</v>
      </c>
      <c r="AC10" s="773">
        <f t="shared" si="5"/>
        <v>0.91743119266055051</v>
      </c>
    </row>
    <row r="11" spans="1:29" ht="15">
      <c r="A11" s="428"/>
      <c r="B11" s="422" t="s">
        <v>2560</v>
      </c>
      <c r="C11" s="429">
        <v>1.62</v>
      </c>
      <c r="D11" s="136">
        <v>100</v>
      </c>
      <c r="E11" s="429">
        <v>0.8</v>
      </c>
      <c r="F11" s="136">
        <f>LOOKUP(E11,75:75,76:76)-LOOKUP(C11,75:75,76:76)+100</f>
        <v>103</v>
      </c>
      <c r="G11" s="430">
        <v>0.8</v>
      </c>
      <c r="H11" s="136">
        <f>LOOKUP(G11,75:75,76:76)-LOOKUP(C11,75:75,76:76)+100</f>
        <v>103</v>
      </c>
      <c r="I11" s="429">
        <v>1</v>
      </c>
      <c r="J11" s="136">
        <f>LOOKUP(I11,75:75,76:76)-LOOKUP(C11,75:75,76:76)+100</f>
        <v>100</v>
      </c>
      <c r="K11" s="673">
        <v>3</v>
      </c>
      <c r="L11" s="1140"/>
      <c r="M11" s="1133"/>
      <c r="N11" s="1133"/>
      <c r="O11" s="1141"/>
      <c r="P11" s="3159"/>
      <c r="Q11" s="1798" t="str">
        <f t="shared" si="6"/>
        <v>容积率</v>
      </c>
      <c r="R11" s="770" t="s">
        <v>17</v>
      </c>
      <c r="S11" s="771">
        <f t="shared" si="0"/>
        <v>103</v>
      </c>
      <c r="T11" s="770" t="s">
        <v>17</v>
      </c>
      <c r="U11" s="771">
        <f t="shared" si="1"/>
        <v>103</v>
      </c>
      <c r="V11" s="770" t="s">
        <v>17</v>
      </c>
      <c r="W11" s="771">
        <f t="shared" si="2"/>
        <v>100</v>
      </c>
      <c r="X11" s="772"/>
      <c r="Y11" s="3011"/>
      <c r="Z11" s="55" t="str">
        <f t="shared" si="7"/>
        <v>容积率</v>
      </c>
      <c r="AA11" s="773">
        <f t="shared" si="3"/>
        <v>0.970873786407767</v>
      </c>
      <c r="AB11" s="773">
        <f t="shared" si="4"/>
        <v>0.970873786407767</v>
      </c>
      <c r="AC11" s="773">
        <f t="shared" si="5"/>
        <v>1</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9"/>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122.25">
      <c r="A15" s="440" t="s">
        <v>2561</v>
      </c>
      <c r="B15" s="629" t="s">
        <v>2799</v>
      </c>
      <c r="C15" s="2694" t="str">
        <f>估价对象房地状况!G15</f>
        <v>估价对象属于北京临空经济核心区，园区内以物流企业为主，建设成熟</v>
      </c>
      <c r="D15" s="441">
        <v>100</v>
      </c>
      <c r="E15" s="442" t="s">
        <v>3081</v>
      </c>
      <c r="F15" s="441">
        <f>SUMIF(83:83,E16,84:84)-SUMIF(83:83,C16,84:84)+100</f>
        <v>95</v>
      </c>
      <c r="G15" s="442" t="s">
        <v>3082</v>
      </c>
      <c r="H15" s="441">
        <f>SUMIF(83:83,G16,84:84)-SUMIF(83:83,C16,84:84)+100</f>
        <v>95</v>
      </c>
      <c r="I15" s="444" t="s">
        <v>3083</v>
      </c>
      <c r="J15" s="441">
        <f>SUMIF(83:83,I16,84:84)-SUMIF(83:83,C16,84:84)+100</f>
        <v>95</v>
      </c>
      <c r="K15" s="673">
        <v>5</v>
      </c>
      <c r="L15" s="1142"/>
      <c r="M15" s="1133"/>
      <c r="N15" s="1133"/>
      <c r="O15" s="1141"/>
      <c r="P15" s="3161" t="s">
        <v>2562</v>
      </c>
      <c r="Q15" s="1813" t="str">
        <f t="shared" si="6"/>
        <v>产业集聚程度</v>
      </c>
      <c r="R15" s="774" t="s">
        <v>17</v>
      </c>
      <c r="S15" s="775">
        <f t="shared" si="0"/>
        <v>95</v>
      </c>
      <c r="T15" s="774" t="s">
        <v>17</v>
      </c>
      <c r="U15" s="775">
        <f t="shared" si="1"/>
        <v>95</v>
      </c>
      <c r="V15" s="774" t="s">
        <v>17</v>
      </c>
      <c r="W15" s="775">
        <f t="shared" si="2"/>
        <v>95</v>
      </c>
      <c r="X15" s="1816"/>
      <c r="Y15" s="3161" t="s">
        <v>2562</v>
      </c>
      <c r="Z15" s="1817" t="str">
        <f t="shared" si="7"/>
        <v>产业集聚程度</v>
      </c>
      <c r="AA15" s="1814">
        <f t="shared" si="3"/>
        <v>1.0526315789473684</v>
      </c>
      <c r="AB15" s="1814">
        <f t="shared" si="4"/>
        <v>1.0526315789473684</v>
      </c>
      <c r="AC15" s="1814">
        <f t="shared" si="5"/>
        <v>1.0526315789473684</v>
      </c>
    </row>
    <row r="16" spans="1:29" ht="15">
      <c r="A16" s="428"/>
      <c r="B16" s="630"/>
      <c r="C16" s="447" t="s">
        <v>3105</v>
      </c>
      <c r="D16" s="448"/>
      <c r="E16" s="2612" t="s">
        <v>3106</v>
      </c>
      <c r="F16" s="448"/>
      <c r="G16" s="2612" t="s">
        <v>3106</v>
      </c>
      <c r="H16" s="450"/>
      <c r="I16" s="2612" t="s">
        <v>3106</v>
      </c>
      <c r="J16" s="448"/>
      <c r="K16" s="672"/>
      <c r="L16" s="1142"/>
      <c r="M16" s="1133"/>
      <c r="N16" s="1133"/>
      <c r="O16" s="1141"/>
      <c r="P16" s="3162"/>
      <c r="Q16" s="1813"/>
      <c r="R16" s="774"/>
      <c r="S16" s="775"/>
      <c r="T16" s="774"/>
      <c r="U16" s="775"/>
      <c r="V16" s="774"/>
      <c r="W16" s="775"/>
      <c r="X16" s="1816"/>
      <c r="Y16" s="3162"/>
      <c r="Z16" s="1817"/>
      <c r="AA16" s="1814">
        <v>1</v>
      </c>
      <c r="AB16" s="1814">
        <v>1</v>
      </c>
      <c r="AC16" s="1814">
        <v>1</v>
      </c>
    </row>
    <row r="17" spans="1:29" ht="175.5">
      <c r="A17" s="428"/>
      <c r="B17" s="631" t="s">
        <v>2711</v>
      </c>
      <c r="C17" s="2608" t="str">
        <f>估价对象房地状况!G16</f>
        <v>以估价对象为中心半径2公里内最高级别道路城市高速路—机场北线高速路，临近东六环路、顺平路、顺驰路等城市道路，距离顺义火车站约5公里，距离北京首都国际机场约7公里</v>
      </c>
      <c r="D17" s="450">
        <v>100</v>
      </c>
      <c r="E17" s="2957" t="s">
        <v>3094</v>
      </c>
      <c r="F17" s="455">
        <f>SUMIF(85:85,E18,86:86)-SUMIF(85:85,C18,86:86)+100</f>
        <v>94</v>
      </c>
      <c r="G17" s="2957" t="s">
        <v>3095</v>
      </c>
      <c r="H17" s="455">
        <f>SUMIF(85:85,G18,86:86)-SUMIF(85:85,C18,86:86)+100</f>
        <v>97</v>
      </c>
      <c r="I17" s="2957" t="s">
        <v>3096</v>
      </c>
      <c r="J17" s="450">
        <f>SUMIF(85:85,I18,86:86)-SUMIF(85:85,C18,86:86)+100</f>
        <v>100</v>
      </c>
      <c r="K17" s="673">
        <v>3</v>
      </c>
      <c r="L17" s="1142"/>
      <c r="M17" s="1133"/>
      <c r="N17" s="1133"/>
      <c r="O17" s="1141"/>
      <c r="P17" s="3162"/>
      <c r="Q17" s="1813" t="str">
        <f>B17</f>
        <v>交通便捷度</v>
      </c>
      <c r="R17" s="774" t="s">
        <v>17</v>
      </c>
      <c r="S17" s="775">
        <f>F17</f>
        <v>94</v>
      </c>
      <c r="T17" s="774" t="s">
        <v>17</v>
      </c>
      <c r="U17" s="775">
        <f>H17</f>
        <v>97</v>
      </c>
      <c r="V17" s="774" t="s">
        <v>17</v>
      </c>
      <c r="W17" s="775">
        <f>J17</f>
        <v>100</v>
      </c>
      <c r="X17" s="1816"/>
      <c r="Y17" s="3162"/>
      <c r="Z17" s="1817" t="str">
        <f>Q17</f>
        <v>交通便捷度</v>
      </c>
      <c r="AA17" s="1814">
        <f t="shared" si="3"/>
        <v>1.0638297872340425</v>
      </c>
      <c r="AB17" s="1814">
        <f t="shared" si="4"/>
        <v>1.0309278350515463</v>
      </c>
      <c r="AC17" s="1814">
        <f t="shared" si="5"/>
        <v>1</v>
      </c>
    </row>
    <row r="18" spans="1:29" ht="15">
      <c r="A18" s="428"/>
      <c r="B18" s="632"/>
      <c r="C18" s="447" t="s">
        <v>3105</v>
      </c>
      <c r="D18" s="448"/>
      <c r="E18" s="2606" t="s">
        <v>3107</v>
      </c>
      <c r="F18" s="448"/>
      <c r="G18" s="2606" t="s">
        <v>3106</v>
      </c>
      <c r="H18" s="448"/>
      <c r="I18" s="2605" t="s">
        <v>3105</v>
      </c>
      <c r="J18" s="448"/>
      <c r="K18" s="672"/>
      <c r="L18" s="1142"/>
      <c r="M18" s="1133"/>
      <c r="N18" s="1133"/>
      <c r="O18" s="1141"/>
      <c r="P18" s="3162"/>
      <c r="Q18" s="1813"/>
      <c r="R18" s="774"/>
      <c r="S18" s="775"/>
      <c r="T18" s="774"/>
      <c r="U18" s="775"/>
      <c r="V18" s="774"/>
      <c r="W18" s="775"/>
      <c r="X18" s="1816"/>
      <c r="Y18" s="3162"/>
      <c r="Z18" s="1817"/>
      <c r="AA18" s="1814">
        <v>1</v>
      </c>
      <c r="AB18" s="1814">
        <v>1</v>
      </c>
      <c r="AC18" s="1814">
        <v>1</v>
      </c>
    </row>
    <row r="19" spans="1:29" ht="42.75">
      <c r="A19" s="428"/>
      <c r="B19" s="631" t="s">
        <v>2750</v>
      </c>
      <c r="C19" s="2608" t="str">
        <f>估价对象房地状况!G17</f>
        <v>零星有其他用地，基本不影响本宗地</v>
      </c>
      <c r="D19" s="450">
        <v>100</v>
      </c>
      <c r="E19" s="2957" t="s">
        <v>3089</v>
      </c>
      <c r="F19" s="455">
        <f>SUMIF(87:87,E20,88:88)-SUMIF(87:87,C20,88:88)+100</f>
        <v>100</v>
      </c>
      <c r="G19" s="2957" t="s">
        <v>3089</v>
      </c>
      <c r="H19" s="455">
        <f>SUMIF(87:87,G20,88:88)-SUMIF(87:87,C20,88:88)+100</f>
        <v>100</v>
      </c>
      <c r="I19" s="2957" t="s">
        <v>3089</v>
      </c>
      <c r="J19" s="455">
        <f>SUMIF(87:87,I20,88:88)-SUMIF(87:87,C20,88:88)+100</f>
        <v>100</v>
      </c>
      <c r="K19" s="673">
        <v>2</v>
      </c>
      <c r="L19" s="1142"/>
      <c r="M19" s="1133"/>
      <c r="N19" s="1133"/>
      <c r="O19" s="1141"/>
      <c r="P19" s="3162"/>
      <c r="Q19" s="1813" t="str">
        <f t="shared" ref="Q19:Q33" si="8">B19</f>
        <v>区域土地利用方向</v>
      </c>
      <c r="R19" s="774" t="s">
        <v>17</v>
      </c>
      <c r="S19" s="775">
        <f>F19</f>
        <v>100</v>
      </c>
      <c r="T19" s="774" t="s">
        <v>17</v>
      </c>
      <c r="U19" s="775">
        <f>H19</f>
        <v>100</v>
      </c>
      <c r="V19" s="774" t="s">
        <v>17</v>
      </c>
      <c r="W19" s="775">
        <f>J19</f>
        <v>100</v>
      </c>
      <c r="X19" s="1816"/>
      <c r="Y19" s="3162"/>
      <c r="Z19" s="1817" t="str">
        <f>Q19</f>
        <v>区域土地利用方向</v>
      </c>
      <c r="AA19" s="1814">
        <f t="shared" si="3"/>
        <v>1</v>
      </c>
      <c r="AB19" s="1814">
        <f t="shared" si="4"/>
        <v>1</v>
      </c>
      <c r="AC19" s="1814">
        <f t="shared" si="5"/>
        <v>1</v>
      </c>
    </row>
    <row r="20" spans="1:29" ht="15">
      <c r="A20" s="404"/>
      <c r="B20" s="632"/>
      <c r="C20" s="447" t="s">
        <v>3106</v>
      </c>
      <c r="D20" s="448"/>
      <c r="E20" s="2606" t="s">
        <v>3106</v>
      </c>
      <c r="F20" s="448"/>
      <c r="G20" s="2606" t="s">
        <v>3106</v>
      </c>
      <c r="H20" s="448"/>
      <c r="I20" s="2606" t="s">
        <v>3106</v>
      </c>
      <c r="J20" s="448"/>
      <c r="K20" s="811"/>
      <c r="L20" s="1142"/>
      <c r="M20" s="1133"/>
      <c r="N20" s="1133"/>
      <c r="O20" s="1141"/>
      <c r="P20" s="3162"/>
      <c r="Q20" s="1813"/>
      <c r="R20" s="774"/>
      <c r="S20" s="775"/>
      <c r="T20" s="774"/>
      <c r="U20" s="775"/>
      <c r="V20" s="774"/>
      <c r="W20" s="775"/>
      <c r="X20" s="1816"/>
      <c r="Y20" s="3162"/>
      <c r="Z20" s="1817"/>
      <c r="AA20" s="1814"/>
      <c r="AB20" s="1814"/>
      <c r="AC20" s="1814"/>
    </row>
    <row r="21" spans="1:29" ht="94.5">
      <c r="A21" s="404"/>
      <c r="B21" s="631" t="s">
        <v>2800</v>
      </c>
      <c r="C21" s="2608" t="str">
        <f>估价对象房地状况!G18</f>
        <v>估价对象所属区域以物流企业为主，园区内无污染型企业，绿化较好，卫生条件良好</v>
      </c>
      <c r="D21" s="450">
        <v>100</v>
      </c>
      <c r="E21" s="2957" t="s">
        <v>3097</v>
      </c>
      <c r="F21" s="450">
        <f>SUMIF(89:89,E22,90:90)-SUMIF(89:89,C22,90:90)+100</f>
        <v>100</v>
      </c>
      <c r="G21" s="2957" t="s">
        <v>3098</v>
      </c>
      <c r="H21" s="450">
        <f>SUMIF(89:89,G22,90:90)-SUMIF(89:89,C22,90:90)+100</f>
        <v>100</v>
      </c>
      <c r="I21" s="2957" t="s">
        <v>3099</v>
      </c>
      <c r="J21" s="450">
        <f>SUMIF(89:89,I22,90:90)-SUMIF(89:89,C22,90:90)+100</f>
        <v>100</v>
      </c>
      <c r="K21" s="673">
        <v>2</v>
      </c>
      <c r="L21" s="1142"/>
      <c r="M21" s="1133"/>
      <c r="N21" s="1133"/>
      <c r="O21" s="1141"/>
      <c r="P21" s="3162"/>
      <c r="Q21" s="1813" t="str">
        <f t="shared" si="8"/>
        <v>环境状况</v>
      </c>
      <c r="R21" s="774" t="s">
        <v>17</v>
      </c>
      <c r="S21" s="775">
        <f>F21</f>
        <v>100</v>
      </c>
      <c r="T21" s="774" t="s">
        <v>17</v>
      </c>
      <c r="U21" s="775">
        <f>H21</f>
        <v>100</v>
      </c>
      <c r="V21" s="774" t="s">
        <v>17</v>
      </c>
      <c r="W21" s="775">
        <f>J21</f>
        <v>100</v>
      </c>
      <c r="X21" s="1816"/>
      <c r="Y21" s="3162"/>
      <c r="Z21" s="1817" t="str">
        <f>Q21</f>
        <v>环境状况</v>
      </c>
      <c r="AA21" s="1814">
        <f t="shared" si="3"/>
        <v>1</v>
      </c>
      <c r="AB21" s="1814">
        <f t="shared" si="4"/>
        <v>1</v>
      </c>
      <c r="AC21" s="1814">
        <f t="shared" si="5"/>
        <v>1</v>
      </c>
    </row>
    <row r="22" spans="1:29" ht="15">
      <c r="A22" s="404"/>
      <c r="B22" s="632"/>
      <c r="C22" s="447" t="s">
        <v>3106</v>
      </c>
      <c r="D22" s="448"/>
      <c r="E22" s="2612" t="s">
        <v>3106</v>
      </c>
      <c r="F22" s="448"/>
      <c r="G22" s="2612" t="s">
        <v>3106</v>
      </c>
      <c r="H22" s="448"/>
      <c r="I22" s="447" t="s">
        <v>3106</v>
      </c>
      <c r="J22" s="448"/>
      <c r="K22" s="672"/>
      <c r="L22" s="1142"/>
      <c r="M22" s="1133"/>
      <c r="N22" s="1133"/>
      <c r="O22" s="1141"/>
      <c r="P22" s="3162"/>
      <c r="Q22" s="1813"/>
      <c r="R22" s="774"/>
      <c r="S22" s="775"/>
      <c r="T22" s="774"/>
      <c r="U22" s="775"/>
      <c r="V22" s="774"/>
      <c r="W22" s="775"/>
      <c r="X22" s="1816"/>
      <c r="Y22" s="3162"/>
      <c r="Z22" s="1817"/>
      <c r="AA22" s="1814">
        <v>1</v>
      </c>
      <c r="AB22" s="1814">
        <v>1</v>
      </c>
      <c r="AC22" s="1814">
        <v>1</v>
      </c>
    </row>
    <row r="23" spans="1:29" s="117" customFormat="1" ht="85.5">
      <c r="A23" s="649"/>
      <c r="B23" s="633" t="s">
        <v>2656</v>
      </c>
      <c r="C23" s="2608" t="str">
        <f>估价对象房地状况!G19</f>
        <v>以估价对象为中心半径2公里内有银行、超市、学校、医院、邮局等公共配套设施；</v>
      </c>
      <c r="D23" s="450">
        <v>100</v>
      </c>
      <c r="E23" s="452" t="s">
        <v>3100</v>
      </c>
      <c r="F23" s="450">
        <f>SUMIF(91:91,E24,92:92)-SUMIF(91:91,C24,92:92)+100</f>
        <v>100</v>
      </c>
      <c r="G23" s="452" t="s">
        <v>3100</v>
      </c>
      <c r="H23" s="450">
        <f>SUMIF(91:91,G24,92:92)-SUMIF(91:91,C24,92:92)+100</f>
        <v>100</v>
      </c>
      <c r="I23" s="454" t="s">
        <v>3100</v>
      </c>
      <c r="J23" s="450">
        <f>SUMIF(91:91,I24,92:92)-SUMIF(91:91,C24,92:92)+100</f>
        <v>95</v>
      </c>
      <c r="K23" s="673">
        <v>5</v>
      </c>
      <c r="L23" s="1134"/>
      <c r="M23" s="1135"/>
      <c r="N23" s="1135"/>
      <c r="O23" s="1136"/>
      <c r="P23" s="3162"/>
      <c r="Q23" s="1798" t="str">
        <f t="shared" si="8"/>
        <v>公共配套设施</v>
      </c>
      <c r="R23" s="770" t="s">
        <v>17</v>
      </c>
      <c r="S23" s="771">
        <f>F23</f>
        <v>100</v>
      </c>
      <c r="T23" s="770" t="s">
        <v>17</v>
      </c>
      <c r="U23" s="771">
        <f>H23</f>
        <v>100</v>
      </c>
      <c r="V23" s="770" t="s">
        <v>17</v>
      </c>
      <c r="W23" s="771">
        <f>J23</f>
        <v>95</v>
      </c>
      <c r="X23" s="772"/>
      <c r="Y23" s="3162"/>
      <c r="Z23" s="55" t="str">
        <f>Q23</f>
        <v>公共配套设施</v>
      </c>
      <c r="AA23" s="1814">
        <f>D23/F23</f>
        <v>1</v>
      </c>
      <c r="AB23" s="1814">
        <f>D23/H23</f>
        <v>1</v>
      </c>
      <c r="AC23" s="1814">
        <f>D23/J23</f>
        <v>1.0526315789473684</v>
      </c>
    </row>
    <row r="24" spans="1:29" s="117" customFormat="1" ht="15">
      <c r="A24" s="649"/>
      <c r="B24" s="632"/>
      <c r="C24" s="2701" t="s">
        <v>3106</v>
      </c>
      <c r="D24" s="448"/>
      <c r="E24" s="2612" t="s">
        <v>3106</v>
      </c>
      <c r="F24" s="448"/>
      <c r="G24" s="2612" t="s">
        <v>3106</v>
      </c>
      <c r="H24" s="448"/>
      <c r="I24" s="447" t="s">
        <v>3107</v>
      </c>
      <c r="J24" s="448"/>
      <c r="K24" s="672"/>
      <c r="L24" s="1134"/>
      <c r="M24" s="1135"/>
      <c r="N24" s="1135"/>
      <c r="O24" s="1136"/>
      <c r="P24" s="3162"/>
      <c r="Q24" s="1798"/>
      <c r="R24" s="770"/>
      <c r="S24" s="771"/>
      <c r="T24" s="770"/>
      <c r="U24" s="771"/>
      <c r="V24" s="770"/>
      <c r="W24" s="771"/>
      <c r="X24" s="772"/>
      <c r="Y24" s="3162"/>
      <c r="Z24" s="55"/>
      <c r="AA24" s="773">
        <v>1</v>
      </c>
      <c r="AB24" s="773">
        <v>1</v>
      </c>
      <c r="AC24" s="773">
        <v>1</v>
      </c>
    </row>
    <row r="25" spans="1:29" s="117" customFormat="1" ht="42.75">
      <c r="A25" s="649"/>
      <c r="B25" s="633" t="s">
        <v>2657</v>
      </c>
      <c r="C25" s="2608" t="str">
        <f>估价对象房地状况!G20</f>
        <v>估价对象所在区域基础设施水平可达到七通一平</v>
      </c>
      <c r="D25" s="450">
        <v>100</v>
      </c>
      <c r="E25" s="2958" t="s">
        <v>3102</v>
      </c>
      <c r="F25" s="450">
        <f>SUMIF(93:93,E26,94:94)-SUMIF(93:93,C26,94:94)+100</f>
        <v>100</v>
      </c>
      <c r="G25" s="2958" t="s">
        <v>3102</v>
      </c>
      <c r="H25" s="450">
        <f>SUMIF(93:93,G26,94:94)-SUMIF(93:93,C26,94:94)+100</f>
        <v>100</v>
      </c>
      <c r="I25" s="2959" t="s">
        <v>3102</v>
      </c>
      <c r="J25" s="450">
        <f>SUMIF(93:93,I26,94:94)-SUMIF(93:93,C26,94:94)+100</f>
        <v>100</v>
      </c>
      <c r="K25" s="673">
        <v>1</v>
      </c>
      <c r="L25" s="1134"/>
      <c r="M25" s="1135"/>
      <c r="N25" s="1135"/>
      <c r="O25" s="1136"/>
      <c r="P25" s="3162"/>
      <c r="Q25" s="1798" t="str">
        <f t="shared" ref="Q25" si="9">B25</f>
        <v>基础设施水平</v>
      </c>
      <c r="R25" s="770" t="s">
        <v>17</v>
      </c>
      <c r="S25" s="771">
        <f>F25</f>
        <v>100</v>
      </c>
      <c r="T25" s="770" t="s">
        <v>17</v>
      </c>
      <c r="U25" s="771">
        <f>H25</f>
        <v>100</v>
      </c>
      <c r="V25" s="770" t="s">
        <v>17</v>
      </c>
      <c r="W25" s="771">
        <f>J25</f>
        <v>100</v>
      </c>
      <c r="X25" s="772"/>
      <c r="Y25" s="3162"/>
      <c r="Z25" s="55" t="str">
        <f>Q25</f>
        <v>基础设施水平</v>
      </c>
      <c r="AA25" s="1814">
        <f>D25/F25</f>
        <v>1</v>
      </c>
      <c r="AB25" s="1814">
        <f>D25/H25</f>
        <v>1</v>
      </c>
      <c r="AC25" s="1814">
        <f>D25/J25</f>
        <v>1</v>
      </c>
    </row>
    <row r="26" spans="1:29" s="117" customFormat="1" ht="15">
      <c r="A26" s="649"/>
      <c r="B26" s="632"/>
      <c r="C26" s="2701" t="s">
        <v>3101</v>
      </c>
      <c r="D26" s="448"/>
      <c r="E26" s="2702" t="s">
        <v>3101</v>
      </c>
      <c r="F26" s="448"/>
      <c r="G26" s="2702" t="s">
        <v>3101</v>
      </c>
      <c r="H26" s="448"/>
      <c r="I26" s="2702" t="s">
        <v>3101</v>
      </c>
      <c r="J26" s="448"/>
      <c r="K26" s="672"/>
      <c r="L26" s="1134"/>
      <c r="M26" s="1135"/>
      <c r="N26" s="1135"/>
      <c r="O26" s="1136"/>
      <c r="P26" s="3162"/>
      <c r="Q26" s="1798"/>
      <c r="R26" s="770"/>
      <c r="S26" s="771"/>
      <c r="T26" s="770"/>
      <c r="U26" s="771"/>
      <c r="V26" s="770"/>
      <c r="W26" s="771"/>
      <c r="X26" s="772"/>
      <c r="Y26" s="3162"/>
      <c r="Z26" s="55"/>
      <c r="AA26" s="773">
        <v>1</v>
      </c>
      <c r="AB26" s="773">
        <v>1</v>
      </c>
      <c r="AC26" s="773">
        <v>1</v>
      </c>
    </row>
    <row r="27" spans="1:29" ht="15">
      <c r="A27" s="428"/>
      <c r="B27" s="632" t="s">
        <v>2658</v>
      </c>
      <c r="C27" s="616" t="s">
        <v>3093</v>
      </c>
      <c r="D27" s="435">
        <v>100</v>
      </c>
      <c r="E27" s="634" t="s">
        <v>3093</v>
      </c>
      <c r="F27" s="435">
        <f>SUMIF(95:95,E27,96:96)-SUMIF(95:95,C27,96:96)+100</f>
        <v>100</v>
      </c>
      <c r="G27" s="634" t="s">
        <v>3093</v>
      </c>
      <c r="H27" s="435">
        <f>SUMIF(95:95,G27,96:96)-SUMIF(95:95,C27,96:96)+100</f>
        <v>100</v>
      </c>
      <c r="I27" s="634" t="s">
        <v>3093</v>
      </c>
      <c r="J27" s="435">
        <f>SUMIF(95:95,I27,96:96)-SUMIF(95:95,C27,96:96)+100</f>
        <v>100</v>
      </c>
      <c r="K27" s="673">
        <v>1</v>
      </c>
      <c r="L27" s="1142"/>
      <c r="M27" s="1133"/>
      <c r="N27" s="1133"/>
      <c r="O27" s="1141"/>
      <c r="P27" s="316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2"/>
      <c r="Z27" s="1817" t="str">
        <f t="shared" ref="Z27:Z40" si="13">Q27</f>
        <v>临街状况</v>
      </c>
      <c r="AA27" s="1814">
        <f t="shared" si="3"/>
        <v>1</v>
      </c>
      <c r="AB27" s="1814">
        <f t="shared" si="4"/>
        <v>1</v>
      </c>
      <c r="AC27" s="1814">
        <f t="shared" si="5"/>
        <v>1</v>
      </c>
    </row>
    <row r="28" spans="1:29" ht="28.5">
      <c r="A28" s="428"/>
      <c r="B28" s="633" t="s">
        <v>2693</v>
      </c>
      <c r="C28" s="2714" t="str">
        <f>估价对象房地状况!G22</f>
        <v>城市支路——顺驰路</v>
      </c>
      <c r="D28" s="450">
        <v>100</v>
      </c>
      <c r="E28" s="452" t="s">
        <v>3201</v>
      </c>
      <c r="F28" s="450">
        <f>SUMIF(97:97,E29,98:98)-SUMIF(97:97,C29,98:98)+100</f>
        <v>100</v>
      </c>
      <c r="G28" s="452" t="s">
        <v>3103</v>
      </c>
      <c r="H28" s="450">
        <f>SUMIF(97:97,G29,98:98)-SUMIF(97:97,C29,98:98)+100</f>
        <v>100</v>
      </c>
      <c r="I28" s="454" t="s">
        <v>3104</v>
      </c>
      <c r="J28" s="450">
        <f>SUMIF(97:97,I29,98:98)-SUMIF(97:97,C29,98:98)+100</f>
        <v>100</v>
      </c>
      <c r="K28" s="673">
        <v>1</v>
      </c>
      <c r="L28" s="1142"/>
      <c r="M28" s="1133"/>
      <c r="N28" s="1133"/>
      <c r="O28" s="1141"/>
      <c r="P28" s="3162"/>
      <c r="Q28" s="1813" t="str">
        <f t="shared" si="8"/>
        <v>毗邻道路的类型与等级</v>
      </c>
      <c r="R28" s="774" t="s">
        <v>17</v>
      </c>
      <c r="S28" s="775">
        <f t="shared" si="10"/>
        <v>100</v>
      </c>
      <c r="T28" s="774" t="s">
        <v>17</v>
      </c>
      <c r="U28" s="775">
        <f t="shared" si="11"/>
        <v>100</v>
      </c>
      <c r="V28" s="774" t="s">
        <v>17</v>
      </c>
      <c r="W28" s="775">
        <f t="shared" si="12"/>
        <v>100</v>
      </c>
      <c r="X28" s="1816"/>
      <c r="Y28" s="3162"/>
      <c r="Z28" s="1817" t="str">
        <f t="shared" si="13"/>
        <v>毗邻道路的类型与等级</v>
      </c>
      <c r="AA28" s="1814">
        <f t="shared" si="3"/>
        <v>1</v>
      </c>
      <c r="AB28" s="1814">
        <f t="shared" si="4"/>
        <v>1</v>
      </c>
      <c r="AC28" s="1814">
        <f t="shared" si="5"/>
        <v>1</v>
      </c>
    </row>
    <row r="29" spans="1:29" ht="15">
      <c r="A29" s="428"/>
      <c r="B29" s="632"/>
      <c r="C29" s="447" t="s">
        <v>3113</v>
      </c>
      <c r="D29" s="448"/>
      <c r="E29" s="2612" t="s">
        <v>3113</v>
      </c>
      <c r="F29" s="448"/>
      <c r="G29" s="2612" t="s">
        <v>3113</v>
      </c>
      <c r="H29" s="448"/>
      <c r="I29" s="2612" t="s">
        <v>3113</v>
      </c>
      <c r="J29" s="448"/>
      <c r="K29" s="613"/>
      <c r="L29" s="1142"/>
      <c r="M29" s="1133"/>
      <c r="N29" s="1133"/>
      <c r="O29" s="1141"/>
      <c r="P29" s="3162"/>
      <c r="Q29" s="1813"/>
      <c r="R29" s="774"/>
      <c r="S29" s="775"/>
      <c r="T29" s="774"/>
      <c r="U29" s="775"/>
      <c r="V29" s="774"/>
      <c r="W29" s="775"/>
      <c r="X29" s="1816"/>
      <c r="Y29" s="3162"/>
      <c r="Z29" s="1817"/>
      <c r="AA29" s="1814">
        <v>1</v>
      </c>
      <c r="AB29" s="1814">
        <v>1</v>
      </c>
      <c r="AC29" s="1814">
        <v>1</v>
      </c>
    </row>
    <row r="30" spans="1:29" ht="15">
      <c r="A30" s="428"/>
      <c r="B30" s="654" t="s">
        <v>2752</v>
      </c>
      <c r="C30" s="1391" t="str">
        <f>估价对象房地状况!G23</f>
        <v>八级</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62"/>
      <c r="Q30" s="1813" t="str">
        <f t="shared" si="8"/>
        <v>土地级别</v>
      </c>
      <c r="R30" s="774" t="s">
        <v>17</v>
      </c>
      <c r="S30" s="775">
        <f t="shared" si="10"/>
        <v>100</v>
      </c>
      <c r="T30" s="774" t="s">
        <v>17</v>
      </c>
      <c r="U30" s="775">
        <f t="shared" si="11"/>
        <v>100</v>
      </c>
      <c r="V30" s="774" t="s">
        <v>17</v>
      </c>
      <c r="W30" s="775">
        <f t="shared" si="12"/>
        <v>100</v>
      </c>
      <c r="X30" s="1816"/>
      <c r="Y30" s="3162"/>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62"/>
      <c r="Q31" s="1813">
        <f t="shared" si="8"/>
        <v>111</v>
      </c>
      <c r="R31" s="774" t="s">
        <v>17</v>
      </c>
      <c r="S31" s="775">
        <f t="shared" si="10"/>
        <v>100</v>
      </c>
      <c r="T31" s="774" t="s">
        <v>17</v>
      </c>
      <c r="U31" s="775">
        <f t="shared" si="11"/>
        <v>100</v>
      </c>
      <c r="V31" s="774" t="s">
        <v>17</v>
      </c>
      <c r="W31" s="775">
        <f t="shared" si="12"/>
        <v>100</v>
      </c>
      <c r="X31" s="1816"/>
      <c r="Y31" s="3162"/>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6" t="s">
        <v>2567</v>
      </c>
      <c r="Q32" s="1813">
        <f t="shared" si="8"/>
        <v>111</v>
      </c>
      <c r="R32" s="774" t="s">
        <v>17</v>
      </c>
      <c r="S32" s="775">
        <f t="shared" si="10"/>
        <v>100</v>
      </c>
      <c r="T32" s="774" t="s">
        <v>17</v>
      </c>
      <c r="U32" s="775">
        <f t="shared" si="11"/>
        <v>100</v>
      </c>
      <c r="V32" s="774" t="s">
        <v>17</v>
      </c>
      <c r="W32" s="775">
        <f t="shared" si="12"/>
        <v>100</v>
      </c>
      <c r="X32" s="1816"/>
      <c r="Y32" s="3166" t="s">
        <v>2567</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66"/>
      <c r="Q33" s="1813">
        <f t="shared" si="8"/>
        <v>111</v>
      </c>
      <c r="R33" s="777" t="s">
        <v>17</v>
      </c>
      <c r="S33" s="778">
        <f t="shared" si="10"/>
        <v>100</v>
      </c>
      <c r="T33" s="777" t="s">
        <v>17</v>
      </c>
      <c r="U33" s="778">
        <f t="shared" si="11"/>
        <v>100</v>
      </c>
      <c r="V33" s="777" t="s">
        <v>17</v>
      </c>
      <c r="W33" s="778">
        <f t="shared" si="12"/>
        <v>100</v>
      </c>
      <c r="X33" s="779"/>
      <c r="Y33" s="3166"/>
      <c r="Z33" s="780">
        <f t="shared" si="13"/>
        <v>111</v>
      </c>
      <c r="AA33" s="1814">
        <f t="shared" si="3"/>
        <v>1</v>
      </c>
      <c r="AB33" s="1814">
        <f t="shared" si="4"/>
        <v>1</v>
      </c>
      <c r="AC33" s="1814">
        <f t="shared" si="5"/>
        <v>1</v>
      </c>
    </row>
    <row r="34" spans="1:29" ht="15">
      <c r="A34" s="440" t="s">
        <v>2565</v>
      </c>
      <c r="B34" s="456" t="s">
        <v>2753</v>
      </c>
      <c r="C34" s="679">
        <v>9999.1</v>
      </c>
      <c r="D34" s="467">
        <v>100</v>
      </c>
      <c r="E34" s="679">
        <f>土地案例!D2</f>
        <v>4280.58</v>
      </c>
      <c r="F34" s="467">
        <f>LOOKUP(E34,108:108,109:109)-LOOKUP(C34,108:108,109:109)+100</f>
        <v>100</v>
      </c>
      <c r="G34" s="679">
        <v>56802.68</v>
      </c>
      <c r="H34" s="467">
        <f>LOOKUP(G34,108:108,109:109)-LOOKUP(C34,108:108,109:109)+100</f>
        <v>102</v>
      </c>
      <c r="I34" s="530">
        <v>11912.8</v>
      </c>
      <c r="J34" s="467">
        <f>LOOKUP(I34,108:108,109:109)-LOOKUP(C34,108:108,109:109)+100</f>
        <v>100</v>
      </c>
      <c r="K34" s="613"/>
      <c r="L34" s="1142"/>
      <c r="M34" s="1133"/>
      <c r="N34" s="1133"/>
      <c r="O34" s="1141"/>
      <c r="P34" s="3166"/>
      <c r="Q34" s="1813" t="str">
        <f>B34</f>
        <v>宗地面积</v>
      </c>
      <c r="R34" s="774" t="s">
        <v>17</v>
      </c>
      <c r="S34" s="775">
        <f t="shared" si="10"/>
        <v>100</v>
      </c>
      <c r="T34" s="774" t="s">
        <v>17</v>
      </c>
      <c r="U34" s="775">
        <f t="shared" si="11"/>
        <v>102</v>
      </c>
      <c r="V34" s="774" t="s">
        <v>17</v>
      </c>
      <c r="W34" s="775">
        <f t="shared" si="12"/>
        <v>100</v>
      </c>
      <c r="X34" s="1816"/>
      <c r="Y34" s="3166"/>
      <c r="Z34" s="1817" t="str">
        <f t="shared" si="13"/>
        <v>宗地面积</v>
      </c>
      <c r="AA34" s="1814">
        <f t="shared" si="3"/>
        <v>1</v>
      </c>
      <c r="AB34" s="1814">
        <f t="shared" si="4"/>
        <v>0.98039215686274506</v>
      </c>
      <c r="AC34" s="1814">
        <f t="shared" si="5"/>
        <v>1</v>
      </c>
    </row>
    <row r="35" spans="1:29" ht="15">
      <c r="A35" s="472"/>
      <c r="B35" s="422" t="s">
        <v>2754</v>
      </c>
      <c r="C35" s="2614" t="s">
        <v>3115</v>
      </c>
      <c r="D35" s="435">
        <v>100</v>
      </c>
      <c r="E35" s="2614" t="s">
        <v>3115</v>
      </c>
      <c r="F35" s="435">
        <f>SUMIF(110:110,E35,111:111)-SUMIF(110:110,C35,111:111)+100</f>
        <v>100</v>
      </c>
      <c r="G35" s="2614" t="s">
        <v>3115</v>
      </c>
      <c r="H35" s="435">
        <f>SUMIF(110:110,G35,111:111)-SUMIF(110:110,C35,111:111)+100</f>
        <v>100</v>
      </c>
      <c r="I35" s="2614" t="s">
        <v>3115</v>
      </c>
      <c r="J35" s="435">
        <f>SUMIF(110:110,I35,111:111)-SUMIF(110:110,C35,111:111)+100</f>
        <v>100</v>
      </c>
      <c r="K35" s="612">
        <v>1</v>
      </c>
      <c r="L35" s="1142"/>
      <c r="M35" s="1133"/>
      <c r="N35" s="1133"/>
      <c r="O35" s="1141"/>
      <c r="P35" s="3166"/>
      <c r="Q35" s="1813" t="str">
        <f t="shared" ref="Q35:Q40" si="14">B35</f>
        <v>宗地形状</v>
      </c>
      <c r="R35" s="774" t="s">
        <v>17</v>
      </c>
      <c r="S35" s="775">
        <f t="shared" si="10"/>
        <v>100</v>
      </c>
      <c r="T35" s="774" t="s">
        <v>17</v>
      </c>
      <c r="U35" s="775">
        <f t="shared" si="11"/>
        <v>100</v>
      </c>
      <c r="V35" s="774" t="s">
        <v>17</v>
      </c>
      <c r="W35" s="775">
        <f t="shared" si="12"/>
        <v>100</v>
      </c>
      <c r="X35" s="1816"/>
      <c r="Y35" s="3166"/>
      <c r="Z35" s="1817" t="str">
        <f t="shared" si="13"/>
        <v>宗地形状</v>
      </c>
      <c r="AA35" s="1814">
        <f t="shared" si="3"/>
        <v>1</v>
      </c>
      <c r="AB35" s="1814">
        <f t="shared" si="4"/>
        <v>1</v>
      </c>
      <c r="AC35" s="1814">
        <f t="shared" si="5"/>
        <v>1</v>
      </c>
    </row>
    <row r="36" spans="1:29" s="117" customFormat="1" ht="15">
      <c r="A36" s="473"/>
      <c r="B36" s="422" t="s">
        <v>2756</v>
      </c>
      <c r="C36" s="2703" t="s">
        <v>3118</v>
      </c>
      <c r="D36" s="136">
        <v>100</v>
      </c>
      <c r="E36" s="2703" t="s">
        <v>3200</v>
      </c>
      <c r="F36" s="435">
        <f>SUMIF(112:112,E36,113:113)-SUMIF(112:112,C36,113:113)+100</f>
        <v>99</v>
      </c>
      <c r="G36" s="2703" t="s">
        <v>3122</v>
      </c>
      <c r="H36" s="435">
        <f>SUMIF(112:112,G36,113:113)-SUMIF(112:112,C36,113:113)+100</f>
        <v>97</v>
      </c>
      <c r="I36" s="2703" t="s">
        <v>3122</v>
      </c>
      <c r="J36" s="435">
        <f>SUMIF(112:112,I36,113:113)-SUMIF(112:112,C36,113:113)+100</f>
        <v>97</v>
      </c>
      <c r="K36" s="612">
        <v>1</v>
      </c>
      <c r="L36" s="1134"/>
      <c r="M36" s="1135"/>
      <c r="N36" s="1135"/>
      <c r="O36" s="1136"/>
      <c r="P36" s="3166"/>
      <c r="Q36" s="1813" t="str">
        <f t="shared" si="14"/>
        <v>宗地开发程度</v>
      </c>
      <c r="R36" s="770" t="s">
        <v>17</v>
      </c>
      <c r="S36" s="771">
        <f t="shared" si="10"/>
        <v>99</v>
      </c>
      <c r="T36" s="770" t="s">
        <v>17</v>
      </c>
      <c r="U36" s="771">
        <f t="shared" si="11"/>
        <v>97</v>
      </c>
      <c r="V36" s="770" t="s">
        <v>17</v>
      </c>
      <c r="W36" s="771">
        <f t="shared" si="12"/>
        <v>97</v>
      </c>
      <c r="X36" s="772"/>
      <c r="Y36" s="3166"/>
      <c r="Z36" s="55" t="str">
        <f t="shared" si="13"/>
        <v>宗地开发程度</v>
      </c>
      <c r="AA36" s="773">
        <f t="shared" si="3"/>
        <v>1.0101010101010102</v>
      </c>
      <c r="AB36" s="773">
        <f t="shared" si="4"/>
        <v>1.0309278350515463</v>
      </c>
      <c r="AC36" s="773">
        <f t="shared" si="5"/>
        <v>1.0309278350515463</v>
      </c>
    </row>
    <row r="37" spans="1:29" ht="15">
      <c r="A37" s="472"/>
      <c r="B37" s="422" t="s">
        <v>2757</v>
      </c>
      <c r="C37" s="2614" t="s">
        <v>3106</v>
      </c>
      <c r="D37" s="435">
        <v>100</v>
      </c>
      <c r="E37" s="2614" t="s">
        <v>3106</v>
      </c>
      <c r="F37" s="435">
        <f>SUMIF(114:114,E37,115:115)-SUMIF(114:114,C37,115:115)+100</f>
        <v>100</v>
      </c>
      <c r="G37" s="2614" t="s">
        <v>3106</v>
      </c>
      <c r="H37" s="435">
        <f>SUMIF(114:114,G37,115:115)-SUMIF(114:114,C37,115:115)+100</f>
        <v>100</v>
      </c>
      <c r="I37" s="2614" t="s">
        <v>3106</v>
      </c>
      <c r="J37" s="435">
        <f>SUMIF(114:114,I37,115:115)-SUMIF(114:114,C37,115:115)+100</f>
        <v>100</v>
      </c>
      <c r="K37" s="612">
        <v>1</v>
      </c>
      <c r="L37" s="1142"/>
      <c r="M37" s="1133"/>
      <c r="N37" s="1133"/>
      <c r="O37" s="1141"/>
      <c r="P37" s="3166" t="s">
        <v>2567</v>
      </c>
      <c r="Q37" s="1813" t="str">
        <f t="shared" si="14"/>
        <v>工程地质条件</v>
      </c>
      <c r="R37" s="774" t="s">
        <v>17</v>
      </c>
      <c r="S37" s="775">
        <f t="shared" si="10"/>
        <v>100</v>
      </c>
      <c r="T37" s="774" t="s">
        <v>17</v>
      </c>
      <c r="U37" s="775">
        <f t="shared" si="11"/>
        <v>100</v>
      </c>
      <c r="V37" s="774" t="s">
        <v>17</v>
      </c>
      <c r="W37" s="775">
        <f t="shared" si="12"/>
        <v>100</v>
      </c>
      <c r="X37" s="1816"/>
      <c r="Y37" s="3166" t="s">
        <v>2567</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66"/>
      <c r="Q38" s="1813">
        <f t="shared" si="14"/>
        <v>111</v>
      </c>
      <c r="R38" s="774" t="s">
        <v>17</v>
      </c>
      <c r="S38" s="775">
        <f t="shared" si="10"/>
        <v>100</v>
      </c>
      <c r="T38" s="774" t="s">
        <v>17</v>
      </c>
      <c r="U38" s="775">
        <f t="shared" si="11"/>
        <v>100</v>
      </c>
      <c r="V38" s="774" t="s">
        <v>17</v>
      </c>
      <c r="W38" s="775">
        <f t="shared" si="12"/>
        <v>100</v>
      </c>
      <c r="X38" s="1816"/>
      <c r="Y38" s="3166"/>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66"/>
      <c r="Q39" s="1813">
        <f t="shared" si="14"/>
        <v>111</v>
      </c>
      <c r="R39" s="774" t="s">
        <v>17</v>
      </c>
      <c r="S39" s="775">
        <f t="shared" si="10"/>
        <v>100</v>
      </c>
      <c r="T39" s="774" t="s">
        <v>17</v>
      </c>
      <c r="U39" s="775">
        <f t="shared" si="11"/>
        <v>100</v>
      </c>
      <c r="V39" s="774" t="s">
        <v>17</v>
      </c>
      <c r="W39" s="775">
        <f t="shared" si="12"/>
        <v>100</v>
      </c>
      <c r="X39" s="1816"/>
      <c r="Y39" s="3166"/>
      <c r="Z39" s="1817">
        <f t="shared" si="13"/>
        <v>111</v>
      </c>
      <c r="AA39" s="1814">
        <f t="shared" si="3"/>
        <v>1</v>
      </c>
      <c r="AB39" s="1814">
        <f t="shared" si="4"/>
        <v>1</v>
      </c>
      <c r="AC39" s="1814">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66"/>
      <c r="Q40" s="1813">
        <f t="shared" si="14"/>
        <v>111</v>
      </c>
      <c r="R40" s="777" t="s">
        <v>17</v>
      </c>
      <c r="S40" s="778">
        <f t="shared" si="10"/>
        <v>100</v>
      </c>
      <c r="T40" s="777" t="s">
        <v>17</v>
      </c>
      <c r="U40" s="778">
        <f t="shared" si="11"/>
        <v>100</v>
      </c>
      <c r="V40" s="777" t="s">
        <v>17</v>
      </c>
      <c r="W40" s="778">
        <f t="shared" si="12"/>
        <v>100</v>
      </c>
      <c r="X40" s="779"/>
      <c r="Y40" s="3166"/>
      <c r="Z40" s="780">
        <f t="shared" si="13"/>
        <v>111</v>
      </c>
      <c r="AA40" s="1814">
        <f t="shared" si="3"/>
        <v>1</v>
      </c>
      <c r="AB40" s="1814">
        <f t="shared" si="4"/>
        <v>1</v>
      </c>
      <c r="AC40" s="1814">
        <f t="shared" si="5"/>
        <v>1</v>
      </c>
    </row>
    <row r="41" spans="1:29" ht="15">
      <c r="A41" s="479" t="s">
        <v>2722</v>
      </c>
      <c r="B41" s="2705" t="s">
        <v>3114</v>
      </c>
      <c r="C41" s="682" t="s">
        <v>1</v>
      </c>
      <c r="D41" s="481"/>
      <c r="E41" s="482">
        <v>1875</v>
      </c>
      <c r="F41" s="483"/>
      <c r="G41" s="484">
        <v>1567</v>
      </c>
      <c r="H41" s="485"/>
      <c r="I41" s="482">
        <v>1887</v>
      </c>
      <c r="J41" s="485"/>
      <c r="K41" s="783"/>
      <c r="L41" s="1145"/>
      <c r="M41" s="1133"/>
      <c r="N41" s="1133"/>
      <c r="O41" s="1146"/>
      <c r="P41" s="3159" t="str">
        <f>A41</f>
        <v>成交单价</v>
      </c>
      <c r="Q41" s="3159"/>
      <c r="R41" s="3190">
        <f>E41</f>
        <v>1875</v>
      </c>
      <c r="S41" s="3190"/>
      <c r="T41" s="3190">
        <f>G41</f>
        <v>1567</v>
      </c>
      <c r="U41" s="3190"/>
      <c r="V41" s="3190">
        <f>I41</f>
        <v>1887</v>
      </c>
      <c r="W41" s="3190"/>
      <c r="X41" s="759"/>
      <c r="Y41" s="781"/>
      <c r="Z41" s="759"/>
      <c r="AA41" s="759"/>
      <c r="AB41" s="759"/>
      <c r="AC41" s="759"/>
    </row>
    <row r="42" spans="1:29" ht="15.75" thickBot="1">
      <c r="A42" s="486" t="s">
        <v>2671</v>
      </c>
      <c r="B42" s="683"/>
      <c r="C42" s="490">
        <f>R43</f>
        <v>1931</v>
      </c>
      <c r="D42" s="489"/>
      <c r="E42" s="490">
        <f>R42</f>
        <v>1889</v>
      </c>
      <c r="F42" s="491"/>
      <c r="G42" s="488">
        <f>T42</f>
        <v>1801</v>
      </c>
      <c r="H42" s="489"/>
      <c r="I42" s="490">
        <f>V42</f>
        <v>2104</v>
      </c>
      <c r="J42" s="489"/>
      <c r="K42" s="784"/>
      <c r="L42" s="1145"/>
      <c r="M42" s="1133"/>
      <c r="N42" s="1133"/>
      <c r="O42" s="1146"/>
      <c r="P42" s="3159" t="str">
        <f>A42</f>
        <v>比较价值（元/平方米）</v>
      </c>
      <c r="Q42" s="3159"/>
      <c r="R42" s="3202">
        <f>ROUND(PRODUCT(R41,AA7:AA40),0)</f>
        <v>1889</v>
      </c>
      <c r="S42" s="3202"/>
      <c r="T42" s="3202">
        <f>ROUND(PRODUCT(T41,AB7:AB40),0)</f>
        <v>1801</v>
      </c>
      <c r="U42" s="3202"/>
      <c r="V42" s="3202">
        <f>ROUND(PRODUCT(V41,AC7:AC40),0)</f>
        <v>2104</v>
      </c>
      <c r="W42" s="3202"/>
      <c r="X42" s="759"/>
      <c r="Y42" s="759"/>
      <c r="Z42" s="759"/>
      <c r="AA42" s="759"/>
      <c r="AB42" s="759"/>
      <c r="AC42" s="759"/>
    </row>
    <row r="43" spans="1:29" ht="15.75" thickBot="1">
      <c r="A43" s="492" t="s">
        <v>3124</v>
      </c>
      <c r="B43" s="493"/>
      <c r="C43" s="494">
        <f>R43</f>
        <v>1931</v>
      </c>
      <c r="D43" s="494"/>
      <c r="E43" s="494"/>
      <c r="F43" s="494"/>
      <c r="G43" s="494"/>
      <c r="H43" s="494"/>
      <c r="I43" s="494"/>
      <c r="J43" s="494"/>
      <c r="K43" s="785"/>
      <c r="L43" s="1145"/>
      <c r="M43" s="1133"/>
      <c r="N43" s="1133"/>
      <c r="O43" s="1146"/>
      <c r="P43" s="3156" t="str">
        <f>A43</f>
        <v>估价对象仓储用房的比较价值（楼面单价，元/平方米）</v>
      </c>
      <c r="Q43" s="3157"/>
      <c r="R43" s="3203">
        <f>ROUND(AVERAGE(R42:V42),0)</f>
        <v>1931</v>
      </c>
      <c r="S43" s="3203"/>
      <c r="T43" s="3203"/>
      <c r="U43" s="3203"/>
      <c r="V43" s="3203"/>
      <c r="W43" s="3203"/>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2673</v>
      </c>
      <c r="D46" s="498"/>
      <c r="E46" s="499">
        <f>IF(E41&lt;E42,E42/E41-1,E41/E42-1)</f>
        <v>7.4666666666667325E-3</v>
      </c>
      <c r="F46" s="500" t="str">
        <f>IF(OR(E46&gt;=0.3,E46&lt;=-0.3),"超过30%","")</f>
        <v/>
      </c>
      <c r="G46" s="499">
        <f>IF(G41&lt;G42,G42/G41-1,G41/G42-1)</f>
        <v>0.14932992980216975</v>
      </c>
      <c r="H46" s="500" t="str">
        <f>IF(OR(G46&gt;=0.3,G46&lt;=-0.3),"超过30%","")</f>
        <v/>
      </c>
      <c r="I46" s="499">
        <f>IF(I41&lt;I42,I42/I41-1,I41/I42-1)</f>
        <v>0.11499735029146785</v>
      </c>
      <c r="J46" s="500" t="str">
        <f>IF(OR(I46&gt;=0.3,I46&lt;=-0.3),"超过30%","")</f>
        <v/>
      </c>
      <c r="K46" s="1107"/>
      <c r="L46" s="1108"/>
      <c r="M46" s="1133"/>
      <c r="N46" s="1133"/>
      <c r="O46" s="1146"/>
    </row>
    <row r="47" spans="1:29" ht="13.5" customHeight="1">
      <c r="A47" s="1146"/>
      <c r="B47" s="1146"/>
      <c r="C47" s="497" t="s">
        <v>2674</v>
      </c>
      <c r="D47" s="501"/>
      <c r="E47" s="499">
        <f>IF(E42&lt;G42,G42/E42-1,E42/G42-1)</f>
        <v>4.8861743475846708E-2</v>
      </c>
      <c r="F47" s="500" t="str">
        <f>IF(OR(E47&gt;=0.2,E47&lt;=-0.2),"超过20%","")</f>
        <v/>
      </c>
      <c r="G47" s="499">
        <f>IF(G42&lt;I42,I42/G42-1,G42/I42-1)</f>
        <v>0.16823986674069968</v>
      </c>
      <c r="H47" s="500" t="str">
        <f>IF(OR(G47&gt;=0.2,G47&lt;=-0.2),"超过20%","")</f>
        <v/>
      </c>
      <c r="I47" s="499">
        <f>IF(I42&lt;E42,E42/I42-1,I42/E42-1)</f>
        <v>0.11381683430386458</v>
      </c>
      <c r="J47" s="500" t="str">
        <f>IF(OR(I47&gt;=0.2,I47&lt;=-0.2),"超过20%","")</f>
        <v/>
      </c>
      <c r="K47" s="1107"/>
      <c r="L47" s="1108"/>
      <c r="M47" s="1146"/>
      <c r="N47" s="1146"/>
      <c r="O47" s="1146"/>
    </row>
    <row r="48" spans="1:29" s="502" customFormat="1" ht="13.5" customHeight="1">
      <c r="A48" s="1147"/>
      <c r="B48" s="1147"/>
      <c r="C48" s="497" t="s">
        <v>2675</v>
      </c>
      <c r="D48" s="501"/>
      <c r="E48" s="499">
        <f>IF(E41&lt;G41,G41/E41-1,E41/G41-1)</f>
        <v>0.19655392469687305</v>
      </c>
      <c r="F48" s="500" t="str">
        <f>IF(OR(E48&gt;=0.3,E48&lt;=-0.3),"超过30%","")</f>
        <v/>
      </c>
      <c r="G48" s="499">
        <f>IF(G41&lt;I41,I41/G41-1,G41/I41-1)</f>
        <v>0.20421186981493289</v>
      </c>
      <c r="H48" s="500" t="str">
        <f>IF(OR(G48&gt;=0.3,G48&lt;=-0.3),"超过30%","")</f>
        <v/>
      </c>
      <c r="I48" s="499">
        <f>IF(I41&lt;E41,E41/I41-1,I41/E41-1)</f>
        <v>6.3999999999999613E-3</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2760</v>
      </c>
      <c r="B50" s="685" t="s">
        <v>2761</v>
      </c>
      <c r="C50" s="2706" t="s">
        <v>2762</v>
      </c>
      <c r="D50" s="2707" t="s">
        <v>2763</v>
      </c>
      <c r="E50" s="686" t="s">
        <v>2764</v>
      </c>
      <c r="F50" s="687" t="s">
        <v>2765</v>
      </c>
      <c r="G50" s="3174" t="s">
        <v>2766</v>
      </c>
      <c r="H50" s="3204"/>
      <c r="I50" s="1817" t="s">
        <v>2801</v>
      </c>
      <c r="J50" s="1817">
        <f>项目基本情况!F35</f>
        <v>0</v>
      </c>
      <c r="K50" s="2709" t="s">
        <v>2768</v>
      </c>
      <c r="L50" s="1108"/>
      <c r="M50" s="1146"/>
      <c r="N50" s="1146"/>
      <c r="O50" s="1146"/>
    </row>
    <row r="51" spans="1:17" s="692" customFormat="1">
      <c r="A51" s="688" t="s">
        <v>2769</v>
      </c>
      <c r="B51" s="689">
        <f>C43</f>
        <v>1931</v>
      </c>
      <c r="C51" s="690">
        <v>1</v>
      </c>
      <c r="D51" s="1165">
        <v>1</v>
      </c>
      <c r="E51" s="690">
        <f>'数据-汇总表'!E8+'数据-汇总表'!E9</f>
        <v>16162.07</v>
      </c>
      <c r="F51" s="691">
        <f t="shared" ref="F51:F60" si="15">ROUND(B51*E51/10000,0)</f>
        <v>3121</v>
      </c>
      <c r="G51" s="3170"/>
      <c r="H51" s="3159"/>
      <c r="I51" s="944">
        <v>1</v>
      </c>
      <c r="J51" s="944">
        <v>1</v>
      </c>
      <c r="K51" s="1147"/>
      <c r="L51" s="943"/>
      <c r="M51" s="943"/>
      <c r="N51" s="943"/>
      <c r="O51" s="943"/>
    </row>
    <row r="52" spans="1:17" s="692" customFormat="1">
      <c r="A52" s="693" t="s">
        <v>2770</v>
      </c>
      <c r="B52" s="262">
        <f>ROUND($C$43*C52*D52,0)</f>
        <v>0</v>
      </c>
      <c r="C52" s="200">
        <f t="shared" ref="C52:C60" si="16">IF($C$50="北京市系数",I52,J52)</f>
        <v>0</v>
      </c>
      <c r="D52" s="1166">
        <v>0.25</v>
      </c>
      <c r="E52" s="694"/>
      <c r="F52" s="691">
        <f t="shared" si="15"/>
        <v>0</v>
      </c>
      <c r="G52" s="3205" t="s">
        <v>2771</v>
      </c>
      <c r="H52" s="1106">
        <f>项目基本情况!B37</f>
        <v>0</v>
      </c>
      <c r="I52" s="944">
        <f>SUMIF(修正!A45:A56,H52,修正!B45:B56)</f>
        <v>0</v>
      </c>
      <c r="J52" s="945"/>
      <c r="K52" s="1146"/>
      <c r="L52" s="943"/>
      <c r="M52" s="943"/>
      <c r="N52" s="943"/>
      <c r="O52" s="943"/>
    </row>
    <row r="53" spans="1:17" s="692" customFormat="1">
      <c r="A53" s="693" t="s">
        <v>2772</v>
      </c>
      <c r="B53" s="262">
        <f t="shared" ref="B53:B60" si="17">ROUND($C$43*C53*D53,0)</f>
        <v>0</v>
      </c>
      <c r="C53" s="200">
        <f t="shared" si="16"/>
        <v>0</v>
      </c>
      <c r="D53" s="1166">
        <v>0.25</v>
      </c>
      <c r="E53" s="694"/>
      <c r="F53" s="691">
        <f t="shared" si="15"/>
        <v>0</v>
      </c>
      <c r="G53" s="3205"/>
      <c r="H53" s="1106">
        <f>项目基本情况!B37</f>
        <v>0</v>
      </c>
      <c r="I53" s="944">
        <f>SUMIF(修正!A45:A56,H53,修正!C45:C56)</f>
        <v>0</v>
      </c>
      <c r="J53" s="945"/>
      <c r="K53" s="1147"/>
      <c r="L53" s="943"/>
      <c r="M53" s="943"/>
      <c r="N53" s="943"/>
      <c r="O53" s="943"/>
    </row>
    <row r="54" spans="1:17" s="692" customFormat="1">
      <c r="A54" s="693" t="s">
        <v>2773</v>
      </c>
      <c r="B54" s="262">
        <f t="shared" si="17"/>
        <v>0</v>
      </c>
      <c r="C54" s="200">
        <f t="shared" si="16"/>
        <v>0</v>
      </c>
      <c r="D54" s="1166">
        <v>0.25</v>
      </c>
      <c r="E54" s="694"/>
      <c r="F54" s="691">
        <f t="shared" si="15"/>
        <v>0</v>
      </c>
      <c r="G54" s="3205"/>
      <c r="H54" s="1106">
        <f>项目基本情况!B37</f>
        <v>0</v>
      </c>
      <c r="I54" s="944">
        <f>SUMIF(修正!A45:A56,H54,修正!D45:D56)</f>
        <v>0</v>
      </c>
      <c r="J54" s="945"/>
      <c r="K54" s="1146"/>
      <c r="L54" s="943"/>
      <c r="M54" s="943"/>
      <c r="N54" s="943"/>
      <c r="O54" s="943"/>
    </row>
    <row r="55" spans="1:17" s="692" customFormat="1">
      <c r="A55" s="693" t="s">
        <v>2774</v>
      </c>
      <c r="B55" s="262">
        <f t="shared" si="17"/>
        <v>0</v>
      </c>
      <c r="C55" s="200">
        <f t="shared" si="16"/>
        <v>0</v>
      </c>
      <c r="D55" s="1166">
        <v>0.25</v>
      </c>
      <c r="E55" s="694"/>
      <c r="F55" s="691">
        <f t="shared" si="15"/>
        <v>0</v>
      </c>
      <c r="G55" s="3205"/>
      <c r="H55" s="1106">
        <f>项目基本情况!B37</f>
        <v>0</v>
      </c>
      <c r="I55" s="944">
        <f>SUMIF(修正!A45:A56,H55,修正!E45:E56)</f>
        <v>0</v>
      </c>
      <c r="J55" s="945"/>
      <c r="K55" s="1147"/>
      <c r="L55" s="943"/>
      <c r="M55" s="943"/>
      <c r="N55" s="943"/>
      <c r="O55" s="943"/>
    </row>
    <row r="56" spans="1:17" s="692" customFormat="1">
      <c r="A56" s="693" t="s">
        <v>2775</v>
      </c>
      <c r="B56" s="262">
        <f t="shared" si="17"/>
        <v>0</v>
      </c>
      <c r="C56" s="200">
        <f t="shared" si="16"/>
        <v>0</v>
      </c>
      <c r="D56" s="1166">
        <v>0.25</v>
      </c>
      <c r="E56" s="261">
        <f>'数据-汇总表'!E11</f>
        <v>0</v>
      </c>
      <c r="F56" s="691">
        <f t="shared" si="15"/>
        <v>0</v>
      </c>
      <c r="G56" s="2710" t="s">
        <v>2776</v>
      </c>
      <c r="H56" s="1106">
        <f>项目基本情况!C37</f>
        <v>0</v>
      </c>
      <c r="I56" s="944">
        <f>SUMIF(修正!A45:A56,H56,修正!F45:F56)</f>
        <v>0</v>
      </c>
      <c r="J56" s="945"/>
      <c r="K56" s="1146"/>
      <c r="L56" s="943"/>
      <c r="M56" s="943"/>
      <c r="N56" s="943"/>
      <c r="O56" s="943"/>
    </row>
    <row r="57" spans="1:17" s="692" customFormat="1">
      <c r="A57" s="693" t="s">
        <v>2777</v>
      </c>
      <c r="B57" s="262">
        <f t="shared" si="17"/>
        <v>97</v>
      </c>
      <c r="C57" s="200">
        <f t="shared" si="16"/>
        <v>0.2</v>
      </c>
      <c r="D57" s="1166">
        <v>0.25</v>
      </c>
      <c r="E57" s="261">
        <f>'数据-汇总表'!E12</f>
        <v>562.44000000000005</v>
      </c>
      <c r="F57" s="691">
        <f t="shared" si="15"/>
        <v>5</v>
      </c>
      <c r="G57" s="1111" t="s">
        <v>6</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2779</v>
      </c>
      <c r="B58" s="262">
        <f t="shared" si="17"/>
        <v>0</v>
      </c>
      <c r="C58" s="200">
        <f t="shared" si="16"/>
        <v>0</v>
      </c>
      <c r="D58" s="1166">
        <v>0.25</v>
      </c>
      <c r="E58" s="261">
        <f>'数据-汇总表'!E13</f>
        <v>0</v>
      </c>
      <c r="F58" s="691">
        <f t="shared" si="15"/>
        <v>0</v>
      </c>
      <c r="G58" s="1111" t="s">
        <v>3125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2781</v>
      </c>
      <c r="B59" s="262">
        <f t="shared" si="17"/>
        <v>0</v>
      </c>
      <c r="C59" s="200">
        <f t="shared" si="16"/>
        <v>0</v>
      </c>
      <c r="D59" s="1166">
        <v>0.25</v>
      </c>
      <c r="E59" s="261">
        <f>'数据-汇总表'!E14</f>
        <v>0</v>
      </c>
      <c r="F59" s="691">
        <f t="shared" si="15"/>
        <v>0</v>
      </c>
      <c r="G59" s="2710" t="s">
        <v>2771</v>
      </c>
      <c r="H59" s="1106">
        <f>项目基本情况!B37</f>
        <v>0</v>
      </c>
      <c r="I59" s="944">
        <f>SUMIF(修正!A45:A56,H59,修正!H45:H56)</f>
        <v>0</v>
      </c>
      <c r="J59" s="945"/>
      <c r="K59" s="1147"/>
      <c r="L59" s="943"/>
      <c r="M59" s="943"/>
      <c r="N59" s="943"/>
      <c r="O59" s="943"/>
    </row>
    <row r="60" spans="1:17" s="692" customFormat="1" ht="15" thickBot="1">
      <c r="A60" s="693" t="s">
        <v>2782</v>
      </c>
      <c r="B60" s="262">
        <f t="shared" si="17"/>
        <v>0</v>
      </c>
      <c r="C60" s="200">
        <f t="shared" si="16"/>
        <v>0</v>
      </c>
      <c r="D60" s="1166">
        <v>0.25</v>
      </c>
      <c r="E60" s="261">
        <f>'数据-汇总表'!E15</f>
        <v>0</v>
      </c>
      <c r="F60" s="691">
        <f t="shared" si="15"/>
        <v>0</v>
      </c>
      <c r="G60" s="2711" t="s">
        <v>2776</v>
      </c>
      <c r="H60" s="1116">
        <f>项目基本情况!C37</f>
        <v>0</v>
      </c>
      <c r="I60" s="944">
        <f>SUMIF(修正!A45:A56,H60,修正!H45:H56)</f>
        <v>0</v>
      </c>
      <c r="J60" s="945"/>
      <c r="K60" s="1146"/>
      <c r="L60" s="943"/>
      <c r="M60" s="943"/>
      <c r="N60" s="943"/>
      <c r="O60" s="943"/>
    </row>
    <row r="61" spans="1:17" s="692" customFormat="1" ht="15" thickBot="1">
      <c r="A61" s="695" t="s">
        <v>2783</v>
      </c>
      <c r="B61" s="696" t="s">
        <v>28</v>
      </c>
      <c r="C61" s="696" t="s">
        <v>29</v>
      </c>
      <c r="D61" s="696" t="s">
        <v>1029</v>
      </c>
      <c r="E61" s="696">
        <f>IF(B41="楼面地价",SUM(E51:E60),'数据-汇总表'!D3)</f>
        <v>16724.509999999998</v>
      </c>
      <c r="F61" s="697">
        <f>IF(B41="楼面地价",SUM(F51:F60),ROUND(C43*E61/10000,0))</f>
        <v>3126</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2676</v>
      </c>
      <c r="B64" s="759"/>
      <c r="C64" s="764"/>
      <c r="D64" s="764"/>
      <c r="E64" s="764"/>
      <c r="F64" s="765"/>
      <c r="G64" s="765"/>
      <c r="H64" s="764"/>
      <c r="I64" s="764"/>
      <c r="J64" s="764"/>
      <c r="K64" s="766"/>
      <c r="L64" s="767"/>
      <c r="M64" s="764"/>
      <c r="N64" s="764"/>
      <c r="O64" s="1161"/>
      <c r="P64" s="503"/>
      <c r="Q64" s="504"/>
    </row>
    <row r="65" spans="1:17" s="508" customFormat="1" ht="15">
      <c r="A65" s="2712" t="s">
        <v>2784</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7" t="s">
        <v>2802</v>
      </c>
      <c r="B66" s="332" t="str">
        <f>"北京市平均增长率"&amp;TEXT(基准地价修正!P24,"0.00%")</f>
        <v>北京市平均增长率1.39%</v>
      </c>
      <c r="C66" s="603">
        <v>100</v>
      </c>
      <c r="D66" s="595">
        <f>C66-1.5</f>
        <v>98.5</v>
      </c>
      <c r="E66" s="595">
        <f t="shared" ref="E66:O66" si="20">D66-1.5</f>
        <v>97</v>
      </c>
      <c r="F66" s="595">
        <f t="shared" si="20"/>
        <v>95.5</v>
      </c>
      <c r="G66" s="595">
        <f t="shared" si="20"/>
        <v>94</v>
      </c>
      <c r="H66" s="595">
        <f t="shared" si="20"/>
        <v>92.5</v>
      </c>
      <c r="I66" s="595">
        <f t="shared" si="20"/>
        <v>91</v>
      </c>
      <c r="J66" s="595">
        <f t="shared" si="20"/>
        <v>89.5</v>
      </c>
      <c r="K66" s="595">
        <f t="shared" si="20"/>
        <v>88</v>
      </c>
      <c r="L66" s="595">
        <f t="shared" si="20"/>
        <v>86.5</v>
      </c>
      <c r="M66" s="595">
        <f t="shared" si="20"/>
        <v>85</v>
      </c>
      <c r="N66" s="595">
        <f t="shared" si="20"/>
        <v>83.5</v>
      </c>
      <c r="O66" s="595">
        <f t="shared" si="20"/>
        <v>82</v>
      </c>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2590</v>
      </c>
      <c r="B70" s="528" t="s">
        <v>2556</v>
      </c>
      <c r="C70" s="2951" t="s">
        <v>3080</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2559</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2560</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v>4</v>
      </c>
      <c r="H75" s="549">
        <v>5</v>
      </c>
      <c r="I75" s="549"/>
      <c r="J75" s="549"/>
      <c r="K75" s="550"/>
      <c r="L75" s="551"/>
      <c r="M75" s="552"/>
      <c r="N75" s="1154"/>
      <c r="O75" s="1154"/>
      <c r="P75" s="45"/>
      <c r="Q75" s="504"/>
    </row>
    <row r="76" spans="1:17" ht="15.75" thickBot="1">
      <c r="A76" s="534"/>
      <c r="B76" s="535"/>
      <c r="C76" s="544">
        <v>100</v>
      </c>
      <c r="D76" s="544">
        <f>IF($B$41="单位面积地价",C76+$K11,C76-$K11)</f>
        <v>97</v>
      </c>
      <c r="E76" s="544">
        <f t="shared" ref="E76:M76" si="22">IF($B$41="单位面积地价",D76+$K11,D76-$K11)</f>
        <v>94</v>
      </c>
      <c r="F76" s="544">
        <f t="shared" si="22"/>
        <v>91</v>
      </c>
      <c r="G76" s="544">
        <f t="shared" si="22"/>
        <v>88</v>
      </c>
      <c r="H76" s="544">
        <f t="shared" si="22"/>
        <v>85</v>
      </c>
      <c r="I76" s="544">
        <f t="shared" si="22"/>
        <v>82</v>
      </c>
      <c r="J76" s="544">
        <f t="shared" si="22"/>
        <v>79</v>
      </c>
      <c r="K76" s="544">
        <f t="shared" si="22"/>
        <v>76</v>
      </c>
      <c r="L76" s="544">
        <f t="shared" si="22"/>
        <v>73</v>
      </c>
      <c r="M76" s="544">
        <f t="shared" si="22"/>
        <v>70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4"/>
      <c r="O83" s="1154"/>
      <c r="P83" s="577"/>
      <c r="Q83" s="504"/>
    </row>
    <row r="84" spans="1:17" ht="15.75" thickBot="1">
      <c r="A84" s="534"/>
      <c r="B84" s="543"/>
      <c r="C84" s="544">
        <v>100</v>
      </c>
      <c r="D84" s="544">
        <f>C84-$K15</f>
        <v>95</v>
      </c>
      <c r="E84" s="544">
        <f>D84-$K15</f>
        <v>90</v>
      </c>
      <c r="F84" s="544">
        <f>E84-$K15</f>
        <v>85</v>
      </c>
      <c r="G84" s="544">
        <f>F84-$K15</f>
        <v>80</v>
      </c>
      <c r="H84" s="544"/>
      <c r="I84" s="544"/>
      <c r="J84" s="544"/>
      <c r="K84" s="544"/>
      <c r="L84" s="544"/>
      <c r="M84" s="545"/>
      <c r="N84" s="1155"/>
      <c r="O84" s="1155"/>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4"/>
      <c r="O85" s="1154"/>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5"/>
      <c r="O86" s="1155"/>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3"/>
      <c r="O89" s="1153"/>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5"/>
      <c r="O90" s="1155"/>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6"/>
      <c r="O91" s="1156"/>
      <c r="P91" s="558"/>
      <c r="Q91" s="559"/>
    </row>
    <row r="92" spans="1:17" s="471" customFormat="1" ht="15.75" thickBot="1">
      <c r="A92" s="553"/>
      <c r="B92" s="543"/>
      <c r="C92" s="544">
        <v>100</v>
      </c>
      <c r="D92" s="544">
        <f>C92-$K23</f>
        <v>95</v>
      </c>
      <c r="E92" s="544">
        <f>D92-$K23</f>
        <v>90</v>
      </c>
      <c r="F92" s="544">
        <f>E92-$K23</f>
        <v>85</v>
      </c>
      <c r="G92" s="544">
        <f>F92-$K23</f>
        <v>80</v>
      </c>
      <c r="H92" s="607"/>
      <c r="I92" s="607"/>
      <c r="J92" s="607"/>
      <c r="K92" s="607"/>
      <c r="L92" s="607"/>
      <c r="M92" s="608"/>
      <c r="N92" s="1156"/>
      <c r="O92" s="1156"/>
      <c r="P92" s="558"/>
      <c r="Q92" s="559"/>
    </row>
    <row r="93" spans="1:17" s="471" customFormat="1" ht="15.75" thickTop="1">
      <c r="A93" s="553"/>
      <c r="B93" s="546" t="s">
        <v>2803</v>
      </c>
      <c r="C93" s="660" t="s">
        <v>2677</v>
      </c>
      <c r="D93" s="660" t="s">
        <v>2678</v>
      </c>
      <c r="E93" s="660" t="s">
        <v>2679</v>
      </c>
      <c r="F93" s="660" t="s">
        <v>2680</v>
      </c>
      <c r="G93" s="660" t="s">
        <v>2681</v>
      </c>
      <c r="H93" s="600"/>
      <c r="I93" s="600"/>
      <c r="J93" s="600"/>
      <c r="K93" s="600"/>
      <c r="L93" s="600"/>
      <c r="M93" s="602"/>
      <c r="N93" s="1156"/>
      <c r="O93" s="1156"/>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7"/>
      <c r="N94" s="1156"/>
      <c r="O94" s="1156"/>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2693</v>
      </c>
      <c r="C97" s="2960" t="s">
        <v>3108</v>
      </c>
      <c r="D97" s="2960" t="s">
        <v>3109</v>
      </c>
      <c r="E97" s="2960" t="s">
        <v>3110</v>
      </c>
      <c r="F97" s="2960" t="s">
        <v>3111</v>
      </c>
      <c r="G97" s="2960" t="s">
        <v>3112</v>
      </c>
      <c r="H97" s="583"/>
      <c r="I97" s="583"/>
      <c r="J97" s="583"/>
      <c r="K97" s="584"/>
      <c r="L97" s="585"/>
      <c r="M97" s="586"/>
      <c r="N97" s="1154"/>
      <c r="O97" s="1154"/>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5"/>
      <c r="O98" s="1155"/>
      <c r="P98" s="45"/>
      <c r="Q98" s="504"/>
    </row>
    <row r="99" spans="1:17" ht="15.75" thickTop="1">
      <c r="A99" s="534"/>
      <c r="B99" s="538" t="s">
        <v>2752</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2565</v>
      </c>
      <c r="B107" s="528" t="s">
        <v>2792</v>
      </c>
      <c r="C107" s="529" t="str">
        <f t="shared" ref="C107:L107" si="26">C108&amp;"(含)"&amp;"-"&amp;D108</f>
        <v>0(含)-20000</v>
      </c>
      <c r="D107" s="529" t="str">
        <f t="shared" si="26"/>
        <v>20000(含)-40000</v>
      </c>
      <c r="E107" s="529" t="str">
        <f t="shared" si="26"/>
        <v>40000(含)-60000</v>
      </c>
      <c r="F107" s="529" t="str">
        <f t="shared" si="26"/>
        <v>60000(含)-80000</v>
      </c>
      <c r="G107" s="529" t="str">
        <f t="shared" si="26"/>
        <v>80000(含)-100000</v>
      </c>
      <c r="H107" s="529" t="str">
        <f t="shared" si="26"/>
        <v>100000(含)-200000</v>
      </c>
      <c r="I107" s="529" t="str">
        <f t="shared" si="26"/>
        <v>200000(含)-</v>
      </c>
      <c r="J107" s="529" t="str">
        <f t="shared" si="26"/>
        <v>(含)-</v>
      </c>
      <c r="K107" s="1769" t="str">
        <f t="shared" si="26"/>
        <v>(含)-</v>
      </c>
      <c r="L107" s="1769" t="str">
        <f t="shared" si="26"/>
        <v>(含)-</v>
      </c>
      <c r="M107" s="1770" t="str">
        <f>M108&amp;"(含)"&amp;"-"&amp;P108</f>
        <v>(含)-</v>
      </c>
      <c r="N107" s="1154"/>
      <c r="O107" s="1154"/>
      <c r="P107" s="45"/>
      <c r="Q107" s="504"/>
    </row>
    <row r="108" spans="1:17" ht="15">
      <c r="A108" s="534"/>
      <c r="B108" s="546"/>
      <c r="C108" s="595">
        <v>0</v>
      </c>
      <c r="D108" s="595">
        <v>20000</v>
      </c>
      <c r="E108" s="595">
        <v>40000</v>
      </c>
      <c r="F108" s="595">
        <v>60000</v>
      </c>
      <c r="G108" s="595">
        <v>80000</v>
      </c>
      <c r="H108" s="595">
        <v>100000</v>
      </c>
      <c r="I108" s="595">
        <v>200000</v>
      </c>
      <c r="J108" s="596"/>
      <c r="K108" s="596"/>
      <c r="L108" s="597"/>
      <c r="M108" s="598"/>
      <c r="N108" s="1154"/>
      <c r="O108" s="1154"/>
      <c r="P108" s="45"/>
      <c r="Q108" s="504"/>
    </row>
    <row r="109" spans="1:17" ht="15.75" thickBot="1">
      <c r="A109" s="534"/>
      <c r="B109" s="543"/>
      <c r="C109" s="570">
        <v>100</v>
      </c>
      <c r="D109" s="591">
        <v>101</v>
      </c>
      <c r="E109" s="591">
        <v>102</v>
      </c>
      <c r="F109" s="591">
        <v>103</v>
      </c>
      <c r="G109" s="591">
        <v>104</v>
      </c>
      <c r="H109" s="591">
        <v>105</v>
      </c>
      <c r="I109" s="591">
        <v>106</v>
      </c>
      <c r="J109" s="591"/>
      <c r="K109" s="591"/>
      <c r="L109" s="591"/>
      <c r="M109" s="592"/>
      <c r="N109" s="1155"/>
      <c r="O109" s="1155"/>
      <c r="P109" s="45"/>
      <c r="Q109" s="504"/>
    </row>
    <row r="110" spans="1:17" ht="15" thickTop="1">
      <c r="A110" s="599"/>
      <c r="B110" s="538" t="s">
        <v>2793</v>
      </c>
      <c r="C110" s="2961" t="s">
        <v>3116</v>
      </c>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99</v>
      </c>
      <c r="E111" s="544">
        <f t="shared" si="27"/>
        <v>98</v>
      </c>
      <c r="F111" s="544">
        <f t="shared" si="27"/>
        <v>97</v>
      </c>
      <c r="G111" s="544">
        <f t="shared" si="27"/>
        <v>96</v>
      </c>
      <c r="H111" s="544">
        <f t="shared" si="27"/>
        <v>95</v>
      </c>
      <c r="I111" s="544">
        <f t="shared" si="27"/>
        <v>94</v>
      </c>
      <c r="J111" s="544">
        <f t="shared" si="27"/>
        <v>93</v>
      </c>
      <c r="K111" s="544">
        <f t="shared" si="27"/>
        <v>92</v>
      </c>
      <c r="L111" s="544">
        <f t="shared" si="27"/>
        <v>91</v>
      </c>
      <c r="M111" s="545">
        <f t="shared" si="27"/>
        <v>90</v>
      </c>
      <c r="N111" s="1155"/>
      <c r="O111" s="1155"/>
      <c r="P111" s="45"/>
      <c r="Q111" s="504"/>
    </row>
    <row r="112" spans="1:17" s="471" customFormat="1" ht="15" thickTop="1">
      <c r="A112" s="593"/>
      <c r="B112" s="538" t="s">
        <v>2795</v>
      </c>
      <c r="C112" s="2962" t="s">
        <v>3102</v>
      </c>
      <c r="D112" s="2962" t="s">
        <v>3119</v>
      </c>
      <c r="E112" s="2962" t="s">
        <v>3120</v>
      </c>
      <c r="F112" s="2962" t="s">
        <v>3121</v>
      </c>
      <c r="G112" s="2962" t="s">
        <v>3123</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2796</v>
      </c>
      <c r="C114" s="2962" t="s">
        <v>3117</v>
      </c>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9">C115-$K37</f>
        <v>99</v>
      </c>
      <c r="E115" s="544">
        <f t="shared" si="29"/>
        <v>98</v>
      </c>
      <c r="F115" s="544">
        <f t="shared" si="29"/>
        <v>97</v>
      </c>
      <c r="G115" s="544">
        <f t="shared" si="29"/>
        <v>96</v>
      </c>
      <c r="H115" s="544">
        <f t="shared" si="29"/>
        <v>95</v>
      </c>
      <c r="I115" s="544">
        <f t="shared" si="29"/>
        <v>94</v>
      </c>
      <c r="J115" s="544">
        <f t="shared" si="29"/>
        <v>93</v>
      </c>
      <c r="K115" s="544">
        <f t="shared" si="29"/>
        <v>92</v>
      </c>
      <c r="L115" s="544">
        <f t="shared" si="29"/>
        <v>91</v>
      </c>
      <c r="M115" s="545">
        <f t="shared" si="29"/>
        <v>90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25" sqref="D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3057</v>
      </c>
      <c r="D1" s="1823" t="s">
        <v>70</v>
      </c>
      <c r="E1" s="1824" t="s">
        <v>1388</v>
      </c>
      <c r="F1" s="1285">
        <f ca="1">J53</f>
        <v>38.4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14481</v>
      </c>
      <c r="C2" s="1848" t="s">
        <v>1518</v>
      </c>
      <c r="D2" s="1848"/>
      <c r="E2" s="1849"/>
      <c r="F2" s="1850"/>
      <c r="G2" s="1851"/>
      <c r="H2" s="1843"/>
      <c r="I2" s="1843"/>
      <c r="J2" s="1843"/>
      <c r="K2" s="1844"/>
      <c r="L2" s="1843"/>
      <c r="M2" s="1843"/>
    </row>
    <row r="3" spans="1:37" ht="18" customHeight="1" thickBot="1">
      <c r="A3" s="1852" t="s">
        <v>1519</v>
      </c>
      <c r="B3" s="1853">
        <f ca="1">IF(ISERROR(B2*10000/F43),0,ROUND(B2*10000/F43,0))</f>
        <v>8659</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880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879</v>
      </c>
      <c r="D6" s="164" t="s">
        <v>3036</v>
      </c>
      <c r="E6" s="347" t="s">
        <v>1406</v>
      </c>
      <c r="F6" s="348">
        <f ca="1">INDIRECT("'数据-取费表'!u"&amp;$G$1)</f>
        <v>1.6</v>
      </c>
      <c r="G6" s="1854"/>
      <c r="H6" s="1293" t="s">
        <v>1035</v>
      </c>
      <c r="I6" s="3219" t="s">
        <v>1404</v>
      </c>
      <c r="J6" s="346">
        <f ca="1">ROUND(M6*M8*M7*(1-M9)/10000,0)</f>
        <v>0</v>
      </c>
      <c r="K6" s="164" t="s">
        <v>3035</v>
      </c>
      <c r="L6" s="347" t="s">
        <v>1406</v>
      </c>
      <c r="M6" s="348">
        <f ca="1">INDIRECT("'数据-取费表'!z"&amp;$G$1)</f>
        <v>0</v>
      </c>
    </row>
    <row r="7" spans="1:37" ht="18" customHeight="1">
      <c r="A7" s="1297"/>
      <c r="B7" s="3220"/>
      <c r="C7" s="1299"/>
      <c r="D7" s="352"/>
      <c r="E7" s="1300" t="s">
        <v>1407</v>
      </c>
      <c r="F7" s="348">
        <f ca="1">IF(INDIRECT("'数据-取费表'!ah"&amp;$G$1)="",INDIRECT("'数据-取费表'!k"&amp;$G$1),INDIRECT("'数据-取费表'!ah"&amp;$G$1))</f>
        <v>16724.509999999998</v>
      </c>
      <c r="G7" s="1854"/>
      <c r="H7" s="349"/>
      <c r="I7" s="3220"/>
      <c r="J7" s="351"/>
      <c r="K7" s="352"/>
      <c r="L7" s="347" t="s">
        <v>1407</v>
      </c>
      <c r="M7" s="348">
        <f ca="1">F7</f>
        <v>16724.509999999998</v>
      </c>
    </row>
    <row r="8" spans="1:37" ht="18" customHeight="1">
      <c r="A8" s="349"/>
      <c r="B8" s="3220"/>
      <c r="C8" s="351"/>
      <c r="D8" s="352"/>
      <c r="E8" s="347" t="s">
        <v>1408</v>
      </c>
      <c r="F8" s="348">
        <f ca="1">INDIRECT("'数据-取费表'!ai"&amp;$G$1)</f>
        <v>365</v>
      </c>
      <c r="G8" s="1854"/>
      <c r="H8" s="349"/>
      <c r="I8" s="3220"/>
      <c r="J8" s="351"/>
      <c r="K8" s="352"/>
      <c r="L8" s="347" t="s">
        <v>1408</v>
      </c>
      <c r="M8" s="348">
        <f ca="1">INDIRECT("'数据-取费表'!ai"&amp;$G$1)</f>
        <v>365</v>
      </c>
    </row>
    <row r="9" spans="1:37" ht="18" customHeight="1">
      <c r="A9" s="349"/>
      <c r="B9" s="3221"/>
      <c r="C9" s="351"/>
      <c r="D9" s="352"/>
      <c r="E9" s="347" t="s">
        <v>1409</v>
      </c>
      <c r="F9" s="357">
        <f ca="1">INDIRECT("'数据-取费表'!w"&amp;$G$1)</f>
        <v>0.1</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1</v>
      </c>
      <c r="D10" s="1827" t="s">
        <v>3037</v>
      </c>
      <c r="E10" s="358" t="s">
        <v>1412</v>
      </c>
      <c r="F10" s="1368" t="s">
        <v>3051</v>
      </c>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5411</v>
      </c>
      <c r="D13" s="1333" t="s">
        <v>1417</v>
      </c>
      <c r="E13" s="1333" t="s">
        <v>1418</v>
      </c>
      <c r="F13" s="1334">
        <f ca="1">INDIRECT("'数据-取费表'!y"&amp;$G$1)</f>
        <v>0.87</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4181</v>
      </c>
      <c r="D14" s="1803" t="s">
        <v>1420</v>
      </c>
      <c r="E14" s="1797"/>
      <c r="F14" s="364"/>
      <c r="G14" s="1854"/>
      <c r="H14" s="1203" t="s">
        <v>1035</v>
      </c>
      <c r="I14" s="347" t="s">
        <v>1421</v>
      </c>
      <c r="J14" s="24">
        <f ca="1">C29</f>
        <v>6219</v>
      </c>
      <c r="K14" s="15"/>
      <c r="L14" s="981"/>
      <c r="M14" s="982"/>
    </row>
    <row r="15" spans="1:37" s="1861" customFormat="1" ht="18" customHeight="1" thickBot="1">
      <c r="A15" s="1203" t="s">
        <v>1036</v>
      </c>
      <c r="B15" s="347" t="s">
        <v>1422</v>
      </c>
      <c r="C15" s="24">
        <f ca="1">ROUND(C14*F15,0)</f>
        <v>125</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147</v>
      </c>
      <c r="K16" s="1339" t="s">
        <v>1427</v>
      </c>
      <c r="L16" s="1340"/>
      <c r="M16" s="1296"/>
    </row>
    <row r="17" spans="1:37" s="1861" customFormat="1" ht="18" customHeight="1">
      <c r="A17" s="1203" t="s">
        <v>1391</v>
      </c>
      <c r="B17" s="347" t="s">
        <v>1428</v>
      </c>
      <c r="C17" s="24">
        <f ca="1">ROUND(F17*(F43+INDIRECT("'数据-取费表'!S"&amp;$G$1))/10000,0)</f>
        <v>334</v>
      </c>
      <c r="D17" s="347" t="s">
        <v>1429</v>
      </c>
      <c r="E17" s="347" t="s">
        <v>1430</v>
      </c>
      <c r="F17" s="26">
        <f>'数据-取费表'!B35</f>
        <v>200</v>
      </c>
      <c r="G17" s="1857"/>
      <c r="H17" s="1203" t="s">
        <v>1035</v>
      </c>
      <c r="I17" s="347" t="s">
        <v>1431</v>
      </c>
      <c r="J17" s="24">
        <f ca="1">ROUND(IF(项目基本情况!B11="自然人",J5*M17,J18+J19+J20),1)</f>
        <v>53.7</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63</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4703</v>
      </c>
      <c r="D19" s="140" t="s">
        <v>1438</v>
      </c>
      <c r="E19" s="1821"/>
      <c r="F19" s="26"/>
      <c r="G19" s="1854"/>
      <c r="H19" s="1203" t="s">
        <v>1036</v>
      </c>
      <c r="I19" s="347" t="s">
        <v>1439</v>
      </c>
      <c r="J19" s="24">
        <f ca="1">IF(K19="按租金收入计税",ROUND(J5*M19,2),ROUND(C29*M19*0.7,2))</f>
        <v>52.24</v>
      </c>
      <c r="K19" s="1831" t="s">
        <v>1440</v>
      </c>
      <c r="L19" s="347" t="s">
        <v>1424</v>
      </c>
      <c r="M19" s="367">
        <f>IF(K19="按租金收入计税",'数据-取费表'!B51,'数据-取费表'!B50)</f>
        <v>1.2E-2</v>
      </c>
    </row>
    <row r="20" spans="1:37" s="1861" customFormat="1" ht="18" customHeight="1">
      <c r="A20" s="1203" t="s">
        <v>1039</v>
      </c>
      <c r="B20" s="347" t="s">
        <v>1441</v>
      </c>
      <c r="C20" s="24">
        <f ca="1">ROUND(C19*F20,0)</f>
        <v>94</v>
      </c>
      <c r="D20" s="369" t="s">
        <v>1442</v>
      </c>
      <c r="E20" s="347" t="s">
        <v>1424</v>
      </c>
      <c r="F20" s="367">
        <f>'数据-取费表'!B37</f>
        <v>0.02</v>
      </c>
      <c r="G20" s="1857"/>
      <c r="H20" s="1203" t="s">
        <v>1390</v>
      </c>
      <c r="I20" s="164" t="s">
        <v>1443</v>
      </c>
      <c r="J20" s="25">
        <f ca="1">ROUND(M20*M21/10000,2)</f>
        <v>1.5</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9999.1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93.3</v>
      </c>
      <c r="K22" s="1801"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227</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1801" t="s">
        <v>1456</v>
      </c>
      <c r="L23" s="347" t="s">
        <v>1457</v>
      </c>
      <c r="M23" s="376">
        <f ca="1">INDIRECT("'数据-取费表'!Al"&amp;$G$1)</f>
        <v>2.5000000000000001E-3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-147</v>
      </c>
      <c r="K25" s="1347" t="s">
        <v>1466</v>
      </c>
      <c r="L25" s="1348"/>
      <c r="M25" s="1349"/>
    </row>
    <row r="26" spans="1:37">
      <c r="A26" s="1203" t="s">
        <v>1034</v>
      </c>
      <c r="B26" s="347" t="s">
        <v>1467</v>
      </c>
      <c r="C26" s="24">
        <f ca="1">ROUND((C19+C20)*F26,0)</f>
        <v>720</v>
      </c>
      <c r="D26" s="369" t="s">
        <v>1468</v>
      </c>
      <c r="E26" s="358" t="s">
        <v>1469</v>
      </c>
      <c r="F26" s="357">
        <f ca="1">INDIRECT("'数据-取费表'!q"&amp;$G$1)</f>
        <v>0.15</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3" t="s">
        <v>1036</v>
      </c>
      <c r="B27" s="347" t="s">
        <v>1473</v>
      </c>
      <c r="C27" s="24">
        <f ca="1">ROUND(F21*F26,4)</f>
        <v>3.0000000000000001E-3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6219</v>
      </c>
      <c r="D29" s="1344"/>
      <c r="E29" s="1342"/>
      <c r="F29" s="1345"/>
      <c r="G29" s="1857"/>
      <c r="H29" s="380" t="s">
        <v>1033</v>
      </c>
      <c r="I29" s="381" t="s">
        <v>1481</v>
      </c>
      <c r="J29" s="382">
        <f ca="1">ROUND(J26/(1+F40)^F41,0)</f>
        <v>0</v>
      </c>
      <c r="K29" s="383" t="s">
        <v>1482</v>
      </c>
      <c r="L29" s="384"/>
      <c r="M29" s="385">
        <f ca="1">INDIRECT("'数据-取费表'!k"&amp;$G$1)</f>
        <v>16724.509999999998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233</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99.8</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46.1</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52.24</v>
      </c>
      <c r="D33" s="1831" t="s">
        <v>3203</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1.5</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9999.1</v>
      </c>
      <c r="G35" s="1854"/>
      <c r="H35" s="745"/>
      <c r="I35" s="1863"/>
      <c r="J35" s="1864"/>
      <c r="K35" s="1865"/>
      <c r="L35" s="1862"/>
      <c r="M35" s="1862"/>
    </row>
    <row r="36" spans="1:18" ht="18" customHeight="1">
      <c r="A36" s="1354" t="s">
        <v>1039</v>
      </c>
      <c r="B36" s="347" t="s">
        <v>1451</v>
      </c>
      <c r="C36" s="24">
        <f ca="1">ROUND(C29*F36,1)</f>
        <v>93.3</v>
      </c>
      <c r="D36" s="1801"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4">
        <f ca="1">ROUND(C13*F37,1)</f>
        <v>13.5</v>
      </c>
      <c r="D37" s="1801" t="s">
        <v>1456</v>
      </c>
      <c r="E37" s="347" t="s">
        <v>1457</v>
      </c>
      <c r="F37" s="376">
        <f ca="1">INDIRECT("'数据-取费表'!Al"&amp;$G$1)</f>
        <v>2.5000000000000001E-3</v>
      </c>
      <c r="G37" s="1854"/>
      <c r="H37" s="1862"/>
      <c r="I37" s="1863"/>
      <c r="J37" s="1864"/>
      <c r="K37" s="751"/>
      <c r="L37" s="1862"/>
      <c r="M37" s="1862"/>
    </row>
    <row r="38" spans="1:18" ht="18" customHeight="1" thickBot="1">
      <c r="A38" s="1341" t="s">
        <v>1394</v>
      </c>
      <c r="B38" s="1342" t="s">
        <v>1441</v>
      </c>
      <c r="C38" s="1343">
        <f ca="1">ROUND(C5*F38,1)</f>
        <v>26.4</v>
      </c>
      <c r="D38" s="1344" t="s">
        <v>1461</v>
      </c>
      <c r="E38" s="1342" t="s">
        <v>1457</v>
      </c>
      <c r="F38" s="1338">
        <f ca="1">INDIRECT("'数据-取费表'!Am"&amp;$G$1)</f>
        <v>0.03</v>
      </c>
      <c r="G38" s="1854"/>
      <c r="H38" s="1862"/>
      <c r="I38" s="1863"/>
      <c r="J38" s="1864"/>
      <c r="K38" s="1868"/>
      <c r="L38" s="1862"/>
      <c r="M38" s="1862"/>
    </row>
    <row r="39" spans="1:18" ht="24.6" customHeight="1" thickTop="1">
      <c r="A39" s="1331" t="s">
        <v>1031</v>
      </c>
      <c r="B39" s="1346" t="s">
        <v>1485</v>
      </c>
      <c r="C39" s="355">
        <f ca="1">C5-C30</f>
        <v>647</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14481</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38.4</v>
      </c>
      <c r="G41" s="1854"/>
      <c r="H41" s="732"/>
      <c r="I41" s="1863"/>
      <c r="J41" s="1864"/>
      <c r="K41" s="751"/>
      <c r="L41" s="732"/>
      <c r="M41" s="732"/>
    </row>
    <row r="42" spans="1:18" ht="18" customHeight="1">
      <c r="A42" s="353"/>
      <c r="B42" s="354"/>
      <c r="C42" s="355"/>
      <c r="D42" s="373"/>
      <c r="E42" s="347" t="s">
        <v>1479</v>
      </c>
      <c r="F42" s="357">
        <f ca="1">INDIRECT("'数据-取费表'!v"&amp;$G$1)</f>
        <v>0.02</v>
      </c>
      <c r="G42" s="1854"/>
      <c r="H42" s="732"/>
      <c r="I42" s="1863"/>
      <c r="J42" s="1864"/>
      <c r="K42" s="751"/>
      <c r="L42" s="732"/>
      <c r="M42" s="732"/>
    </row>
    <row r="43" spans="1:18" ht="18" customHeight="1" thickBot="1">
      <c r="A43" s="380" t="s">
        <v>1033</v>
      </c>
      <c r="B43" s="381" t="s">
        <v>1489</v>
      </c>
      <c r="C43" s="382">
        <f ca="1">ROUND(C40*10000/F43,0)</f>
        <v>8659</v>
      </c>
      <c r="D43" s="383" t="s">
        <v>1490</v>
      </c>
      <c r="E43" s="384" t="s">
        <v>1491</v>
      </c>
      <c r="F43" s="385">
        <f ca="1">INDIRECT("'数据-取费表'!k"&amp;$G$1)</f>
        <v>16724.509999999998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-16309</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3128</v>
      </c>
      <c r="K47" s="1885" t="s">
        <v>1529</v>
      </c>
      <c r="L47" s="1886">
        <f ca="1">INDIRECT("'数据-取费表'!d"&amp;$G$1)</f>
        <v>50</v>
      </c>
      <c r="M47" s="1841" t="str">
        <f>IF(ISNUMBER(FIND("住宅",C1)),"住宅","非住宅")</f>
        <v>非住宅</v>
      </c>
      <c r="O47" s="1887" t="s">
        <v>1040</v>
      </c>
      <c r="P47" s="1888" t="s">
        <v>1530</v>
      </c>
      <c r="Q47" s="1889">
        <f ca="1">C40+J29</f>
        <v>14481</v>
      </c>
      <c r="R47" s="1889" t="s">
        <v>1531</v>
      </c>
    </row>
    <row r="48" spans="1:18" s="1845" customFormat="1" ht="28.5" thickBot="1">
      <c r="A48" s="1362" t="s">
        <v>1135</v>
      </c>
      <c r="B48" s="345" t="s">
        <v>1402</v>
      </c>
      <c r="C48" s="1820">
        <f ca="1">C49+C53+C55</f>
        <v>0</v>
      </c>
      <c r="D48" s="1364"/>
      <c r="E48" s="1365"/>
      <c r="F48" s="1183"/>
      <c r="G48" s="792"/>
      <c r="H48" s="793"/>
      <c r="I48" s="1890" t="s">
        <v>1532</v>
      </c>
      <c r="J48" s="1891" t="s">
        <v>3129</v>
      </c>
      <c r="K48" s="1892" t="s">
        <v>1533</v>
      </c>
      <c r="L48" s="1893">
        <f ca="1">INDIRECT("'数据-取费表'!f"&amp;$G$1)</f>
        <v>38.4</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v>2009</v>
      </c>
      <c r="K49" s="1892" t="s">
        <v>1537</v>
      </c>
      <c r="L49" s="1896"/>
      <c r="O49" s="1897" t="s">
        <v>1042</v>
      </c>
      <c r="P49" s="1888" t="s">
        <v>1538</v>
      </c>
      <c r="Q49" s="1889">
        <f ca="1">C29</f>
        <v>6219</v>
      </c>
      <c r="R49" s="1889" t="s">
        <v>1531</v>
      </c>
    </row>
    <row r="50" spans="1:18" s="1845" customFormat="1" ht="13.5" thickBot="1">
      <c r="A50" s="1197"/>
      <c r="B50" s="1200"/>
      <c r="C50" s="1370"/>
      <c r="D50" s="1174"/>
      <c r="E50" s="1279" t="s">
        <v>1407</v>
      </c>
      <c r="F50" s="1280">
        <f ca="1">F7</f>
        <v>16724.509999999998</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52</v>
      </c>
      <c r="K51" s="1903" t="s">
        <v>1543</v>
      </c>
      <c r="L51" s="1904">
        <f ca="1">ROUND(-PV(INDIRECT("'数据-取费表'!h"&amp;$G$1),L48,(C39-C13*C76),0),0)</f>
        <v>3390</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38.4</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f ca="1">IF(M47="住宅",J51,IF(D1="——",MIN(J51,L48),IF(D1="在建（套用方法）",MIN(J51,L48-'数据-取费表'!B24),IF(D1="土地（套用方法）",MIN(J51,L48-'数据-取费表'!B20)))))</f>
        <v>38.4</v>
      </c>
      <c r="K53" s="3217" t="s">
        <v>1550</v>
      </c>
      <c r="L53" s="3218"/>
      <c r="O53" s="1887" t="s">
        <v>1046</v>
      </c>
      <c r="P53" s="1888" t="s">
        <v>1551</v>
      </c>
      <c r="Q53" s="1889">
        <f ca="1">Q47+Q48</f>
        <v>14481</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5411</v>
      </c>
      <c r="D56" s="1917"/>
      <c r="E56" s="1918"/>
      <c r="F56" s="1910"/>
      <c r="I56" s="1919" t="s">
        <v>1556</v>
      </c>
      <c r="J56" s="1920" t="s">
        <v>3195</v>
      </c>
      <c r="K56" s="1890" t="s">
        <v>1557</v>
      </c>
      <c r="L56" s="1893" t="str">
        <f ca="1">IF(L48&lt;J51,"——",L48-J53)</f>
        <v>——</v>
      </c>
      <c r="O56" s="1887" t="s">
        <v>1040</v>
      </c>
      <c r="P56" s="1888" t="s">
        <v>1530</v>
      </c>
      <c r="Q56" s="1889">
        <f ca="1">C40+J29</f>
        <v>14481</v>
      </c>
      <c r="R56" s="1889" t="s">
        <v>1531</v>
      </c>
    </row>
    <row r="57" spans="1:18" s="1845" customFormat="1" ht="24.75" thickBot="1">
      <c r="A57" s="1921"/>
      <c r="B57" s="1171" t="s">
        <v>1480</v>
      </c>
      <c r="C57" s="282">
        <f ca="1">C29</f>
        <v>6219</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108</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1.5</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3202</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1.5</v>
      </c>
      <c r="D62" s="1186" t="s">
        <v>1499</v>
      </c>
      <c r="E62" s="1171" t="s">
        <v>1500</v>
      </c>
      <c r="F62" s="371">
        <f t="shared" si="0"/>
        <v>1.5</v>
      </c>
      <c r="I62" s="1932" t="s">
        <v>1572</v>
      </c>
      <c r="J62" s="1933" t="s">
        <v>1573</v>
      </c>
      <c r="K62" s="1933" t="s">
        <v>1574</v>
      </c>
      <c r="L62" s="1933" t="s">
        <v>1575</v>
      </c>
      <c r="M62" s="1934" t="s">
        <v>1576</v>
      </c>
      <c r="O62" s="1887" t="s">
        <v>1046</v>
      </c>
      <c r="P62" s="1888" t="s">
        <v>1577</v>
      </c>
      <c r="Q62" s="1889">
        <f ca="1">Q56+Q57</f>
        <v>14481</v>
      </c>
      <c r="R62" s="1889" t="s">
        <v>1047</v>
      </c>
    </row>
    <row r="63" spans="1:18" s="1845" customFormat="1" ht="13.5" thickBot="1">
      <c r="A63" s="372"/>
      <c r="B63" s="1177"/>
      <c r="C63" s="29"/>
      <c r="D63" s="1187"/>
      <c r="E63" s="1171" t="s">
        <v>1501</v>
      </c>
      <c r="F63" s="348">
        <f t="shared" ca="1" si="0"/>
        <v>9999.1</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93.3</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13.5</v>
      </c>
      <c r="D65" s="1185" t="s">
        <v>1456</v>
      </c>
      <c r="E65" s="1171" t="s">
        <v>1457</v>
      </c>
      <c r="F65" s="376">
        <f t="shared" ca="1" si="0"/>
        <v>2.5000000000000001E-3</v>
      </c>
      <c r="I65" s="1932" t="s">
        <v>1581</v>
      </c>
      <c r="J65" s="1933">
        <v>40</v>
      </c>
      <c r="K65" s="1933">
        <v>30</v>
      </c>
      <c r="L65" s="1933">
        <v>50</v>
      </c>
      <c r="M65" s="1935">
        <v>0.02</v>
      </c>
      <c r="O65" s="1887" t="s">
        <v>1040</v>
      </c>
      <c r="P65" s="1888" t="s">
        <v>1582</v>
      </c>
      <c r="Q65" s="1889">
        <f ca="1">C40+J29</f>
        <v>14481</v>
      </c>
      <c r="R65" s="1889" t="s">
        <v>1531</v>
      </c>
    </row>
    <row r="66" spans="1:18" s="1845" customFormat="1" ht="16.5" thickBot="1">
      <c r="A66" s="1203" t="s">
        <v>1506</v>
      </c>
      <c r="B66" s="1171" t="s">
        <v>1441</v>
      </c>
      <c r="C66" s="24">
        <f ca="1">ROUND(C48*F66,1)</f>
        <v>0</v>
      </c>
      <c r="D66" s="1185" t="s">
        <v>1507</v>
      </c>
      <c r="E66" s="1171" t="s">
        <v>1424</v>
      </c>
      <c r="F66" s="357">
        <f t="shared" ca="1" si="0"/>
        <v>0.03</v>
      </c>
      <c r="O66" s="1887" t="s">
        <v>1041</v>
      </c>
      <c r="P66" s="1888" t="s">
        <v>1560</v>
      </c>
      <c r="Q66" s="1889">
        <f ca="1">L60</f>
        <v>0</v>
      </c>
      <c r="R66" s="1889" t="s">
        <v>1583</v>
      </c>
    </row>
    <row r="67" spans="1:18" s="1845" customFormat="1" ht="16.5" thickBot="1">
      <c r="A67" s="1178" t="s">
        <v>1031</v>
      </c>
      <c r="B67" s="1188" t="s">
        <v>1465</v>
      </c>
      <c r="C67" s="361">
        <f ca="1">C48-C58</f>
        <v>-108</v>
      </c>
      <c r="D67" s="1184" t="s">
        <v>1466</v>
      </c>
      <c r="E67" s="1189"/>
      <c r="F67" s="1190"/>
      <c r="O67" s="1897" t="s">
        <v>1042</v>
      </c>
      <c r="P67" s="1888" t="s">
        <v>1564</v>
      </c>
      <c r="Q67" s="1936">
        <f ca="1">L51</f>
        <v>3390</v>
      </c>
      <c r="R67" s="1889" t="s">
        <v>1584</v>
      </c>
    </row>
    <row r="68" spans="1:18" s="1845" customFormat="1" ht="16.5" thickBot="1">
      <c r="A68" s="1168" t="s">
        <v>1032</v>
      </c>
      <c r="B68" s="1169" t="s">
        <v>1487</v>
      </c>
      <c r="C68" s="346">
        <f ca="1">ROUND(C67*(1-((1+F70)/(1+F68))^F69)/(F68-F70),0)</f>
        <v>-1828</v>
      </c>
      <c r="D68" s="1186" t="s">
        <v>1471</v>
      </c>
      <c r="E68" s="1171" t="s">
        <v>1472</v>
      </c>
      <c r="F68" s="357">
        <f ca="1">F40</f>
        <v>0.05</v>
      </c>
      <c r="O68" s="1897" t="s">
        <v>1043</v>
      </c>
      <c r="P68" s="1937" t="s">
        <v>1585</v>
      </c>
      <c r="Q68" s="1889">
        <f ca="1">ROUND(Q69-Q70*Q71,0)</f>
        <v>187</v>
      </c>
      <c r="R68" s="1889" t="s">
        <v>1051</v>
      </c>
    </row>
    <row r="69" spans="1:18" s="1845" customFormat="1" ht="13.5" thickBot="1">
      <c r="A69" s="1172"/>
      <c r="B69" s="1173"/>
      <c r="C69" s="351"/>
      <c r="D69" s="1191" t="s">
        <v>1475</v>
      </c>
      <c r="E69" s="1171" t="s">
        <v>1476</v>
      </c>
      <c r="F69" s="379">
        <f ca="1">F41</f>
        <v>38.4</v>
      </c>
      <c r="O69" s="1897" t="s">
        <v>1048</v>
      </c>
      <c r="P69" s="1937" t="s">
        <v>1586</v>
      </c>
      <c r="Q69" s="1889">
        <f ca="1">C39</f>
        <v>647</v>
      </c>
      <c r="R69" s="1889" t="s">
        <v>1531</v>
      </c>
    </row>
    <row r="70" spans="1:18" s="1845" customFormat="1" ht="13.5" thickBot="1">
      <c r="A70" s="1175"/>
      <c r="B70" s="1176"/>
      <c r="C70" s="355"/>
      <c r="D70" s="1187"/>
      <c r="E70" s="1171" t="s">
        <v>1479</v>
      </c>
      <c r="F70" s="1277"/>
      <c r="O70" s="1897" t="s">
        <v>1049</v>
      </c>
      <c r="P70" s="1937" t="s">
        <v>1587</v>
      </c>
      <c r="Q70" s="1889">
        <f ca="1">C13</f>
        <v>5411</v>
      </c>
      <c r="R70" s="1889" t="s">
        <v>1531</v>
      </c>
    </row>
    <row r="71" spans="1:18" s="1845" customFormat="1" ht="13.5" thickBot="1">
      <c r="A71" s="1192" t="s">
        <v>1033</v>
      </c>
      <c r="B71" s="1193" t="s">
        <v>1489</v>
      </c>
      <c r="C71" s="382">
        <f ca="1">ROUND(C68*10000/F71,0)</f>
        <v>-1093</v>
      </c>
      <c r="D71" s="1194" t="s">
        <v>1490</v>
      </c>
      <c r="E71" s="1195" t="s">
        <v>1491</v>
      </c>
      <c r="F71" s="385">
        <f ca="1">F43</f>
        <v>16724.509999999998</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460</v>
      </c>
      <c r="D75" s="1845"/>
      <c r="E75" s="1845"/>
      <c r="F75" s="1845"/>
      <c r="K75" s="1871"/>
      <c r="L75" s="1845"/>
      <c r="O75" s="1887" t="s">
        <v>1046</v>
      </c>
      <c r="P75" s="1888" t="s">
        <v>1551</v>
      </c>
      <c r="Q75" s="1889">
        <f ca="1">Q65+Q66</f>
        <v>14481</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0.28900000000000003</v>
      </c>
    </row>
    <row r="80" spans="1:18">
      <c r="B80" s="386" t="s">
        <v>1513</v>
      </c>
      <c r="C80" s="318">
        <f ca="1">ROUND(C75/C39,3)</f>
        <v>0.71099999999999997</v>
      </c>
    </row>
    <row r="81" spans="2:3">
      <c r="B81" s="314" t="s">
        <v>1514</v>
      </c>
      <c r="C81" s="282"/>
    </row>
    <row r="82" spans="2:3">
      <c r="B82" s="317" t="s">
        <v>1515</v>
      </c>
      <c r="C82" s="319">
        <f ca="1">1-C83</f>
        <v>0.626</v>
      </c>
    </row>
    <row r="83" spans="2:3">
      <c r="B83" s="317" t="s">
        <v>1516</v>
      </c>
      <c r="C83" s="318">
        <f ca="1">ROUND(C13/C40,3)</f>
        <v>0.374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19" t="s">
        <v>1404</v>
      </c>
      <c r="C6" s="1298">
        <f ca="1">ROUND(F6*F8*F7*(1-F9),0)</f>
        <v>0</v>
      </c>
      <c r="D6" s="164" t="s">
        <v>3031</v>
      </c>
      <c r="E6" s="347" t="s">
        <v>1406</v>
      </c>
      <c r="F6" s="348">
        <f ca="1">INDIRECT("'数据-取费表'!u"&amp;$G$1)</f>
        <v>0</v>
      </c>
      <c r="G6" s="1854"/>
      <c r="H6" s="1293" t="s">
        <v>1035</v>
      </c>
      <c r="I6" s="3219" t="s">
        <v>1404</v>
      </c>
      <c r="J6" s="346">
        <f ca="1">ROUND(M6*M8*M7*(1-M9),0)</f>
        <v>0</v>
      </c>
      <c r="K6" s="1837" t="s">
        <v>3034</v>
      </c>
      <c r="L6" s="347" t="s">
        <v>1406</v>
      </c>
      <c r="M6" s="348">
        <f ca="1">INDIRECT("'数据-取费表'!z"&amp;$G$1)</f>
        <v>0</v>
      </c>
    </row>
    <row r="7" spans="1:37" ht="18" customHeight="1">
      <c r="A7" s="1297"/>
      <c r="B7" s="3220"/>
      <c r="C7" s="1299"/>
      <c r="D7" s="352"/>
      <c r="E7" s="1300"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3032</v>
      </c>
      <c r="E10" s="358" t="s">
        <v>1412</v>
      </c>
      <c r="F10" s="1368"/>
      <c r="G10" s="1854"/>
      <c r="H10" s="1293" t="s">
        <v>1039</v>
      </c>
      <c r="I10" s="1826" t="s">
        <v>1410</v>
      </c>
      <c r="J10" s="346">
        <f ca="1">ROUND(IF(M10="押一",M6*M8*M7/12*M11,IF(M10="押二",M6*M8*M7/12*2*M11,IF(M10="押三",M6*M8*M7/12*3*M11,J11*M11))),0)</f>
        <v>0</v>
      </c>
      <c r="K10" s="1838" t="s">
        <v>3033</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2528</v>
      </c>
      <c r="B1" s="2563"/>
      <c r="C1" s="2563"/>
      <c r="D1" s="2563"/>
      <c r="E1" s="2564"/>
    </row>
    <row r="2" spans="1:6" ht="15.75">
      <c r="A2" s="2565" t="s">
        <v>2329</v>
      </c>
      <c r="B2" s="2566">
        <f ca="1">SUMIF(B6:B13,"&lt;&gt;#ref!",B6:B13)</f>
        <v>14481</v>
      </c>
      <c r="C2" s="2567" t="s">
        <v>2521</v>
      </c>
      <c r="D2" s="2568" t="s">
        <v>2522</v>
      </c>
      <c r="E2" s="2569">
        <f>SUM(E6:E13)</f>
        <v>16724.509999999998</v>
      </c>
    </row>
    <row r="3" spans="1:6" ht="15.75">
      <c r="A3" s="2565" t="s">
        <v>1396</v>
      </c>
      <c r="B3" s="2566">
        <f ca="1">ROUND(B2*10000/E2,0)</f>
        <v>8659</v>
      </c>
      <c r="C3" s="2567" t="s">
        <v>2529</v>
      </c>
      <c r="D3" s="2570"/>
      <c r="E3" s="2571"/>
    </row>
    <row r="4" spans="1:6" ht="15.75">
      <c r="A4" s="2572"/>
      <c r="B4" s="2570"/>
      <c r="C4" s="2570"/>
      <c r="D4" s="2570"/>
      <c r="E4" s="2571"/>
    </row>
    <row r="5" spans="1:6" ht="15">
      <c r="A5" s="2573" t="s">
        <v>2523</v>
      </c>
      <c r="B5" s="3222" t="s">
        <v>2524</v>
      </c>
      <c r="C5" s="3222"/>
      <c r="D5" s="2574"/>
      <c r="E5" s="2575" t="s">
        <v>2525</v>
      </c>
      <c r="F5" s="2576" t="s">
        <v>2526</v>
      </c>
    </row>
    <row r="6" spans="1:6">
      <c r="A6" s="2577" t="str">
        <f>'数据-取费表'!AN6</f>
        <v>收益法</v>
      </c>
      <c r="B6" s="2576">
        <f ca="1">IF(F6="是",'数据-取费表'!AO6,0)</f>
        <v>14481</v>
      </c>
      <c r="C6" s="2567" t="s">
        <v>2521</v>
      </c>
      <c r="D6" s="2570"/>
      <c r="E6" s="2578">
        <f>IF(OR(A6=0,F6="否"),0,'数据-取费表'!K6+'数据-取费表'!S6)</f>
        <v>16724.509999999998</v>
      </c>
      <c r="F6" s="2579" t="s">
        <v>2527</v>
      </c>
    </row>
    <row r="7" spans="1:6">
      <c r="A7" s="2577">
        <f>'数据-取费表'!AN7</f>
        <v>0</v>
      </c>
      <c r="B7" s="2576" t="e">
        <f ca="1">IF(F7="是",'数据-取费表'!AO7,0)</f>
        <v>#REF!</v>
      </c>
      <c r="C7" s="2567" t="s">
        <v>2521</v>
      </c>
      <c r="D7" s="2570"/>
      <c r="E7" s="2578">
        <f>IF(OR(A7=0,F7="否"),0,'数据-取费表'!K7+'数据-取费表'!S7)</f>
        <v>0</v>
      </c>
      <c r="F7" s="2579" t="s">
        <v>2527</v>
      </c>
    </row>
    <row r="8" spans="1:6">
      <c r="A8" s="2577">
        <f>'数据-取费表'!AN8</f>
        <v>0</v>
      </c>
      <c r="B8" s="2576" t="e">
        <f ca="1">IF(F8="是",'数据-取费表'!AO8,0)</f>
        <v>#REF!</v>
      </c>
      <c r="C8" s="2567" t="s">
        <v>2521</v>
      </c>
      <c r="D8" s="2570"/>
      <c r="E8" s="2578">
        <f>IF(OR(A8=0,F8="否"),0,'数据-取费表'!K8+'数据-取费表'!S8)</f>
        <v>0</v>
      </c>
      <c r="F8" s="2579" t="s">
        <v>2527</v>
      </c>
    </row>
    <row r="9" spans="1:6">
      <c r="A9" s="2577">
        <f>'数据-取费表'!AN9</f>
        <v>0</v>
      </c>
      <c r="B9" s="2576" t="e">
        <f ca="1">IF(F9="是",'数据-取费表'!AO9,0)</f>
        <v>#REF!</v>
      </c>
      <c r="C9" s="2567" t="s">
        <v>2521</v>
      </c>
      <c r="D9" s="2570"/>
      <c r="E9" s="2578">
        <f>IF(OR(A9=0,F9="否"),0,'数据-取费表'!K9+'数据-取费表'!S9)</f>
        <v>0</v>
      </c>
      <c r="F9" s="2579" t="s">
        <v>2527</v>
      </c>
    </row>
    <row r="10" spans="1:6">
      <c r="A10" s="2577">
        <f>'数据-取费表'!AN10</f>
        <v>0</v>
      </c>
      <c r="B10" s="2576" t="e">
        <f ca="1">IF(F10="是",'数据-取费表'!AO10,0)</f>
        <v>#REF!</v>
      </c>
      <c r="C10" s="2567" t="s">
        <v>2521</v>
      </c>
      <c r="D10" s="2570"/>
      <c r="E10" s="2578">
        <f>IF(OR(A10=0,F10="否"),0,'数据-取费表'!K10+'数据-取费表'!S10)</f>
        <v>0</v>
      </c>
      <c r="F10" s="2579" t="s">
        <v>2527</v>
      </c>
    </row>
    <row r="11" spans="1:6">
      <c r="A11" s="2577">
        <f>'数据-取费表'!AN11</f>
        <v>0</v>
      </c>
      <c r="B11" s="2576" t="e">
        <f ca="1">IF(F11="是",'数据-取费表'!AO11,0)</f>
        <v>#REF!</v>
      </c>
      <c r="C11" s="2567" t="s">
        <v>2521</v>
      </c>
      <c r="D11" s="2570"/>
      <c r="E11" s="2578">
        <f>IF(OR(A11=0,F11="否"),0,'数据-取费表'!K11+'数据-取费表'!S11)</f>
        <v>0</v>
      </c>
      <c r="F11" s="2579" t="s">
        <v>2527</v>
      </c>
    </row>
    <row r="12" spans="1:6">
      <c r="A12" s="2577">
        <f>'数据-取费表'!AN12</f>
        <v>0</v>
      </c>
      <c r="B12" s="2576" t="e">
        <f ca="1">IF(F12="是",'数据-取费表'!AO12,0)</f>
        <v>#REF!</v>
      </c>
      <c r="C12" s="2567" t="s">
        <v>2521</v>
      </c>
      <c r="D12" s="2570"/>
      <c r="E12" s="2578">
        <f>IF(OR(A12=0,F12="否"),0,'数据-取费表'!K12+'数据-取费表'!S12)</f>
        <v>0</v>
      </c>
      <c r="F12" s="2579" t="s">
        <v>2527</v>
      </c>
    </row>
    <row r="13" spans="1:6" ht="15" thickBot="1">
      <c r="A13" s="2580">
        <f>'数据-取费表'!AN13</f>
        <v>0</v>
      </c>
      <c r="B13" s="2576" t="e">
        <f ca="1">IF(F13="是",'数据-取费表'!AO13,0)</f>
        <v>#REF!</v>
      </c>
      <c r="C13" s="2581" t="s">
        <v>2521</v>
      </c>
      <c r="D13" s="2582"/>
      <c r="E13" s="2578">
        <f>IF(OR(A13=0,F13="否"),0,'数据-取费表'!K13+'数据-取费表'!S13)</f>
        <v>0</v>
      </c>
      <c r="F13" s="2579"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1076</v>
      </c>
      <c r="B1" s="3240"/>
      <c r="C1" s="3241"/>
      <c r="D1" s="3242">
        <f>SUM(I10,I15,I20,I21,I23)</f>
        <v>0</v>
      </c>
      <c r="E1" s="3242"/>
      <c r="F1" s="3242"/>
      <c r="G1" s="3242"/>
      <c r="H1" s="3242"/>
      <c r="I1" s="3243"/>
    </row>
    <row r="2" spans="1:9">
      <c r="A2" s="3229" t="s">
        <v>1077</v>
      </c>
      <c r="B2" s="3230" t="s">
        <v>1078</v>
      </c>
      <c r="C2" s="3230"/>
      <c r="D2" s="1303" t="s">
        <v>1079</v>
      </c>
      <c r="E2" s="1303" t="s">
        <v>1080</v>
      </c>
      <c r="F2" s="1303" t="s">
        <v>1081</v>
      </c>
      <c r="G2" s="1303" t="s">
        <v>1082</v>
      </c>
      <c r="H2" s="1303" t="s">
        <v>1083</v>
      </c>
      <c r="I2" s="1304" t="s">
        <v>1084</v>
      </c>
    </row>
    <row r="3" spans="1:9">
      <c r="A3" s="3229"/>
      <c r="B3" s="3230" t="s">
        <v>1085</v>
      </c>
      <c r="C3" s="3230"/>
      <c r="D3" s="1305"/>
      <c r="E3" s="1303"/>
      <c r="F3" s="1306"/>
      <c r="G3" s="1306"/>
      <c r="H3" s="1307"/>
      <c r="I3" s="1308">
        <f>ROUND(D3*E3*F3*G3*H3/10000,0)</f>
        <v>0</v>
      </c>
    </row>
    <row r="4" spans="1:9">
      <c r="A4" s="3229"/>
      <c r="B4" s="3230" t="s">
        <v>1086</v>
      </c>
      <c r="C4" s="3230"/>
      <c r="D4" s="1305"/>
      <c r="E4" s="1303"/>
      <c r="F4" s="1306"/>
      <c r="G4" s="1306"/>
      <c r="H4" s="1307"/>
      <c r="I4" s="1308">
        <f t="shared" ref="I4:I9" si="0">ROUND(D4*E4*F4*G4*H4/10000,0)</f>
        <v>0</v>
      </c>
    </row>
    <row r="5" spans="1:9">
      <c r="A5" s="3229"/>
      <c r="B5" s="3230" t="s">
        <v>1087</v>
      </c>
      <c r="C5" s="3230"/>
      <c r="D5" s="1305"/>
      <c r="E5" s="1303"/>
      <c r="F5" s="1306"/>
      <c r="G5" s="1306"/>
      <c r="H5" s="1307"/>
      <c r="I5" s="1308">
        <f t="shared" si="0"/>
        <v>0</v>
      </c>
    </row>
    <row r="6" spans="1:9">
      <c r="A6" s="3229"/>
      <c r="B6" s="3230" t="s">
        <v>1088</v>
      </c>
      <c r="C6" s="3230"/>
      <c r="D6" s="1305"/>
      <c r="E6" s="1303"/>
      <c r="F6" s="1306"/>
      <c r="G6" s="1306"/>
      <c r="H6" s="1307"/>
      <c r="I6" s="1308">
        <f t="shared" si="0"/>
        <v>0</v>
      </c>
    </row>
    <row r="7" spans="1:9">
      <c r="A7" s="3229"/>
      <c r="B7" s="3230" t="s">
        <v>1089</v>
      </c>
      <c r="C7" s="3230"/>
      <c r="D7" s="1305"/>
      <c r="E7" s="1303"/>
      <c r="F7" s="1306"/>
      <c r="G7" s="1306"/>
      <c r="H7" s="1307"/>
      <c r="I7" s="1308">
        <f t="shared" si="0"/>
        <v>0</v>
      </c>
    </row>
    <row r="8" spans="1:9">
      <c r="A8" s="3229"/>
      <c r="B8" s="3230" t="s">
        <v>1090</v>
      </c>
      <c r="C8" s="3230"/>
      <c r="D8" s="1305"/>
      <c r="E8" s="1303"/>
      <c r="F8" s="1306"/>
      <c r="G8" s="1306"/>
      <c r="H8" s="1307"/>
      <c r="I8" s="1308">
        <f t="shared" si="0"/>
        <v>0</v>
      </c>
    </row>
    <row r="9" spans="1:9">
      <c r="A9" s="3229"/>
      <c r="B9" s="3230" t="s">
        <v>1091</v>
      </c>
      <c r="C9" s="3230"/>
      <c r="D9" s="1305"/>
      <c r="E9" s="1303"/>
      <c r="F9" s="1306"/>
      <c r="G9" s="1306"/>
      <c r="H9" s="1307"/>
      <c r="I9" s="1308">
        <f t="shared" si="0"/>
        <v>0</v>
      </c>
    </row>
    <row r="10" spans="1:9">
      <c r="A10" s="3229"/>
      <c r="B10" s="3231" t="s">
        <v>1092</v>
      </c>
      <c r="C10" s="3231"/>
      <c r="D10" s="1309"/>
      <c r="E10" s="1309" t="e">
        <f>ROUND(D1*10000/D10/H9,0)</f>
        <v>#DIV/0!</v>
      </c>
      <c r="F10" s="1310"/>
      <c r="G10" s="1310"/>
      <c r="H10" s="1311"/>
      <c r="I10" s="1312">
        <f>SUM(I3:I9)</f>
        <v>0</v>
      </c>
    </row>
    <row r="11" spans="1:9" ht="14.25">
      <c r="A11" s="3229" t="s">
        <v>1093</v>
      </c>
      <c r="B11" s="3230" t="s">
        <v>1094</v>
      </c>
      <c r="C11" s="3230"/>
      <c r="D11" s="1305" t="s">
        <v>1095</v>
      </c>
      <c r="E11" s="1305" t="s">
        <v>1096</v>
      </c>
      <c r="F11" s="1306" t="s">
        <v>1097</v>
      </c>
      <c r="G11" s="1306" t="s">
        <v>1083</v>
      </c>
      <c r="H11" s="1313" t="s">
        <v>1098</v>
      </c>
      <c r="I11" s="1304" t="s">
        <v>1084</v>
      </c>
    </row>
    <row r="12" spans="1:9">
      <c r="A12" s="3229"/>
      <c r="B12" s="3230" t="s">
        <v>1099</v>
      </c>
      <c r="C12" s="3230"/>
      <c r="D12" s="1305"/>
      <c r="E12" s="1305"/>
      <c r="F12" s="1306"/>
      <c r="G12" s="1307"/>
      <c r="H12" s="1314"/>
      <c r="I12" s="1304">
        <f>ROUND(D12*E12*F12*G12/10000,0)</f>
        <v>0</v>
      </c>
    </row>
    <row r="13" spans="1:9">
      <c r="A13" s="3229"/>
      <c r="B13" s="3230" t="s">
        <v>1100</v>
      </c>
      <c r="C13" s="3230"/>
      <c r="D13" s="1305"/>
      <c r="E13" s="1305"/>
      <c r="F13" s="1306"/>
      <c r="G13" s="1307"/>
      <c r="H13" s="1314"/>
      <c r="I13" s="1304">
        <f>ROUND(D13*E13*F13*G13/10000,0)</f>
        <v>0</v>
      </c>
    </row>
    <row r="14" spans="1:9">
      <c r="A14" s="3229"/>
      <c r="B14" s="3230" t="s">
        <v>1101</v>
      </c>
      <c r="C14" s="3230"/>
      <c r="D14" s="1305"/>
      <c r="E14" s="1305"/>
      <c r="F14" s="1306"/>
      <c r="G14" s="1307"/>
      <c r="H14" s="1314"/>
      <c r="I14" s="1304">
        <f>ROUND(D14*E14*F14*G14/10000,0)</f>
        <v>0</v>
      </c>
    </row>
    <row r="15" spans="1:9">
      <c r="A15" s="3229"/>
      <c r="B15" s="3231" t="s">
        <v>1092</v>
      </c>
      <c r="C15" s="3231"/>
      <c r="D15" s="1309"/>
      <c r="E15" s="1309">
        <f>SUM(E12:E14)</f>
        <v>0</v>
      </c>
      <c r="F15" s="1310"/>
      <c r="G15" s="1307"/>
      <c r="H15" s="1314"/>
      <c r="I15" s="1315">
        <f>SUM(I12:I14)</f>
        <v>0</v>
      </c>
    </row>
    <row r="16" spans="1:9" ht="24">
      <c r="A16" s="3229" t="s">
        <v>1102</v>
      </c>
      <c r="B16" s="3230" t="s">
        <v>1103</v>
      </c>
      <c r="C16" s="3230"/>
      <c r="D16" s="1305" t="s">
        <v>1079</v>
      </c>
      <c r="E16" s="1316" t="s">
        <v>1104</v>
      </c>
      <c r="F16" s="1306" t="s">
        <v>1105</v>
      </c>
      <c r="G16" s="1307" t="s">
        <v>1083</v>
      </c>
      <c r="H16" s="1313" t="s">
        <v>1098</v>
      </c>
      <c r="I16" s="1304" t="s">
        <v>1084</v>
      </c>
    </row>
    <row r="17" spans="1:9" ht="14.25">
      <c r="A17" s="3229"/>
      <c r="B17" s="3230" t="s">
        <v>1106</v>
      </c>
      <c r="C17" s="3230"/>
      <c r="D17" s="1305"/>
      <c r="E17" s="1305"/>
      <c r="F17" s="1306"/>
      <c r="G17" s="1307"/>
      <c r="H17" s="1317"/>
      <c r="I17" s="1318">
        <f>ROUND(D17*E17*F17*G17/10000,0)</f>
        <v>0</v>
      </c>
    </row>
    <row r="18" spans="1:9" ht="14.25">
      <c r="A18" s="3229"/>
      <c r="B18" s="3230" t="s">
        <v>1107</v>
      </c>
      <c r="C18" s="3230"/>
      <c r="D18" s="1305"/>
      <c r="E18" s="1305"/>
      <c r="F18" s="1306"/>
      <c r="G18" s="1307"/>
      <c r="H18" s="1317"/>
      <c r="I18" s="1318">
        <f>ROUND(D18*E18*F18*G18/10000,0)</f>
        <v>0</v>
      </c>
    </row>
    <row r="19" spans="1:9" ht="14.25">
      <c r="A19" s="3229"/>
      <c r="B19" s="3230" t="s">
        <v>1108</v>
      </c>
      <c r="C19" s="3230"/>
      <c r="D19" s="1305"/>
      <c r="E19" s="1305"/>
      <c r="F19" s="1306"/>
      <c r="G19" s="1307"/>
      <c r="H19" s="1317"/>
      <c r="I19" s="1318">
        <f>ROUND(D19*E19*F19*G19/10000,0)</f>
        <v>0</v>
      </c>
    </row>
    <row r="20" spans="1:9">
      <c r="A20" s="3229"/>
      <c r="B20" s="3231" t="s">
        <v>1092</v>
      </c>
      <c r="C20" s="3231"/>
      <c r="D20" s="1309">
        <f>SUM(D17:D19)</f>
        <v>0</v>
      </c>
      <c r="E20" s="1309"/>
      <c r="F20" s="1310"/>
      <c r="G20" s="1307"/>
      <c r="H20" s="1314"/>
      <c r="I20" s="1315">
        <f>SUM(I17:I19)</f>
        <v>0</v>
      </c>
    </row>
    <row r="21" spans="1:9">
      <c r="A21" s="3229" t="s">
        <v>1109</v>
      </c>
      <c r="B21" s="3232"/>
      <c r="C21" s="3232"/>
      <c r="D21" s="3232"/>
      <c r="E21" s="3232"/>
      <c r="F21" s="3232"/>
      <c r="G21" s="3232"/>
      <c r="H21" s="1768">
        <v>0.1</v>
      </c>
      <c r="I21" s="1312">
        <f>ROUND(I10*H21,0)</f>
        <v>0</v>
      </c>
    </row>
    <row r="22" spans="1:9" ht="14.25">
      <c r="A22" s="3233" t="s">
        <v>1110</v>
      </c>
      <c r="B22" s="3234"/>
      <c r="C22" s="3235"/>
      <c r="D22" s="1319" t="s">
        <v>1111</v>
      </c>
      <c r="E22" s="1319" t="s">
        <v>1112</v>
      </c>
      <c r="F22" s="1320" t="s">
        <v>1113</v>
      </c>
      <c r="G22" s="1320" t="s">
        <v>1114</v>
      </c>
      <c r="H22" s="1313" t="s">
        <v>1115</v>
      </c>
      <c r="I22" s="1304" t="s">
        <v>1116</v>
      </c>
    </row>
    <row r="23" spans="1:9" ht="14.25" thickBot="1">
      <c r="A23" s="3236"/>
      <c r="B23" s="3237"/>
      <c r="C23" s="3238"/>
      <c r="D23" s="1321"/>
      <c r="E23" s="1321"/>
      <c r="F23" s="1321"/>
      <c r="G23" s="1322"/>
      <c r="H23" s="1323"/>
      <c r="I23" s="1324">
        <f>ROUND(E23*D23*F23*(1-G23)/10000,0)</f>
        <v>0</v>
      </c>
    </row>
    <row r="26" spans="1:9">
      <c r="A26" s="1325" t="s">
        <v>1117</v>
      </c>
      <c r="B26" s="1325"/>
      <c r="C26" s="1325"/>
      <c r="D26" s="1325"/>
      <c r="E26" s="3226">
        <f>C27-C30-C31-C32</f>
        <v>0</v>
      </c>
      <c r="F26" s="3226"/>
      <c r="G26" s="3226"/>
      <c r="H26" s="1740" t="s">
        <v>1341</v>
      </c>
    </row>
    <row r="27" spans="1:9">
      <c r="A27" s="1326">
        <v>1</v>
      </c>
      <c r="B27" s="1327" t="s">
        <v>1118</v>
      </c>
      <c r="C27" s="1327">
        <f>C28+C29</f>
        <v>0</v>
      </c>
      <c r="D27" s="1327"/>
      <c r="E27" s="3227"/>
      <c r="F27" s="3227"/>
      <c r="G27" s="3227"/>
    </row>
    <row r="28" spans="1:9">
      <c r="A28" s="1328" t="s">
        <v>1119</v>
      </c>
      <c r="B28" s="1327" t="s">
        <v>1120</v>
      </c>
      <c r="C28" s="1327"/>
      <c r="D28" s="1327"/>
      <c r="E28" s="3227"/>
      <c r="F28" s="3227"/>
      <c r="G28" s="322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8"/>
      <c r="F32" s="3228"/>
      <c r="G32" s="3228"/>
    </row>
    <row r="33" spans="1:7" hidden="1">
      <c r="A33" s="3223" t="s">
        <v>1129</v>
      </c>
      <c r="B33" s="3224"/>
      <c r="C33" s="3224"/>
      <c r="D33" s="3225"/>
      <c r="E33" s="3226"/>
      <c r="F33" s="3226"/>
      <c r="G33" s="3226"/>
    </row>
    <row r="34" spans="1:7" hidden="1">
      <c r="A34" s="1330">
        <v>1</v>
      </c>
      <c r="B34" s="1327" t="s">
        <v>1130</v>
      </c>
      <c r="C34" s="1327"/>
      <c r="D34" s="1327"/>
      <c r="E34" s="3227"/>
      <c r="F34" s="3227"/>
      <c r="G34" s="3227"/>
    </row>
    <row r="35" spans="1:7" hidden="1">
      <c r="A35" s="1330">
        <v>2</v>
      </c>
      <c r="B35" s="1327" t="s">
        <v>1131</v>
      </c>
      <c r="C35" s="1327"/>
      <c r="D35" s="1327"/>
      <c r="E35" s="3227"/>
      <c r="F35" s="3227"/>
      <c r="G35" s="3227"/>
    </row>
    <row r="36" spans="1:7" hidden="1">
      <c r="A36" s="1330">
        <v>3</v>
      </c>
      <c r="B36" s="1327" t="s">
        <v>1132</v>
      </c>
      <c r="C36" s="1327"/>
      <c r="D36" s="1327"/>
      <c r="E36" s="3227"/>
      <c r="F36" s="3227"/>
      <c r="G36" s="3227"/>
    </row>
    <row r="37" spans="1:7" hidden="1">
      <c r="A37" s="1330">
        <v>4</v>
      </c>
      <c r="B37" s="1327" t="s">
        <v>1133</v>
      </c>
      <c r="C37" s="1327"/>
      <c r="D37" s="1327"/>
      <c r="E37" s="3227"/>
      <c r="F37" s="3227"/>
      <c r="G37" s="3227"/>
    </row>
    <row r="38" spans="1:7" hidden="1">
      <c r="A38" s="3223" t="s">
        <v>1134</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2644</v>
      </c>
      <c r="C1" s="1637" t="s">
        <v>2532</v>
      </c>
      <c r="D1" s="1624"/>
      <c r="E1" s="2658"/>
      <c r="F1" s="2585"/>
      <c r="G1" s="1634" t="s">
        <v>2645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2329</v>
      </c>
      <c r="B2" s="1420" t="e">
        <f ca="1">IF(C2="——",ROUND(C49*D3/10000,0),ROUND(C49*D3/10000,0)-D2)</f>
        <v>#DIV/0!</v>
      </c>
      <c r="C2" s="2587"/>
      <c r="D2" s="1367" t="e">
        <f ca="1">SUMIF(INDIRECT("'"&amp;F2&amp;"'"&amp;"!A:A"),"承租人权益价值",INDIRECT("'"&amp;F2&amp;"'"&amp;"!c:c"))</f>
        <v>#REF!</v>
      </c>
      <c r="E2" s="2588" t="s">
        <v>2330</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2331</v>
      </c>
      <c r="B3" s="609" t="e">
        <f ca="1">IF(C2="——",C49,ROUND(B2*10000/D3,0))</f>
        <v>#DIV/0!</v>
      </c>
      <c r="C3" s="400" t="s">
        <v>2646</v>
      </c>
      <c r="D3" s="399">
        <f>IF(D1="",'数据-汇总表'!E3,SUMIF('数据-汇总表'!$C19:$C33,D1,'数据-汇总表'!$E19:$E33))</f>
        <v>16724.510000000002</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90"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90"/>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90"/>
      <c r="AC6" s="3173"/>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5"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70"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70"/>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70"/>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0"/>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0"/>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0"/>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2561</v>
      </c>
      <c r="B15" s="69" t="s">
        <v>2655</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68" t="s">
        <v>2562</v>
      </c>
      <c r="Q15" s="1813" t="str">
        <f t="shared" si="6"/>
        <v>商业繁华度</v>
      </c>
      <c r="R15" s="774" t="s">
        <v>17</v>
      </c>
      <c r="S15" s="775">
        <f t="shared" si="0"/>
        <v>100</v>
      </c>
      <c r="T15" s="774" t="s">
        <v>17</v>
      </c>
      <c r="U15" s="775">
        <f t="shared" si="1"/>
        <v>100</v>
      </c>
      <c r="V15" s="774" t="s">
        <v>17</v>
      </c>
      <c r="W15" s="775">
        <f t="shared" si="2"/>
        <v>100</v>
      </c>
      <c r="X15" s="1816"/>
      <c r="Y15" s="3161"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169"/>
      <c r="Q16" s="1813"/>
      <c r="R16" s="774"/>
      <c r="S16" s="775"/>
      <c r="T16" s="774"/>
      <c r="U16" s="775"/>
      <c r="V16" s="774"/>
      <c r="W16" s="775"/>
      <c r="X16" s="1816"/>
      <c r="Y16" s="3162"/>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69"/>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33"/>
      <c r="P18" s="3169"/>
      <c r="Q18" s="1813"/>
      <c r="R18" s="774"/>
      <c r="S18" s="775"/>
      <c r="T18" s="774"/>
      <c r="U18" s="775"/>
      <c r="V18" s="774"/>
      <c r="W18" s="775"/>
      <c r="X18" s="1816"/>
      <c r="Y18" s="3162"/>
      <c r="Z18" s="1817"/>
      <c r="AA18" s="1814">
        <v>1</v>
      </c>
      <c r="AB18" s="1814">
        <v>1</v>
      </c>
      <c r="AC18" s="1814">
        <v>1</v>
      </c>
    </row>
    <row r="19" spans="1:29" ht="42.75">
      <c r="A19" s="428"/>
      <c r="B19" s="451" t="s">
        <v>2656</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69"/>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33"/>
      <c r="P20" s="3169"/>
      <c r="Q20" s="1813"/>
      <c r="R20" s="774"/>
      <c r="S20" s="775"/>
      <c r="T20" s="774"/>
      <c r="U20" s="775"/>
      <c r="V20" s="774"/>
      <c r="W20" s="775"/>
      <c r="X20" s="1816"/>
      <c r="Y20" s="3162"/>
      <c r="Z20" s="1817"/>
      <c r="AA20" s="1814">
        <v>1</v>
      </c>
      <c r="AB20" s="1814">
        <v>1</v>
      </c>
      <c r="AC20" s="1814">
        <v>1</v>
      </c>
    </row>
    <row r="21" spans="1:29" ht="28.5">
      <c r="A21" s="428"/>
      <c r="B21" s="1386" t="s">
        <v>2657</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69"/>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33"/>
      <c r="P22" s="3169"/>
      <c r="Q22" s="1813"/>
      <c r="R22" s="774"/>
      <c r="S22" s="775"/>
      <c r="T22" s="774"/>
      <c r="U22" s="775"/>
      <c r="V22" s="774"/>
      <c r="W22" s="775"/>
      <c r="X22" s="1816"/>
      <c r="Y22" s="3162"/>
      <c r="Z22" s="1817"/>
      <c r="AA22" s="1814">
        <v>1</v>
      </c>
      <c r="AB22" s="1814">
        <v>1</v>
      </c>
      <c r="AC22" s="1814">
        <v>1</v>
      </c>
    </row>
    <row r="23" spans="1:29" ht="57">
      <c r="A23" s="428"/>
      <c r="B23" s="451" t="s">
        <v>2103</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69"/>
      <c r="Q23" s="1813" t="str">
        <f>B23</f>
        <v>自然及人文环境</v>
      </c>
      <c r="R23" s="774" t="s">
        <v>17</v>
      </c>
      <c r="S23" s="775">
        <f>F23</f>
        <v>100</v>
      </c>
      <c r="T23" s="774" t="s">
        <v>17</v>
      </c>
      <c r="U23" s="775">
        <f>H23</f>
        <v>100</v>
      </c>
      <c r="V23" s="774" t="s">
        <v>17</v>
      </c>
      <c r="W23" s="775">
        <f>J23</f>
        <v>100</v>
      </c>
      <c r="X23" s="1816"/>
      <c r="Y23" s="3162"/>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2"/>
      <c r="M24" s="1133"/>
      <c r="N24" s="1133"/>
      <c r="O24" s="1133"/>
      <c r="P24" s="3169"/>
      <c r="Q24" s="1813"/>
      <c r="R24" s="774"/>
      <c r="S24" s="775"/>
      <c r="T24" s="774"/>
      <c r="U24" s="775"/>
      <c r="V24" s="774"/>
      <c r="W24" s="775"/>
      <c r="X24" s="1816"/>
      <c r="Y24" s="3162"/>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69"/>
      <c r="Q25" s="1813" t="str">
        <f t="shared" ref="Q25:Q46" si="11">B25</f>
        <v>临街状况</v>
      </c>
      <c r="R25" s="774" t="s">
        <v>17</v>
      </c>
      <c r="S25" s="775">
        <f>F25</f>
        <v>100</v>
      </c>
      <c r="T25" s="774" t="s">
        <v>17</v>
      </c>
      <c r="U25" s="775">
        <f>H25</f>
        <v>100</v>
      </c>
      <c r="V25" s="774" t="s">
        <v>17</v>
      </c>
      <c r="W25" s="775">
        <f>J25</f>
        <v>100</v>
      </c>
      <c r="X25" s="1816"/>
      <c r="Y25" s="3162"/>
      <c r="Z25" s="1817" t="str">
        <f>Q25</f>
        <v>临街状况</v>
      </c>
      <c r="AA25" s="1814">
        <f t="shared" si="3"/>
        <v>1</v>
      </c>
      <c r="AB25" s="1814">
        <f t="shared" si="4"/>
        <v>1</v>
      </c>
      <c r="AC25" s="1814">
        <f t="shared" si="5"/>
        <v>1</v>
      </c>
    </row>
    <row r="26" spans="1:29" ht="15">
      <c r="A26" s="428"/>
      <c r="B26" s="1388" t="s">
        <v>2659</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69"/>
      <c r="Q26" s="1813" t="str">
        <f t="shared" si="11"/>
        <v>平面位置/可视性</v>
      </c>
      <c r="R26" s="774" t="s">
        <v>17</v>
      </c>
      <c r="S26" s="775">
        <f>F26</f>
        <v>100</v>
      </c>
      <c r="T26" s="774" t="s">
        <v>17</v>
      </c>
      <c r="U26" s="775">
        <f>H26</f>
        <v>100</v>
      </c>
      <c r="V26" s="774" t="s">
        <v>17</v>
      </c>
      <c r="W26" s="775">
        <f>J26</f>
        <v>100</v>
      </c>
      <c r="X26" s="1816"/>
      <c r="Y26" s="3162"/>
      <c r="Z26" s="1817" t="str">
        <f>Q26</f>
        <v>平面位置/可视性</v>
      </c>
      <c r="AA26" s="1814">
        <f t="shared" si="3"/>
        <v>1</v>
      </c>
      <c r="AB26" s="1814">
        <f t="shared" si="4"/>
        <v>1</v>
      </c>
      <c r="AC26" s="1814">
        <f t="shared" si="5"/>
        <v>1</v>
      </c>
    </row>
    <row r="27" spans="1:29" s="117" customFormat="1" ht="15">
      <c r="A27" s="431"/>
      <c r="B27" s="451" t="s">
        <v>2660</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169"/>
      <c r="Q27" s="1798" t="str">
        <f t="shared" si="11"/>
        <v>人流量</v>
      </c>
      <c r="R27" s="770" t="s">
        <v>17</v>
      </c>
      <c r="S27" s="771">
        <f>F27</f>
        <v>100</v>
      </c>
      <c r="T27" s="770" t="s">
        <v>17</v>
      </c>
      <c r="U27" s="771">
        <f>H27</f>
        <v>100</v>
      </c>
      <c r="V27" s="770" t="s">
        <v>17</v>
      </c>
      <c r="W27" s="771">
        <f>J27</f>
        <v>100</v>
      </c>
      <c r="X27" s="772"/>
      <c r="Y27" s="3162"/>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6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2"/>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69"/>
      <c r="Q29" s="1813">
        <f t="shared" si="11"/>
        <v>111</v>
      </c>
      <c r="R29" s="774" t="s">
        <v>17</v>
      </c>
      <c r="S29" s="775">
        <f t="shared" si="12"/>
        <v>100</v>
      </c>
      <c r="T29" s="774" t="s">
        <v>17</v>
      </c>
      <c r="U29" s="775">
        <f t="shared" si="13"/>
        <v>100</v>
      </c>
      <c r="V29" s="774" t="s">
        <v>17</v>
      </c>
      <c r="W29" s="775">
        <f t="shared" si="14"/>
        <v>100</v>
      </c>
      <c r="X29" s="1816"/>
      <c r="Y29" s="3162"/>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69"/>
      <c r="Q30" s="1813">
        <f t="shared" si="11"/>
        <v>111</v>
      </c>
      <c r="R30" s="774" t="s">
        <v>17</v>
      </c>
      <c r="S30" s="775">
        <f t="shared" si="12"/>
        <v>100</v>
      </c>
      <c r="T30" s="774" t="s">
        <v>17</v>
      </c>
      <c r="U30" s="775">
        <f t="shared" si="13"/>
        <v>100</v>
      </c>
      <c r="V30" s="774" t="s">
        <v>17</v>
      </c>
      <c r="W30" s="775">
        <f t="shared" si="14"/>
        <v>100</v>
      </c>
      <c r="X30" s="1816"/>
      <c r="Y30" s="3162"/>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69"/>
      <c r="Q31" s="1813">
        <f t="shared" si="11"/>
        <v>111</v>
      </c>
      <c r="R31" s="774" t="s">
        <v>17</v>
      </c>
      <c r="S31" s="775">
        <f t="shared" si="12"/>
        <v>100</v>
      </c>
      <c r="T31" s="774" t="s">
        <v>17</v>
      </c>
      <c r="U31" s="775">
        <f t="shared" si="13"/>
        <v>100</v>
      </c>
      <c r="V31" s="774" t="s">
        <v>17</v>
      </c>
      <c r="W31" s="775">
        <f t="shared" si="14"/>
        <v>100</v>
      </c>
      <c r="X31" s="1816"/>
      <c r="Y31" s="3162"/>
      <c r="Z31" s="1817">
        <f t="shared" si="15"/>
        <v>111</v>
      </c>
      <c r="AA31" s="1814">
        <f t="shared" si="3"/>
        <v>1</v>
      </c>
      <c r="AB31" s="1814">
        <f t="shared" si="4"/>
        <v>1</v>
      </c>
      <c r="AC31" s="1814">
        <f t="shared" si="5"/>
        <v>1</v>
      </c>
    </row>
    <row r="32" spans="1:29" ht="15">
      <c r="A32" s="440" t="s">
        <v>2565</v>
      </c>
      <c r="B32" s="71" t="s">
        <v>2662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2"/>
      <c r="M32" s="1133"/>
      <c r="N32" s="1133"/>
      <c r="O32" s="1133"/>
      <c r="P32" s="3163" t="s">
        <v>2567</v>
      </c>
      <c r="Q32" s="1813" t="str">
        <f t="shared" si="11"/>
        <v>商业类型</v>
      </c>
      <c r="R32" s="774" t="s">
        <v>17</v>
      </c>
      <c r="S32" s="775">
        <f t="shared" si="12"/>
        <v>100</v>
      </c>
      <c r="T32" s="774" t="s">
        <v>17</v>
      </c>
      <c r="U32" s="775">
        <f t="shared" si="13"/>
        <v>100</v>
      </c>
      <c r="V32" s="774" t="s">
        <v>17</v>
      </c>
      <c r="W32" s="775">
        <f t="shared" si="14"/>
        <v>100</v>
      </c>
      <c r="X32" s="1816"/>
      <c r="Y32" s="3166"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64"/>
      <c r="Q33" s="776" t="str">
        <f t="shared" si="11"/>
        <v>项目建筑规模</v>
      </c>
      <c r="R33" s="777" t="s">
        <v>17</v>
      </c>
      <c r="S33" s="778" t="e">
        <f t="shared" si="12"/>
        <v>#N/A</v>
      </c>
      <c r="T33" s="777" t="s">
        <v>17</v>
      </c>
      <c r="U33" s="778" t="e">
        <f t="shared" si="13"/>
        <v>#N/A</v>
      </c>
      <c r="V33" s="777" t="s">
        <v>17</v>
      </c>
      <c r="W33" s="778" t="e">
        <f t="shared" si="14"/>
        <v>#N/A</v>
      </c>
      <c r="X33" s="779"/>
      <c r="Y33" s="3166"/>
      <c r="Z33" s="780" t="str">
        <f t="shared" si="15"/>
        <v>项目建筑规模</v>
      </c>
      <c r="AA33" s="1814" t="e">
        <f t="shared" si="3"/>
        <v>#N/A</v>
      </c>
      <c r="AB33" s="1814" t="e">
        <f t="shared" si="4"/>
        <v>#N/A</v>
      </c>
      <c r="AC33" s="1814" t="e">
        <f t="shared" si="5"/>
        <v>#N/A</v>
      </c>
    </row>
    <row r="34" spans="1:29" ht="15">
      <c r="A34" s="472"/>
      <c r="B34" s="422" t="s">
        <v>2569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164"/>
      <c r="Q34" s="1813" t="str">
        <f t="shared" si="11"/>
        <v>建筑结构</v>
      </c>
      <c r="R34" s="774" t="s">
        <v>17</v>
      </c>
      <c r="S34" s="775">
        <f t="shared" si="12"/>
        <v>100</v>
      </c>
      <c r="T34" s="774" t="s">
        <v>17</v>
      </c>
      <c r="U34" s="775">
        <f t="shared" si="13"/>
        <v>100</v>
      </c>
      <c r="V34" s="774" t="s">
        <v>17</v>
      </c>
      <c r="W34" s="775">
        <f t="shared" si="14"/>
        <v>100</v>
      </c>
      <c r="X34" s="1816"/>
      <c r="Y34" s="3166"/>
      <c r="Z34" s="1817" t="str">
        <f t="shared" si="15"/>
        <v>建筑结构</v>
      </c>
      <c r="AA34" s="1814">
        <f t="shared" si="3"/>
        <v>1</v>
      </c>
      <c r="AB34" s="1814">
        <f t="shared" si="4"/>
        <v>1</v>
      </c>
      <c r="AC34" s="1814">
        <f t="shared" si="5"/>
        <v>1</v>
      </c>
    </row>
    <row r="35" spans="1:29" ht="15">
      <c r="A35" s="472"/>
      <c r="B35" s="422" t="s">
        <v>2663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164"/>
      <c r="Q35" s="1813" t="str">
        <f t="shared" si="11"/>
        <v>公共部分装修</v>
      </c>
      <c r="R35" s="774" t="s">
        <v>17</v>
      </c>
      <c r="S35" s="775">
        <f t="shared" si="12"/>
        <v>100</v>
      </c>
      <c r="T35" s="774" t="s">
        <v>17</v>
      </c>
      <c r="U35" s="775">
        <f t="shared" si="13"/>
        <v>100</v>
      </c>
      <c r="V35" s="774" t="s">
        <v>17</v>
      </c>
      <c r="W35" s="775">
        <f t="shared" si="14"/>
        <v>100</v>
      </c>
      <c r="X35" s="1816"/>
      <c r="Y35" s="3166"/>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64"/>
      <c r="Q36" s="1813" t="str">
        <f t="shared" si="11"/>
        <v>成新度</v>
      </c>
      <c r="R36" s="774" t="s">
        <v>17</v>
      </c>
      <c r="S36" s="775" t="e">
        <f t="shared" si="12"/>
        <v>#N/A</v>
      </c>
      <c r="T36" s="774" t="s">
        <v>17</v>
      </c>
      <c r="U36" s="775" t="e">
        <f t="shared" si="13"/>
        <v>#N/A</v>
      </c>
      <c r="V36" s="774" t="s">
        <v>17</v>
      </c>
      <c r="W36" s="775" t="e">
        <f t="shared" si="14"/>
        <v>#N/A</v>
      </c>
      <c r="X36" s="1816"/>
      <c r="Y36" s="3166"/>
      <c r="Z36" s="1817" t="str">
        <f t="shared" si="15"/>
        <v>成新度</v>
      </c>
      <c r="AA36" s="1814" t="e">
        <f t="shared" si="3"/>
        <v>#N/A</v>
      </c>
      <c r="AB36" s="1814" t="e">
        <f t="shared" si="4"/>
        <v>#N/A</v>
      </c>
      <c r="AC36" s="1814" t="e">
        <f t="shared" si="5"/>
        <v>#N/A</v>
      </c>
    </row>
    <row r="37" spans="1:29" s="117" customFormat="1" ht="15">
      <c r="A37" s="473"/>
      <c r="B37" s="422" t="s">
        <v>2665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164"/>
      <c r="Q37" s="1798" t="str">
        <f t="shared" si="11"/>
        <v>市政基础设施</v>
      </c>
      <c r="R37" s="770" t="s">
        <v>17</v>
      </c>
      <c r="S37" s="771">
        <f t="shared" si="12"/>
        <v>100</v>
      </c>
      <c r="T37" s="770" t="s">
        <v>17</v>
      </c>
      <c r="U37" s="771">
        <f t="shared" si="13"/>
        <v>100</v>
      </c>
      <c r="V37" s="770" t="s">
        <v>17</v>
      </c>
      <c r="W37" s="771">
        <f t="shared" si="14"/>
        <v>100</v>
      </c>
      <c r="X37" s="772"/>
      <c r="Y37" s="3166"/>
      <c r="Z37" s="55" t="str">
        <f t="shared" si="15"/>
        <v>市政基础设施</v>
      </c>
      <c r="AA37" s="773">
        <f t="shared" si="3"/>
        <v>1</v>
      </c>
      <c r="AB37" s="773">
        <f t="shared" si="4"/>
        <v>1</v>
      </c>
      <c r="AC37" s="773">
        <f t="shared" si="5"/>
        <v>1</v>
      </c>
    </row>
    <row r="38" spans="1:29" ht="15">
      <c r="A38" s="472"/>
      <c r="B38" s="422" t="s">
        <v>2666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164" t="s">
        <v>2567</v>
      </c>
      <c r="Q38" s="1813" t="str">
        <f t="shared" si="11"/>
        <v>业态</v>
      </c>
      <c r="R38" s="774" t="s">
        <v>17</v>
      </c>
      <c r="S38" s="775">
        <f t="shared" si="12"/>
        <v>100</v>
      </c>
      <c r="T38" s="774" t="s">
        <v>17</v>
      </c>
      <c r="U38" s="775">
        <f t="shared" si="13"/>
        <v>100</v>
      </c>
      <c r="V38" s="774" t="s">
        <v>17</v>
      </c>
      <c r="W38" s="775">
        <f t="shared" si="14"/>
        <v>100</v>
      </c>
      <c r="X38" s="1816"/>
      <c r="Y38" s="3166" t="s">
        <v>2567</v>
      </c>
      <c r="Z38" s="1817" t="str">
        <f t="shared" si="15"/>
        <v>业态</v>
      </c>
      <c r="AA38" s="1814">
        <f t="shared" si="3"/>
        <v>1</v>
      </c>
      <c r="AB38" s="1814">
        <f t="shared" si="4"/>
        <v>1</v>
      </c>
      <c r="AC38" s="1814">
        <f t="shared" si="5"/>
        <v>1</v>
      </c>
    </row>
    <row r="39" spans="1:29" ht="15">
      <c r="A39" s="472"/>
      <c r="B39" s="422" t="s">
        <v>2667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164"/>
      <c r="Q39" s="1813" t="str">
        <f t="shared" si="11"/>
        <v>层高</v>
      </c>
      <c r="R39" s="774" t="s">
        <v>17</v>
      </c>
      <c r="S39" s="775">
        <f t="shared" si="12"/>
        <v>100</v>
      </c>
      <c r="T39" s="774" t="s">
        <v>17</v>
      </c>
      <c r="U39" s="775">
        <f t="shared" si="13"/>
        <v>100</v>
      </c>
      <c r="V39" s="774" t="s">
        <v>17</v>
      </c>
      <c r="W39" s="775">
        <f t="shared" si="14"/>
        <v>100</v>
      </c>
      <c r="X39" s="1816"/>
      <c r="Y39" s="3166"/>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64"/>
      <c r="Q40" s="1813" t="str">
        <f t="shared" si="11"/>
        <v>单套建筑面积</v>
      </c>
      <c r="R40" s="774" t="s">
        <v>17</v>
      </c>
      <c r="S40" s="775">
        <f t="shared" si="12"/>
        <v>100</v>
      </c>
      <c r="T40" s="774" t="s">
        <v>17</v>
      </c>
      <c r="U40" s="775">
        <f t="shared" si="13"/>
        <v>100</v>
      </c>
      <c r="V40" s="774" t="s">
        <v>17</v>
      </c>
      <c r="W40" s="775">
        <f t="shared" si="14"/>
        <v>100</v>
      </c>
      <c r="X40" s="1816"/>
      <c r="Y40" s="3166"/>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64"/>
      <c r="Q41" s="776" t="str">
        <f t="shared" si="11"/>
        <v>进深比</v>
      </c>
      <c r="R41" s="777" t="s">
        <v>17</v>
      </c>
      <c r="S41" s="778">
        <f t="shared" si="12"/>
        <v>100</v>
      </c>
      <c r="T41" s="777" t="s">
        <v>17</v>
      </c>
      <c r="U41" s="778">
        <f t="shared" si="13"/>
        <v>100</v>
      </c>
      <c r="V41" s="777" t="s">
        <v>17</v>
      </c>
      <c r="W41" s="778">
        <f t="shared" si="14"/>
        <v>100</v>
      </c>
      <c r="X41" s="779"/>
      <c r="Y41" s="3166"/>
      <c r="Z41" s="780" t="str">
        <f t="shared" si="15"/>
        <v>进深比</v>
      </c>
      <c r="AA41" s="1814">
        <f t="shared" si="3"/>
        <v>1</v>
      </c>
      <c r="AB41" s="1814">
        <f t="shared" si="4"/>
        <v>1</v>
      </c>
      <c r="AC41" s="1814">
        <f t="shared" si="5"/>
        <v>1</v>
      </c>
    </row>
    <row r="42" spans="1:29" ht="15">
      <c r="A42" s="472"/>
      <c r="B42" s="422" t="s">
        <v>2670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2"/>
      <c r="M42" s="1133"/>
      <c r="N42" s="1133"/>
      <c r="O42" s="1133"/>
      <c r="P42" s="3164"/>
      <c r="Q42" s="1813" t="str">
        <f t="shared" si="11"/>
        <v>内部装修</v>
      </c>
      <c r="R42" s="774" t="s">
        <v>17</v>
      </c>
      <c r="S42" s="775">
        <f t="shared" si="12"/>
        <v>100</v>
      </c>
      <c r="T42" s="774" t="s">
        <v>17</v>
      </c>
      <c r="U42" s="775">
        <f t="shared" si="13"/>
        <v>100</v>
      </c>
      <c r="V42" s="774" t="s">
        <v>17</v>
      </c>
      <c r="W42" s="775">
        <f t="shared" si="14"/>
        <v>100</v>
      </c>
      <c r="X42" s="1816"/>
      <c r="Y42" s="3166"/>
      <c r="Z42" s="1817" t="str">
        <f t="shared" si="15"/>
        <v>内部装修</v>
      </c>
      <c r="AA42" s="1814">
        <f t="shared" si="3"/>
        <v>1</v>
      </c>
      <c r="AB42" s="1814">
        <f t="shared" si="4"/>
        <v>1</v>
      </c>
      <c r="AC42" s="1814">
        <f t="shared" si="5"/>
        <v>1</v>
      </c>
    </row>
    <row r="43" spans="1:29" ht="15">
      <c r="A43" s="472"/>
      <c r="B43" s="422" t="s">
        <v>2578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164"/>
      <c r="Q43" s="1813" t="str">
        <f t="shared" si="11"/>
        <v>内部装修维护情况</v>
      </c>
      <c r="R43" s="774" t="s">
        <v>17</v>
      </c>
      <c r="S43" s="775">
        <f t="shared" si="12"/>
        <v>100</v>
      </c>
      <c r="T43" s="774" t="s">
        <v>17</v>
      </c>
      <c r="U43" s="775">
        <f t="shared" si="13"/>
        <v>100</v>
      </c>
      <c r="V43" s="774" t="s">
        <v>17</v>
      </c>
      <c r="W43" s="775">
        <f t="shared" si="14"/>
        <v>100</v>
      </c>
      <c r="X43" s="1816"/>
      <c r="Y43" s="3166"/>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64"/>
      <c r="Q44" s="1798">
        <f t="shared" si="11"/>
        <v>111</v>
      </c>
      <c r="R44" s="770" t="s">
        <v>17</v>
      </c>
      <c r="S44" s="771">
        <f t="shared" si="12"/>
        <v>100</v>
      </c>
      <c r="T44" s="770" t="s">
        <v>17</v>
      </c>
      <c r="U44" s="771">
        <f t="shared" si="13"/>
        <v>100</v>
      </c>
      <c r="V44" s="770" t="s">
        <v>17</v>
      </c>
      <c r="W44" s="771">
        <f t="shared" si="14"/>
        <v>100</v>
      </c>
      <c r="X44" s="772"/>
      <c r="Y44" s="316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64"/>
      <c r="Q45" s="1813">
        <f t="shared" si="11"/>
        <v>111</v>
      </c>
      <c r="R45" s="774" t="s">
        <v>17</v>
      </c>
      <c r="S45" s="775">
        <f t="shared" si="12"/>
        <v>100</v>
      </c>
      <c r="T45" s="774" t="s">
        <v>17</v>
      </c>
      <c r="U45" s="775">
        <f t="shared" si="13"/>
        <v>100</v>
      </c>
      <c r="V45" s="774" t="s">
        <v>17</v>
      </c>
      <c r="W45" s="775">
        <f t="shared" si="14"/>
        <v>100</v>
      </c>
      <c r="X45" s="1816"/>
      <c r="Y45" s="3166"/>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65"/>
      <c r="Q46" s="1813">
        <f t="shared" si="11"/>
        <v>111</v>
      </c>
      <c r="R46" s="774" t="s">
        <v>17</v>
      </c>
      <c r="S46" s="775">
        <f t="shared" si="12"/>
        <v>100</v>
      </c>
      <c r="T46" s="774" t="s">
        <v>17</v>
      </c>
      <c r="U46" s="775">
        <f t="shared" si="13"/>
        <v>100</v>
      </c>
      <c r="V46" s="774" t="s">
        <v>17</v>
      </c>
      <c r="W46" s="775">
        <f t="shared" si="14"/>
        <v>100</v>
      </c>
      <c r="X46" s="1816"/>
      <c r="Y46" s="3167"/>
      <c r="Z46" s="1817">
        <f t="shared" si="15"/>
        <v>111</v>
      </c>
      <c r="AA46" s="1814">
        <f t="shared" si="3"/>
        <v>1</v>
      </c>
      <c r="AB46" s="1814">
        <f t="shared" si="4"/>
        <v>1</v>
      </c>
      <c r="AC46" s="1814">
        <f t="shared" si="5"/>
        <v>1</v>
      </c>
    </row>
    <row r="47" spans="1:29" ht="15">
      <c r="A47" s="479" t="s">
        <v>2579</v>
      </c>
      <c r="B47" s="480"/>
      <c r="C47" s="1409" t="s">
        <v>1</v>
      </c>
      <c r="D47" s="1410"/>
      <c r="E47" s="1411"/>
      <c r="F47" s="1412"/>
      <c r="G47" s="1413"/>
      <c r="H47" s="1414"/>
      <c r="I47" s="1411"/>
      <c r="J47" s="1414"/>
      <c r="K47" s="783"/>
      <c r="L47" s="1145"/>
      <c r="M47" s="1146"/>
      <c r="N47" s="1133"/>
      <c r="O47" s="1146"/>
      <c r="P47" s="3159" t="str">
        <f>A47</f>
        <v>成交单价（元/平方米）</v>
      </c>
      <c r="Q47" s="3159"/>
      <c r="R47" s="3190">
        <f>E47</f>
        <v>0</v>
      </c>
      <c r="S47" s="3190"/>
      <c r="T47" s="3190">
        <f>G47</f>
        <v>0</v>
      </c>
      <c r="U47" s="3190"/>
      <c r="V47" s="3190">
        <f>I47</f>
        <v>0</v>
      </c>
      <c r="W47" s="3190"/>
      <c r="X47" s="759"/>
      <c r="Y47" s="781"/>
      <c r="Z47" s="759"/>
      <c r="AA47" s="759"/>
      <c r="AB47" s="759"/>
      <c r="AC47" s="759"/>
    </row>
    <row r="48" spans="1:29" ht="15.75" thickBot="1">
      <c r="A48" s="486" t="s">
        <v>2671</v>
      </c>
      <c r="B48" s="487"/>
      <c r="C48" s="1415" t="e">
        <f>R49</f>
        <v>#DIV/0!</v>
      </c>
      <c r="D48" s="1416"/>
      <c r="E48" s="1417" t="e">
        <f>R48</f>
        <v>#DIV/0!</v>
      </c>
      <c r="F48" s="1417"/>
      <c r="G48" s="1415" t="e">
        <f>T48</f>
        <v>#DIV/0!</v>
      </c>
      <c r="H48" s="1416"/>
      <c r="I48" s="1417" t="e">
        <f>V48</f>
        <v>#DIV/0!</v>
      </c>
      <c r="J48" s="1416"/>
      <c r="K48" s="784"/>
      <c r="L48" s="1145"/>
      <c r="M48" s="1146"/>
      <c r="N48" s="1133"/>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2672</v>
      </c>
      <c r="B49" s="493"/>
      <c r="C49" s="1419" t="e">
        <f>R49</f>
        <v>#DIV/0!</v>
      </c>
      <c r="D49" s="1419"/>
      <c r="E49" s="1419"/>
      <c r="F49" s="1419"/>
      <c r="G49" s="1419"/>
      <c r="H49" s="1419"/>
      <c r="I49" s="1419"/>
      <c r="J49" s="1419"/>
      <c r="K49" s="785"/>
      <c r="L49" s="1145"/>
      <c r="M49" s="1146"/>
      <c r="N49" s="1133"/>
      <c r="O49" s="1146"/>
      <c r="P49" s="3156" t="str">
        <f>A49</f>
        <v>估价对象XX用房的比较价值（楼面单价，元/平方米）</v>
      </c>
      <c r="Q49" s="3157"/>
      <c r="R49" s="3158" t="e">
        <f>IF(F1="售价",ROUND(AVERAGE(R48:V48),0),ROUND(AVERAGE(R48:V48),1))</f>
        <v>#DIV/0!</v>
      </c>
      <c r="S49" s="3158"/>
      <c r="T49" s="3158"/>
      <c r="U49" s="3158"/>
      <c r="V49" s="3158"/>
      <c r="W49" s="315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2550</v>
      </c>
      <c r="B58" s="506"/>
      <c r="C58" s="1577" t="str">
        <f>YEAR(C7)&amp;"-"&amp;MONTH(C7)</f>
        <v>2017-12</v>
      </c>
      <c r="D58" s="1578">
        <f>EDATE(C58,-1)</f>
        <v>43040</v>
      </c>
      <c r="E58" s="1578">
        <f t="shared" ref="E58:N58" si="16">EDATE(D58,-1)</f>
        <v>43009</v>
      </c>
      <c r="F58" s="1578">
        <f t="shared" si="16"/>
        <v>42979</v>
      </c>
      <c r="G58" s="1578">
        <f t="shared" si="16"/>
        <v>42948</v>
      </c>
      <c r="H58" s="1578">
        <f t="shared" si="16"/>
        <v>42917</v>
      </c>
      <c r="I58" s="1578">
        <f t="shared" si="16"/>
        <v>42887</v>
      </c>
      <c r="J58" s="1578">
        <f t="shared" si="16"/>
        <v>42856</v>
      </c>
      <c r="K58" s="1578">
        <f t="shared" si="16"/>
        <v>42826</v>
      </c>
      <c r="L58" s="1578">
        <f t="shared" si="16"/>
        <v>42795</v>
      </c>
      <c r="M58" s="1578">
        <f t="shared" si="16"/>
        <v>42767</v>
      </c>
      <c r="N58" s="1578">
        <f t="shared" si="16"/>
        <v>42736</v>
      </c>
      <c r="O58" s="1578">
        <f>EDATE(N58,-1)</f>
        <v>42705</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2552</v>
      </c>
      <c r="B61" s="510"/>
      <c r="C61" s="522" t="s">
        <v>2654</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2657</v>
      </c>
      <c r="C82" s="660" t="s">
        <v>2677</v>
      </c>
      <c r="D82" s="660" t="s">
        <v>2678</v>
      </c>
      <c r="E82" s="660" t="s">
        <v>2679</v>
      </c>
      <c r="F82" s="660" t="s">
        <v>2680</v>
      </c>
      <c r="G82" s="660" t="s">
        <v>2681</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2682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3"/>
      <c r="O88" s="1153"/>
      <c r="P88" s="2631"/>
      <c r="Q88" s="504"/>
    </row>
    <row r="89" spans="1:17" s="117" customFormat="1" ht="15.75" thickBot="1">
      <c r="A89" s="579"/>
      <c r="B89" s="543"/>
      <c r="C89" s="560"/>
      <c r="D89" s="536"/>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c r="D92" s="554"/>
      <c r="E92" s="554"/>
      <c r="F92" s="554"/>
      <c r="G92" s="554"/>
      <c r="H92" s="554"/>
      <c r="I92" s="554"/>
      <c r="J92" s="554"/>
      <c r="K92" s="554"/>
      <c r="L92" s="580"/>
      <c r="M92" s="581"/>
      <c r="N92" s="1154"/>
      <c r="O92" s="1154"/>
      <c r="P92" s="2631"/>
      <c r="Q92" s="504"/>
    </row>
    <row r="93" spans="1:17" ht="15.75" thickBot="1">
      <c r="A93" s="534"/>
      <c r="B93" s="543"/>
      <c r="C93" s="536"/>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2565</v>
      </c>
      <c r="B100" s="528" t="s">
        <v>2683</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1"/>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2618</v>
      </c>
      <c r="C107" s="554"/>
      <c r="D107" s="554"/>
      <c r="E107" s="554"/>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2620</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2684</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2685</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2686</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2687</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泛骏华国际物流（中国）有限公司：</v>
      </c>
    </row>
    <row r="4" spans="1:1" ht="18">
      <c r="A4" s="1951" t="str">
        <f>"受贵公司委托，我公司对"&amp;项目基本情况!S1&amp;"进行了预评估。"</f>
        <v>受贵公司委托，我公司对北京市房地产市场价值进行了预评估。</v>
      </c>
    </row>
    <row r="5" spans="1:1" ht="18.75">
      <c r="A5" s="1952" t="s">
        <v>1614</v>
      </c>
    </row>
    <row r="6" spans="1:1" ht="18.75">
      <c r="A6" s="1953" t="s">
        <v>1615</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顺国用(2010出)字第00036号]，估价对象（分摊）出让国有建设用地使用权面积为9999.1平方米。根据《房屋所有权证》[X京房权证顺字第244170号]，估价对象建筑面积为16724.51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京顺国用(2010出)字第00036号]，估价对象（分摊）出让国有建设用地使用权面积为9999.1平方米。根据《房屋所有权证》[X京房权证顺字第244170号]，估价对象规划建筑面积为16724.51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1620</v>
      </c>
    </row>
    <row r="15" spans="1:1" ht="18">
      <c r="A15" s="1957" t="str">
        <f>TEXT(项目基本情况!D3,"yyyy年m月d日;;")&amp;IF(项目基本情况!D3=项目基本情况!B3,"（评估专业人员实地查勘之日）","")</f>
        <v>2017年12月31日（评估专业人员实地查勘之日）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仓储，土地取得方式为出让，出让国有建设用地使用权剩余土地使用年限为38.4，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仓储，实际开发程度为宗地红线外“七通”（即、、、、、、）、红线内场地平整条件下，剩余土地使用年限为38.4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0" t="s">
        <v>2688</v>
      </c>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IF(C2="——",ROUND(C50*D3/10000,0),ROUND(C50*D3/10000,0)-D2)</f>
        <v>#DIV/0!</v>
      </c>
      <c r="C2" s="2587"/>
      <c r="D2" s="1367" t="e">
        <f ca="1">SUMIF(INDIRECT("'"&amp;F2&amp;"'"&amp;"!A:A"),"承租人权益价值",INDIRECT("'"&amp;F2&amp;"'"&amp;"!c:c"))</f>
        <v>#REF!</v>
      </c>
      <c r="E2" s="2588" t="s">
        <v>2330</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16724.510000000002</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250" t="s">
        <v>2653</v>
      </c>
      <c r="Q4" s="3251"/>
      <c r="R4" s="3254" t="s">
        <v>2649</v>
      </c>
      <c r="S4" s="3255"/>
      <c r="T4" s="3254" t="s">
        <v>2650</v>
      </c>
      <c r="U4" s="3255"/>
      <c r="V4" s="3256" t="s">
        <v>2651</v>
      </c>
      <c r="W4" s="3256"/>
      <c r="X4" s="2671"/>
      <c r="Y4" s="3254" t="s">
        <v>2653</v>
      </c>
      <c r="Z4" s="3255"/>
      <c r="AA4" s="3258" t="s">
        <v>2649</v>
      </c>
      <c r="AB4" s="3258" t="s">
        <v>2650</v>
      </c>
      <c r="AC4" s="3247" t="s">
        <v>2651</v>
      </c>
    </row>
    <row r="5" spans="1:29" ht="15">
      <c r="A5" s="404"/>
      <c r="B5" s="405"/>
      <c r="C5" s="3193" t="s">
        <v>2544</v>
      </c>
      <c r="D5" s="3194"/>
      <c r="E5" s="3200" t="s">
        <v>2545</v>
      </c>
      <c r="F5" s="3201"/>
      <c r="G5" s="3193" t="s">
        <v>2546</v>
      </c>
      <c r="H5" s="3194"/>
      <c r="I5" s="3193" t="s">
        <v>2547</v>
      </c>
      <c r="J5" s="3194"/>
      <c r="K5" s="610"/>
      <c r="L5" s="1132"/>
      <c r="M5" s="1133"/>
      <c r="N5" s="1133"/>
      <c r="O5" s="1133"/>
      <c r="P5" s="3252"/>
      <c r="Q5" s="3181"/>
      <c r="R5" s="3186"/>
      <c r="S5" s="3187"/>
      <c r="T5" s="3186"/>
      <c r="U5" s="3187"/>
      <c r="V5" s="3190"/>
      <c r="W5" s="3190"/>
      <c r="X5" s="1816"/>
      <c r="Y5" s="3186"/>
      <c r="Z5" s="3187"/>
      <c r="AA5" s="3172"/>
      <c r="AB5" s="3172"/>
      <c r="AC5" s="3248"/>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253"/>
      <c r="Q6" s="3183"/>
      <c r="R6" s="3186"/>
      <c r="S6" s="3187"/>
      <c r="T6" s="3188"/>
      <c r="U6" s="3189"/>
      <c r="V6" s="3190"/>
      <c r="W6" s="3190"/>
      <c r="X6" s="1816"/>
      <c r="Y6" s="3188"/>
      <c r="Z6" s="3189"/>
      <c r="AA6" s="3173"/>
      <c r="AB6" s="3173"/>
      <c r="AC6" s="3249"/>
    </row>
    <row r="7" spans="1:29" s="117" customFormat="1" ht="15.75" thickBot="1">
      <c r="A7" s="408" t="s">
        <v>2550</v>
      </c>
      <c r="B7" s="409"/>
      <c r="C7" s="410">
        <f>'数据-取费表'!B2</f>
        <v>43100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7"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2672"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7" t="s">
        <v>2554</v>
      </c>
      <c r="Q8" s="3196"/>
      <c r="R8" s="770" t="s">
        <v>17</v>
      </c>
      <c r="S8" s="771">
        <f t="shared" si="0"/>
        <v>0</v>
      </c>
      <c r="T8" s="770" t="s">
        <v>17</v>
      </c>
      <c r="U8" s="771">
        <f t="shared" si="1"/>
        <v>0</v>
      </c>
      <c r="V8" s="770" t="s">
        <v>17</v>
      </c>
      <c r="W8" s="771">
        <f t="shared" si="2"/>
        <v>0</v>
      </c>
      <c r="X8" s="772"/>
      <c r="Y8" s="3195" t="s">
        <v>2554</v>
      </c>
      <c r="Z8" s="3196"/>
      <c r="AA8" s="773" t="e">
        <f t="shared" ref="AA8:AA47" si="3">D8/F8</f>
        <v>#DIV/0!</v>
      </c>
      <c r="AB8" s="773" t="e">
        <f t="shared" ref="AB8:AB47" si="4">D8/H8</f>
        <v>#DIV/0!</v>
      </c>
      <c r="AC8" s="2672"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0"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2672">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0"/>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2672">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0"/>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70"/>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70"/>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170"/>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2672">
        <f t="shared" si="5"/>
        <v>1</v>
      </c>
    </row>
    <row r="15" spans="1:29" ht="71.25">
      <c r="A15" s="440" t="s">
        <v>2561</v>
      </c>
      <c r="B15" s="629" t="s">
        <v>2689</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68" t="s">
        <v>2562</v>
      </c>
      <c r="Q15" s="1813" t="str">
        <f t="shared" si="6"/>
        <v>办公集聚程度</v>
      </c>
      <c r="R15" s="774" t="s">
        <v>17</v>
      </c>
      <c r="S15" s="775">
        <f t="shared" si="0"/>
        <v>100</v>
      </c>
      <c r="T15" s="774" t="s">
        <v>17</v>
      </c>
      <c r="U15" s="775">
        <f t="shared" si="1"/>
        <v>100</v>
      </c>
      <c r="V15" s="774" t="s">
        <v>17</v>
      </c>
      <c r="W15" s="775">
        <f t="shared" si="2"/>
        <v>100</v>
      </c>
      <c r="X15" s="1816"/>
      <c r="Y15" s="3161" t="s">
        <v>2562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2"/>
      <c r="M16" s="1133"/>
      <c r="N16" s="1133"/>
      <c r="O16" s="1133"/>
      <c r="P16" s="3169"/>
      <c r="Q16" s="1813"/>
      <c r="R16" s="774"/>
      <c r="S16" s="775"/>
      <c r="T16" s="774"/>
      <c r="U16" s="775"/>
      <c r="V16" s="774"/>
      <c r="W16" s="775"/>
      <c r="X16" s="1816"/>
      <c r="Y16" s="3162"/>
      <c r="Z16" s="1817"/>
      <c r="AA16" s="1814">
        <v>1</v>
      </c>
      <c r="AB16" s="1814">
        <v>1</v>
      </c>
      <c r="AC16" s="2675">
        <v>1</v>
      </c>
    </row>
    <row r="17" spans="1:29" ht="71.25">
      <c r="A17" s="428"/>
      <c r="B17" s="631" t="s">
        <v>2099</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69"/>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2"/>
      <c r="M18" s="1133"/>
      <c r="N18" s="1133"/>
      <c r="O18" s="1133"/>
      <c r="P18" s="3169"/>
      <c r="Q18" s="1813"/>
      <c r="R18" s="774"/>
      <c r="S18" s="775"/>
      <c r="T18" s="774"/>
      <c r="U18" s="775"/>
      <c r="V18" s="774"/>
      <c r="W18" s="775"/>
      <c r="X18" s="1816"/>
      <c r="Y18" s="3162"/>
      <c r="Z18" s="1817"/>
      <c r="AA18" s="1814">
        <v>1</v>
      </c>
      <c r="AB18" s="1814">
        <v>1</v>
      </c>
      <c r="AC18" s="2675">
        <v>1</v>
      </c>
    </row>
    <row r="19" spans="1:29" ht="42.75">
      <c r="A19" s="428"/>
      <c r="B19" s="631" t="s">
        <v>2690</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69"/>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2"/>
      <c r="M20" s="1133"/>
      <c r="N20" s="1133"/>
      <c r="O20" s="1133"/>
      <c r="P20" s="3169"/>
      <c r="Q20" s="1813"/>
      <c r="R20" s="774"/>
      <c r="S20" s="775"/>
      <c r="T20" s="774"/>
      <c r="U20" s="775"/>
      <c r="V20" s="774"/>
      <c r="W20" s="775"/>
      <c r="X20" s="1816"/>
      <c r="Y20" s="3162"/>
      <c r="Z20" s="1817"/>
      <c r="AA20" s="1814">
        <v>1</v>
      </c>
      <c r="AB20" s="1814">
        <v>1</v>
      </c>
      <c r="AC20" s="2675">
        <v>1</v>
      </c>
    </row>
    <row r="21" spans="1:29" ht="28.5">
      <c r="A21" s="428"/>
      <c r="B21" s="633" t="s">
        <v>2691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69"/>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5"/>
      <c r="L22" s="1142"/>
      <c r="M22" s="1133"/>
      <c r="N22" s="1133"/>
      <c r="O22" s="1133"/>
      <c r="P22" s="3169"/>
      <c r="Q22" s="1813"/>
      <c r="R22" s="774"/>
      <c r="S22" s="775"/>
      <c r="T22" s="774"/>
      <c r="U22" s="775"/>
      <c r="V22" s="774"/>
      <c r="W22" s="775"/>
      <c r="X22" s="1816"/>
      <c r="Y22" s="3162"/>
      <c r="Z22" s="1817"/>
      <c r="AA22" s="1814">
        <v>1</v>
      </c>
      <c r="AB22" s="1814">
        <v>1</v>
      </c>
      <c r="AC22" s="2675">
        <v>1</v>
      </c>
    </row>
    <row r="23" spans="1:29" ht="42.75">
      <c r="A23" s="428"/>
      <c r="B23" s="631" t="s">
        <v>2692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69"/>
      <c r="Q23" s="1813" t="str">
        <f>B23</f>
        <v>环境质量</v>
      </c>
      <c r="R23" s="774" t="s">
        <v>17</v>
      </c>
      <c r="S23" s="775">
        <f>F23</f>
        <v>100</v>
      </c>
      <c r="T23" s="774" t="s">
        <v>17</v>
      </c>
      <c r="U23" s="775">
        <f>H23</f>
        <v>100</v>
      </c>
      <c r="V23" s="774" t="s">
        <v>17</v>
      </c>
      <c r="W23" s="775">
        <f>J23</f>
        <v>100</v>
      </c>
      <c r="X23" s="1816"/>
      <c r="Y23" s="3162"/>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2"/>
      <c r="M24" s="1133"/>
      <c r="N24" s="1133"/>
      <c r="O24" s="1133"/>
      <c r="P24" s="3169"/>
      <c r="Q24" s="1813"/>
      <c r="R24" s="774"/>
      <c r="S24" s="775"/>
      <c r="T24" s="774"/>
      <c r="U24" s="775"/>
      <c r="V24" s="774"/>
      <c r="W24" s="775"/>
      <c r="X24" s="1816"/>
      <c r="Y24" s="3162"/>
      <c r="Z24" s="1817"/>
      <c r="AA24" s="1814">
        <v>1</v>
      </c>
      <c r="AB24" s="1814">
        <v>1</v>
      </c>
      <c r="AC24" s="2675">
        <v>1</v>
      </c>
    </row>
    <row r="25" spans="1:29" ht="27">
      <c r="A25" s="404"/>
      <c r="B25" s="631" t="s">
        <v>2693</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169"/>
      <c r="Q25" s="1813" t="str">
        <f>B25</f>
        <v>毗邻道路的类型与等级</v>
      </c>
      <c r="R25" s="774" t="s">
        <v>17</v>
      </c>
      <c r="S25" s="775">
        <f>F25</f>
        <v>100</v>
      </c>
      <c r="T25" s="774" t="s">
        <v>17</v>
      </c>
      <c r="U25" s="775">
        <f>H25</f>
        <v>100</v>
      </c>
      <c r="V25" s="774" t="s">
        <v>17</v>
      </c>
      <c r="W25" s="775">
        <f>J25</f>
        <v>100</v>
      </c>
      <c r="X25" s="1816"/>
      <c r="Y25" s="3162"/>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2"/>
      <c r="M26" s="1133"/>
      <c r="N26" s="1133"/>
      <c r="O26" s="1133"/>
      <c r="P26" s="3169"/>
      <c r="Q26" s="1813"/>
      <c r="R26" s="774"/>
      <c r="S26" s="775"/>
      <c r="T26" s="774"/>
      <c r="U26" s="775"/>
      <c r="V26" s="774"/>
      <c r="W26" s="775"/>
      <c r="X26" s="1816"/>
      <c r="Y26" s="3162"/>
      <c r="Z26" s="1817"/>
      <c r="AA26" s="1814">
        <v>1</v>
      </c>
      <c r="AB26" s="1814">
        <v>1</v>
      </c>
      <c r="AC26" s="2675">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69"/>
      <c r="Q27" s="1813" t="str">
        <f t="shared" ref="Q27:Q47" si="11">B27</f>
        <v>楼层</v>
      </c>
      <c r="R27" s="774" t="s">
        <v>17</v>
      </c>
      <c r="S27" s="775">
        <f>F27</f>
        <v>100</v>
      </c>
      <c r="T27" s="774" t="s">
        <v>17</v>
      </c>
      <c r="U27" s="775">
        <f>H27</f>
        <v>100</v>
      </c>
      <c r="V27" s="774" t="s">
        <v>17</v>
      </c>
      <c r="W27" s="775">
        <f>J27</f>
        <v>100</v>
      </c>
      <c r="X27" s="1816"/>
      <c r="Y27" s="3162"/>
      <c r="Z27" s="1817" t="str">
        <f>Q27</f>
        <v>楼层</v>
      </c>
      <c r="AA27" s="1814">
        <f t="shared" si="3"/>
        <v>1</v>
      </c>
      <c r="AB27" s="1814">
        <f t="shared" si="4"/>
        <v>1</v>
      </c>
      <c r="AC27" s="2675">
        <f t="shared" si="5"/>
        <v>1</v>
      </c>
    </row>
    <row r="28" spans="1:29" s="117" customFormat="1" ht="15">
      <c r="A28" s="431"/>
      <c r="B28" s="631" t="s">
        <v>2694</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169"/>
      <c r="Q28" s="1798" t="str">
        <f t="shared" si="11"/>
        <v>朝向</v>
      </c>
      <c r="R28" s="770" t="s">
        <v>17</v>
      </c>
      <c r="S28" s="771">
        <f>F28</f>
        <v>100</v>
      </c>
      <c r="T28" s="770" t="s">
        <v>17</v>
      </c>
      <c r="U28" s="771">
        <f>H28</f>
        <v>100</v>
      </c>
      <c r="V28" s="770" t="s">
        <v>17</v>
      </c>
      <c r="W28" s="771">
        <f>J28</f>
        <v>100</v>
      </c>
      <c r="X28" s="772"/>
      <c r="Y28" s="3162"/>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169"/>
      <c r="Q29" s="1813">
        <f t="shared" si="11"/>
        <v>111</v>
      </c>
      <c r="R29" s="774" t="s">
        <v>17</v>
      </c>
      <c r="S29" s="775">
        <f t="shared" ref="S29:S47" si="12">F29</f>
        <v>100</v>
      </c>
      <c r="T29" s="774" t="s">
        <v>17</v>
      </c>
      <c r="U29" s="775">
        <f t="shared" ref="U29:U47" si="13">H29</f>
        <v>100</v>
      </c>
      <c r="V29" s="774" t="s">
        <v>17</v>
      </c>
      <c r="W29" s="775">
        <f t="shared" ref="W29:W47" si="14">J29</f>
        <v>100</v>
      </c>
      <c r="X29" s="1816"/>
      <c r="Y29" s="3162"/>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169"/>
      <c r="Q30" s="1813">
        <f t="shared" si="11"/>
        <v>111</v>
      </c>
      <c r="R30" s="774" t="s">
        <v>17</v>
      </c>
      <c r="S30" s="775">
        <f t="shared" si="12"/>
        <v>100</v>
      </c>
      <c r="T30" s="774" t="s">
        <v>17</v>
      </c>
      <c r="U30" s="775">
        <f t="shared" si="13"/>
        <v>100</v>
      </c>
      <c r="V30" s="774" t="s">
        <v>17</v>
      </c>
      <c r="W30" s="775">
        <f t="shared" si="14"/>
        <v>100</v>
      </c>
      <c r="X30" s="1816"/>
      <c r="Y30" s="3162"/>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169"/>
      <c r="Q31" s="1813">
        <f t="shared" si="11"/>
        <v>111</v>
      </c>
      <c r="R31" s="774" t="s">
        <v>17</v>
      </c>
      <c r="S31" s="775">
        <f t="shared" si="12"/>
        <v>100</v>
      </c>
      <c r="T31" s="774" t="s">
        <v>17</v>
      </c>
      <c r="U31" s="775">
        <f t="shared" si="13"/>
        <v>100</v>
      </c>
      <c r="V31" s="774" t="s">
        <v>17</v>
      </c>
      <c r="W31" s="775">
        <f t="shared" si="14"/>
        <v>100</v>
      </c>
      <c r="X31" s="1816"/>
      <c r="Y31" s="3162"/>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169"/>
      <c r="Q32" s="1813">
        <f t="shared" si="11"/>
        <v>111</v>
      </c>
      <c r="R32" s="774" t="s">
        <v>17</v>
      </c>
      <c r="S32" s="775">
        <f t="shared" si="12"/>
        <v>100</v>
      </c>
      <c r="T32" s="774" t="s">
        <v>17</v>
      </c>
      <c r="U32" s="775">
        <f t="shared" si="13"/>
        <v>100</v>
      </c>
      <c r="V32" s="774" t="s">
        <v>17</v>
      </c>
      <c r="W32" s="775">
        <f t="shared" si="14"/>
        <v>100</v>
      </c>
      <c r="X32" s="1816"/>
      <c r="Y32" s="3162"/>
      <c r="Z32" s="1817">
        <f t="shared" si="15"/>
        <v>111</v>
      </c>
      <c r="AA32" s="1814">
        <f t="shared" si="3"/>
        <v>1</v>
      </c>
      <c r="AB32" s="1814">
        <f t="shared" si="4"/>
        <v>1</v>
      </c>
      <c r="AC32" s="2675">
        <f t="shared" si="5"/>
        <v>1</v>
      </c>
    </row>
    <row r="33" spans="1:29" ht="15">
      <c r="A33" s="440" t="s">
        <v>2565</v>
      </c>
      <c r="B33" s="71" t="s">
        <v>2695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163" t="s">
        <v>2567</v>
      </c>
      <c r="Q33" s="1813" t="str">
        <f t="shared" si="11"/>
        <v>建筑类型</v>
      </c>
      <c r="R33" s="774" t="s">
        <v>17</v>
      </c>
      <c r="S33" s="775">
        <f t="shared" si="12"/>
        <v>100</v>
      </c>
      <c r="T33" s="774" t="s">
        <v>17</v>
      </c>
      <c r="U33" s="775">
        <f t="shared" si="13"/>
        <v>100</v>
      </c>
      <c r="V33" s="774" t="s">
        <v>17</v>
      </c>
      <c r="W33" s="775">
        <f t="shared" si="14"/>
        <v>100</v>
      </c>
      <c r="X33" s="1816"/>
      <c r="Y33" s="3166" t="s">
        <v>2567</v>
      </c>
      <c r="Z33" s="1817" t="str">
        <f t="shared" si="15"/>
        <v>建筑类型</v>
      </c>
      <c r="AA33" s="1814">
        <f t="shared" si="3"/>
        <v>1</v>
      </c>
      <c r="AB33" s="1814">
        <f t="shared" si="4"/>
        <v>1</v>
      </c>
      <c r="AC33" s="2675">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64"/>
      <c r="Q34" s="776" t="str">
        <f t="shared" si="11"/>
        <v>项目建筑规模</v>
      </c>
      <c r="R34" s="777" t="s">
        <v>17</v>
      </c>
      <c r="S34" s="778" t="e">
        <f t="shared" si="12"/>
        <v>#N/A</v>
      </c>
      <c r="T34" s="777" t="s">
        <v>17</v>
      </c>
      <c r="U34" s="778" t="e">
        <f t="shared" si="13"/>
        <v>#N/A</v>
      </c>
      <c r="V34" s="777" t="s">
        <v>17</v>
      </c>
      <c r="W34" s="778" t="e">
        <f t="shared" si="14"/>
        <v>#N/A</v>
      </c>
      <c r="X34" s="779"/>
      <c r="Y34" s="3166"/>
      <c r="Z34" s="780" t="str">
        <f t="shared" si="15"/>
        <v>项目建筑规模</v>
      </c>
      <c r="AA34" s="1814" t="e">
        <f t="shared" si="3"/>
        <v>#N/A</v>
      </c>
      <c r="AB34" s="1814" t="e">
        <f t="shared" si="4"/>
        <v>#N/A</v>
      </c>
      <c r="AC34" s="2675"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64"/>
      <c r="Q35" s="1813" t="str">
        <f t="shared" si="11"/>
        <v>建筑结构</v>
      </c>
      <c r="R35" s="774" t="s">
        <v>17</v>
      </c>
      <c r="S35" s="775">
        <f t="shared" si="12"/>
        <v>100</v>
      </c>
      <c r="T35" s="774" t="s">
        <v>17</v>
      </c>
      <c r="U35" s="775">
        <f t="shared" si="13"/>
        <v>100</v>
      </c>
      <c r="V35" s="774" t="s">
        <v>17</v>
      </c>
      <c r="W35" s="775">
        <f t="shared" si="14"/>
        <v>100</v>
      </c>
      <c r="X35" s="1816"/>
      <c r="Y35" s="3166"/>
      <c r="Z35" s="1817" t="str">
        <f t="shared" si="15"/>
        <v>建筑结构</v>
      </c>
      <c r="AA35" s="1814">
        <f t="shared" si="3"/>
        <v>1</v>
      </c>
      <c r="AB35" s="1814">
        <f t="shared" si="4"/>
        <v>1</v>
      </c>
      <c r="AC35" s="2675">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64"/>
      <c r="Q36" s="1813" t="str">
        <f t="shared" si="11"/>
        <v>公共部分装修</v>
      </c>
      <c r="R36" s="774" t="s">
        <v>17</v>
      </c>
      <c r="S36" s="775">
        <f t="shared" si="12"/>
        <v>100</v>
      </c>
      <c r="T36" s="774" t="s">
        <v>17</v>
      </c>
      <c r="U36" s="775">
        <f t="shared" si="13"/>
        <v>100</v>
      </c>
      <c r="V36" s="774" t="s">
        <v>17</v>
      </c>
      <c r="W36" s="775">
        <f t="shared" si="14"/>
        <v>100</v>
      </c>
      <c r="X36" s="1816"/>
      <c r="Y36" s="3166"/>
      <c r="Z36" s="1817" t="str">
        <f t="shared" si="15"/>
        <v>公共部分装修</v>
      </c>
      <c r="AA36" s="1814">
        <f t="shared" si="3"/>
        <v>1</v>
      </c>
      <c r="AB36" s="1814">
        <f t="shared" si="4"/>
        <v>1</v>
      </c>
      <c r="AC36" s="2675">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64"/>
      <c r="Q37" s="1813" t="str">
        <f t="shared" si="11"/>
        <v>成新度</v>
      </c>
      <c r="R37" s="774" t="s">
        <v>17</v>
      </c>
      <c r="S37" s="775" t="e">
        <f t="shared" si="12"/>
        <v>#N/A</v>
      </c>
      <c r="T37" s="774" t="s">
        <v>17</v>
      </c>
      <c r="U37" s="775" t="e">
        <f t="shared" si="13"/>
        <v>#N/A</v>
      </c>
      <c r="V37" s="774" t="s">
        <v>17</v>
      </c>
      <c r="W37" s="775" t="e">
        <f t="shared" si="14"/>
        <v>#N/A</v>
      </c>
      <c r="X37" s="1816"/>
      <c r="Y37" s="3166"/>
      <c r="Z37" s="1817" t="str">
        <f t="shared" si="15"/>
        <v>成新度</v>
      </c>
      <c r="AA37" s="1814" t="e">
        <f t="shared" si="3"/>
        <v>#N/A</v>
      </c>
      <c r="AB37" s="1814" t="e">
        <f t="shared" si="4"/>
        <v>#N/A</v>
      </c>
      <c r="AC37" s="2675"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64"/>
      <c r="Q38" s="1798" t="str">
        <f t="shared" si="11"/>
        <v>写字楼等级</v>
      </c>
      <c r="R38" s="770" t="s">
        <v>17</v>
      </c>
      <c r="S38" s="771">
        <f t="shared" si="12"/>
        <v>100</v>
      </c>
      <c r="T38" s="770" t="s">
        <v>17</v>
      </c>
      <c r="U38" s="771">
        <f t="shared" si="13"/>
        <v>100</v>
      </c>
      <c r="V38" s="770" t="s">
        <v>17</v>
      </c>
      <c r="W38" s="771">
        <f t="shared" si="14"/>
        <v>100</v>
      </c>
      <c r="X38" s="772"/>
      <c r="Y38" s="3166"/>
      <c r="Z38" s="55" t="str">
        <f t="shared" si="15"/>
        <v>写字楼等级</v>
      </c>
      <c r="AA38" s="773">
        <f t="shared" si="3"/>
        <v>1</v>
      </c>
      <c r="AB38" s="773">
        <f t="shared" si="4"/>
        <v>1</v>
      </c>
      <c r="AC38" s="2672">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64" t="s">
        <v>2567</v>
      </c>
      <c r="Q39" s="1813" t="str">
        <f t="shared" si="11"/>
        <v>物业管理</v>
      </c>
      <c r="R39" s="774" t="s">
        <v>17</v>
      </c>
      <c r="S39" s="775">
        <f t="shared" si="12"/>
        <v>100</v>
      </c>
      <c r="T39" s="774" t="s">
        <v>17</v>
      </c>
      <c r="U39" s="775">
        <f t="shared" si="13"/>
        <v>100</v>
      </c>
      <c r="V39" s="774" t="s">
        <v>17</v>
      </c>
      <c r="W39" s="775">
        <f t="shared" si="14"/>
        <v>100</v>
      </c>
      <c r="X39" s="1816"/>
      <c r="Y39" s="3166" t="s">
        <v>2567</v>
      </c>
      <c r="Z39" s="1817" t="str">
        <f t="shared" si="15"/>
        <v>物业管理</v>
      </c>
      <c r="AA39" s="1814">
        <f t="shared" si="3"/>
        <v>1</v>
      </c>
      <c r="AB39" s="1814">
        <f t="shared" si="4"/>
        <v>1</v>
      </c>
      <c r="AC39" s="2675">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64"/>
      <c r="Q40" s="1813" t="str">
        <f t="shared" si="11"/>
        <v>市政基础设施</v>
      </c>
      <c r="R40" s="774" t="s">
        <v>17</v>
      </c>
      <c r="S40" s="775">
        <f t="shared" si="12"/>
        <v>100</v>
      </c>
      <c r="T40" s="774" t="s">
        <v>17</v>
      </c>
      <c r="U40" s="775">
        <f t="shared" si="13"/>
        <v>100</v>
      </c>
      <c r="V40" s="774" t="s">
        <v>17</v>
      </c>
      <c r="W40" s="775">
        <f t="shared" si="14"/>
        <v>100</v>
      </c>
      <c r="X40" s="1816"/>
      <c r="Y40" s="3166"/>
      <c r="Z40" s="1817" t="str">
        <f t="shared" si="15"/>
        <v>市政基础设施</v>
      </c>
      <c r="AA40" s="1814">
        <f t="shared" si="3"/>
        <v>1</v>
      </c>
      <c r="AB40" s="1814">
        <f t="shared" si="4"/>
        <v>1</v>
      </c>
      <c r="AC40" s="2675">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64"/>
      <c r="Q41" s="1813" t="str">
        <f t="shared" si="11"/>
        <v>层高</v>
      </c>
      <c r="R41" s="774" t="s">
        <v>17</v>
      </c>
      <c r="S41" s="775">
        <f t="shared" si="12"/>
        <v>100</v>
      </c>
      <c r="T41" s="774" t="s">
        <v>17</v>
      </c>
      <c r="U41" s="775">
        <f t="shared" si="13"/>
        <v>100</v>
      </c>
      <c r="V41" s="774" t="s">
        <v>17</v>
      </c>
      <c r="W41" s="775">
        <f t="shared" si="14"/>
        <v>100</v>
      </c>
      <c r="X41" s="1816"/>
      <c r="Y41" s="3166"/>
      <c r="Z41" s="1817" t="str">
        <f t="shared" si="15"/>
        <v>层高</v>
      </c>
      <c r="AA41" s="1814">
        <f t="shared" si="3"/>
        <v>1</v>
      </c>
      <c r="AB41" s="1814">
        <f t="shared" si="4"/>
        <v>1</v>
      </c>
      <c r="AC41" s="2675">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64"/>
      <c r="Q42" s="776" t="str">
        <f t="shared" si="11"/>
        <v>单套建筑面积</v>
      </c>
      <c r="R42" s="777" t="s">
        <v>17</v>
      </c>
      <c r="S42" s="778">
        <f t="shared" si="12"/>
        <v>100</v>
      </c>
      <c r="T42" s="777" t="s">
        <v>17</v>
      </c>
      <c r="U42" s="778">
        <f t="shared" si="13"/>
        <v>100</v>
      </c>
      <c r="V42" s="777" t="s">
        <v>17</v>
      </c>
      <c r="W42" s="778">
        <f t="shared" si="14"/>
        <v>100</v>
      </c>
      <c r="X42" s="779"/>
      <c r="Y42" s="3166"/>
      <c r="Z42" s="780" t="str">
        <f t="shared" si="15"/>
        <v>单套建筑面积</v>
      </c>
      <c r="AA42" s="1814">
        <f t="shared" si="3"/>
        <v>1</v>
      </c>
      <c r="AB42" s="1814">
        <f t="shared" si="4"/>
        <v>1</v>
      </c>
      <c r="AC42" s="2675">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64"/>
      <c r="Q43" s="1813" t="str">
        <f t="shared" si="11"/>
        <v>内部装修</v>
      </c>
      <c r="R43" s="774" t="s">
        <v>17</v>
      </c>
      <c r="S43" s="775">
        <f t="shared" si="12"/>
        <v>100</v>
      </c>
      <c r="T43" s="774" t="s">
        <v>17</v>
      </c>
      <c r="U43" s="775">
        <f t="shared" si="13"/>
        <v>100</v>
      </c>
      <c r="V43" s="774" t="s">
        <v>17</v>
      </c>
      <c r="W43" s="775">
        <f t="shared" si="14"/>
        <v>100</v>
      </c>
      <c r="X43" s="1816"/>
      <c r="Y43" s="3166"/>
      <c r="Z43" s="1817" t="str">
        <f t="shared" si="15"/>
        <v>内部装修</v>
      </c>
      <c r="AA43" s="1814">
        <f t="shared" si="3"/>
        <v>1</v>
      </c>
      <c r="AB43" s="1814">
        <f t="shared" si="4"/>
        <v>1</v>
      </c>
      <c r="AC43" s="2675">
        <f t="shared" si="5"/>
        <v>1</v>
      </c>
    </row>
    <row r="44" spans="1:29" ht="15">
      <c r="A44" s="472"/>
      <c r="B44" s="422" t="s">
        <v>2578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164"/>
      <c r="Q44" s="1813" t="str">
        <f t="shared" si="11"/>
        <v>内部装修维护情况</v>
      </c>
      <c r="R44" s="774" t="s">
        <v>17</v>
      </c>
      <c r="S44" s="775">
        <f t="shared" si="12"/>
        <v>100</v>
      </c>
      <c r="T44" s="774" t="s">
        <v>17</v>
      </c>
      <c r="U44" s="775">
        <f t="shared" si="13"/>
        <v>100</v>
      </c>
      <c r="V44" s="774" t="s">
        <v>17</v>
      </c>
      <c r="W44" s="775">
        <f t="shared" si="14"/>
        <v>100</v>
      </c>
      <c r="X44" s="1816"/>
      <c r="Y44" s="3166"/>
      <c r="Z44" s="1817" t="str">
        <f t="shared" si="15"/>
        <v>内部装修维护情况</v>
      </c>
      <c r="AA44" s="1814">
        <f t="shared" si="3"/>
        <v>1</v>
      </c>
      <c r="AB44" s="1814">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64"/>
      <c r="Q45" s="1798">
        <f t="shared" si="11"/>
        <v>111</v>
      </c>
      <c r="R45" s="770" t="s">
        <v>17</v>
      </c>
      <c r="S45" s="771">
        <f t="shared" si="12"/>
        <v>100</v>
      </c>
      <c r="T45" s="770" t="s">
        <v>17</v>
      </c>
      <c r="U45" s="771">
        <f t="shared" si="13"/>
        <v>100</v>
      </c>
      <c r="V45" s="770" t="s">
        <v>17</v>
      </c>
      <c r="W45" s="771">
        <f t="shared" si="14"/>
        <v>100</v>
      </c>
      <c r="X45" s="772"/>
      <c r="Y45" s="3166"/>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64"/>
      <c r="Q46" s="1813">
        <f t="shared" si="11"/>
        <v>111</v>
      </c>
      <c r="R46" s="774" t="s">
        <v>17</v>
      </c>
      <c r="S46" s="775">
        <f t="shared" si="12"/>
        <v>100</v>
      </c>
      <c r="T46" s="774" t="s">
        <v>17</v>
      </c>
      <c r="U46" s="775">
        <f t="shared" si="13"/>
        <v>100</v>
      </c>
      <c r="V46" s="774" t="s">
        <v>17</v>
      </c>
      <c r="W46" s="775">
        <f t="shared" si="14"/>
        <v>100</v>
      </c>
      <c r="X46" s="1816"/>
      <c r="Y46" s="3166"/>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65"/>
      <c r="Q47" s="1813">
        <f t="shared" si="11"/>
        <v>111</v>
      </c>
      <c r="R47" s="774" t="s">
        <v>17</v>
      </c>
      <c r="S47" s="775">
        <f t="shared" si="12"/>
        <v>100</v>
      </c>
      <c r="T47" s="774" t="s">
        <v>17</v>
      </c>
      <c r="U47" s="775">
        <f t="shared" si="13"/>
        <v>100</v>
      </c>
      <c r="V47" s="774" t="s">
        <v>17</v>
      </c>
      <c r="W47" s="775">
        <f t="shared" si="14"/>
        <v>100</v>
      </c>
      <c r="X47" s="1816"/>
      <c r="Y47" s="3167"/>
      <c r="Z47" s="1817">
        <f t="shared" si="15"/>
        <v>111</v>
      </c>
      <c r="AA47" s="1814">
        <f t="shared" si="3"/>
        <v>1</v>
      </c>
      <c r="AB47" s="1814">
        <f t="shared" si="4"/>
        <v>1</v>
      </c>
      <c r="AC47" s="2675">
        <f t="shared" si="5"/>
        <v>1</v>
      </c>
    </row>
    <row r="48" spans="1:29" ht="15">
      <c r="A48" s="479" t="s">
        <v>2579</v>
      </c>
      <c r="B48" s="480"/>
      <c r="C48" s="1409" t="s">
        <v>1</v>
      </c>
      <c r="D48" s="1410"/>
      <c r="E48" s="1411"/>
      <c r="F48" s="1412"/>
      <c r="G48" s="1413"/>
      <c r="H48" s="1414"/>
      <c r="I48" s="1411"/>
      <c r="J48" s="485"/>
      <c r="K48" s="783"/>
      <c r="L48" s="1145"/>
      <c r="M48" s="1133"/>
      <c r="N48" s="1133"/>
      <c r="O48" s="1133"/>
      <c r="P48" s="3170" t="str">
        <f>A48</f>
        <v>成交单价（元/平方米）</v>
      </c>
      <c r="Q48" s="3159"/>
      <c r="R48" s="3160">
        <f>E48</f>
        <v>0</v>
      </c>
      <c r="S48" s="3160"/>
      <c r="T48" s="3160">
        <f>G48</f>
        <v>0</v>
      </c>
      <c r="U48" s="3160"/>
      <c r="V48" s="3160">
        <f>I48</f>
        <v>0</v>
      </c>
      <c r="W48" s="3160"/>
      <c r="X48" s="446"/>
      <c r="Y48" s="781"/>
      <c r="Z48" s="446"/>
      <c r="AA48" s="446"/>
      <c r="AB48" s="446"/>
      <c r="AC48" s="630"/>
    </row>
    <row r="49" spans="1:29" ht="15.75" thickBot="1">
      <c r="A49" s="486" t="s">
        <v>2671</v>
      </c>
      <c r="B49" s="487"/>
      <c r="C49" s="1415" t="e">
        <f>R50</f>
        <v>#DIV/0!</v>
      </c>
      <c r="D49" s="1416"/>
      <c r="E49" s="1417" t="e">
        <f>R49</f>
        <v>#DIV/0!</v>
      </c>
      <c r="F49" s="1417"/>
      <c r="G49" s="1415" t="e">
        <f>T49</f>
        <v>#DIV/0!</v>
      </c>
      <c r="H49" s="1416"/>
      <c r="I49" s="1417" t="e">
        <f>V49</f>
        <v>#DIV/0!</v>
      </c>
      <c r="J49" s="489"/>
      <c r="K49" s="784"/>
      <c r="L49" s="1145"/>
      <c r="M49" s="1133"/>
      <c r="N49" s="1133"/>
      <c r="O49" s="1133"/>
      <c r="P49" s="3170" t="str">
        <f>A49</f>
        <v>比较价值（元/平方米）</v>
      </c>
      <c r="Q49" s="3159"/>
      <c r="R49" s="3160" t="e">
        <f>IF(F1="售价",ROUND(PRODUCT(R48,AA7:AA47),0),ROUND(PRODUCT(R48,AA7:AA47),1))</f>
        <v>#DIV/0!</v>
      </c>
      <c r="S49" s="3160"/>
      <c r="T49" s="3160" t="e">
        <f>IF(F1="售价",ROUND(PRODUCT(T48,AB7:AB47),0),ROUND(PRODUCT(T48,AB7:AB47),1))</f>
        <v>#DIV/0!</v>
      </c>
      <c r="U49" s="3160"/>
      <c r="V49" s="3160" t="e">
        <f>IF(F1="售价",ROUND(PRODUCT(V48,AC7:AC47),0),ROUND(PRODUCT(V48,AC7:AC47),1))</f>
        <v>#DIV/0!</v>
      </c>
      <c r="W49" s="3160"/>
      <c r="X49" s="446"/>
      <c r="Y49" s="446"/>
      <c r="Z49" s="446"/>
      <c r="AA49" s="446"/>
      <c r="AB49" s="446"/>
      <c r="AC49" s="630"/>
    </row>
    <row r="50" spans="1:29" ht="15.75" thickBot="1">
      <c r="A50" s="492" t="s">
        <v>2672</v>
      </c>
      <c r="B50" s="493"/>
      <c r="C50" s="1419" t="e">
        <f>R50</f>
        <v>#DIV/0!</v>
      </c>
      <c r="D50" s="1419"/>
      <c r="E50" s="1419"/>
      <c r="F50" s="1419"/>
      <c r="G50" s="1419"/>
      <c r="H50" s="1419"/>
      <c r="I50" s="1419"/>
      <c r="J50" s="494"/>
      <c r="K50" s="785"/>
      <c r="L50" s="1145"/>
      <c r="M50" s="1133"/>
      <c r="N50" s="1133"/>
      <c r="O50" s="1133"/>
      <c r="P50" s="3244" t="str">
        <f>A50</f>
        <v>估价对象XX用房的比较价值（楼面单价，元/平方米）</v>
      </c>
      <c r="Q50" s="3245"/>
      <c r="R50" s="3246" t="e">
        <f>IF(F1="售价",ROUND(AVERAGE(R49:V49),0),ROUND(AVERAGE(R49:V49),1))</f>
        <v>#DIV/0!</v>
      </c>
      <c r="S50" s="3246"/>
      <c r="T50" s="3246"/>
      <c r="U50" s="3246"/>
      <c r="V50" s="3246"/>
      <c r="W50" s="3246"/>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3" t="s">
        <v>2676</v>
      </c>
      <c r="B58" s="759"/>
      <c r="C58" s="764"/>
      <c r="D58" s="764"/>
      <c r="E58" s="764"/>
      <c r="F58" s="765"/>
      <c r="G58" s="765"/>
      <c r="H58" s="764"/>
      <c r="I58" s="764"/>
      <c r="J58" s="764"/>
      <c r="K58" s="766"/>
      <c r="L58" s="1163"/>
      <c r="M58" s="1161"/>
      <c r="N58" s="1161"/>
      <c r="O58" s="1161"/>
      <c r="P58" s="2682"/>
      <c r="Q58" s="504"/>
    </row>
    <row r="59" spans="1:29" s="508" customFormat="1" ht="15">
      <c r="A59" s="505" t="s">
        <v>2550</v>
      </c>
      <c r="B59" s="506"/>
      <c r="C59" s="1577" t="str">
        <f>YEAR(C7)&amp;"-"&amp;MONTH(C7)</f>
        <v>2017-12</v>
      </c>
      <c r="D59" s="1578">
        <f>EDATE(C59,-1)</f>
        <v>43040</v>
      </c>
      <c r="E59" s="1578">
        <f>EDATE(D59,-1)</f>
        <v>43009</v>
      </c>
      <c r="F59" s="1578">
        <f t="shared" ref="F59:O59" si="16">EDATE(E59,-1)</f>
        <v>42979</v>
      </c>
      <c r="G59" s="1578">
        <f t="shared" si="16"/>
        <v>42948</v>
      </c>
      <c r="H59" s="1578">
        <f t="shared" si="16"/>
        <v>42917</v>
      </c>
      <c r="I59" s="1578">
        <f t="shared" si="16"/>
        <v>42887</v>
      </c>
      <c r="J59" s="1578">
        <f t="shared" si="16"/>
        <v>42856</v>
      </c>
      <c r="K59" s="1578">
        <f t="shared" si="16"/>
        <v>42826</v>
      </c>
      <c r="L59" s="1578">
        <f t="shared" si="16"/>
        <v>42795</v>
      </c>
      <c r="M59" s="1578">
        <f t="shared" si="16"/>
        <v>42767</v>
      </c>
      <c r="N59" s="1578">
        <f t="shared" si="16"/>
        <v>42736</v>
      </c>
      <c r="O59" s="1578">
        <f t="shared" si="16"/>
        <v>42705</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2587</v>
      </c>
      <c r="B61" s="516"/>
      <c r="C61" s="517"/>
      <c r="D61" s="518"/>
      <c r="E61" s="518"/>
      <c r="F61" s="518"/>
      <c r="G61" s="518"/>
      <c r="H61" s="518"/>
      <c r="I61" s="518"/>
      <c r="J61" s="518"/>
      <c r="K61" s="518"/>
      <c r="L61" s="518"/>
      <c r="M61" s="519"/>
      <c r="N61" s="518"/>
      <c r="O61" s="519"/>
      <c r="P61" s="2683"/>
      <c r="Q61" s="504"/>
    </row>
    <row r="62" spans="1:29" s="117" customFormat="1" ht="15">
      <c r="A62" s="521" t="s">
        <v>2552</v>
      </c>
      <c r="B62" s="510"/>
      <c r="C62" s="522" t="s">
        <v>2654</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2590</v>
      </c>
      <c r="B64" s="528" t="s">
        <v>2556</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2691</v>
      </c>
      <c r="C83" s="660" t="s">
        <v>2677</v>
      </c>
      <c r="D83" s="660" t="s">
        <v>2678</v>
      </c>
      <c r="E83" s="660" t="s">
        <v>2679</v>
      </c>
      <c r="F83" s="660" t="s">
        <v>2680</v>
      </c>
      <c r="G83" s="660" t="s">
        <v>2681</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2701</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2565</v>
      </c>
      <c r="B101" s="528" t="s">
        <v>2614</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2616</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2618</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2702</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2619</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2620</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2703</v>
      </c>
      <c r="C119" s="583"/>
      <c r="D119" s="583"/>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2686</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2622</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8"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0" t="s">
        <v>2704</v>
      </c>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IF(C2="——",ROUND(C43*D3/10000,0),ROUND(C43*D3/10000,0)-D2)</f>
        <v>#DIV/0!</v>
      </c>
      <c r="C2" s="2587"/>
      <c r="D2" s="1126" t="e">
        <f ca="1">SUMIF(INDIRECT("'"&amp;F2&amp;"'"&amp;"!A:A"),"承租人权益价值",INDIRECT("'"&amp;F2&amp;"'"&amp;"!c:c"))</f>
        <v>#REF!</v>
      </c>
      <c r="E2" s="2588" t="s">
        <v>2330</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16724.510000000002</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5"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59"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59"/>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59"/>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59"/>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2561</v>
      </c>
      <c r="B15" s="69" t="s">
        <v>2705</v>
      </c>
      <c r="C15" s="2694" t="str">
        <f>估价对象房地状况!G3</f>
        <v>估价对象属于北京临空经济核心区，园区内以物流企业为主，建设成熟</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1" t="s">
        <v>2562</v>
      </c>
      <c r="Q15" s="1813" t="str">
        <f t="shared" si="6"/>
        <v>产业集聚程度</v>
      </c>
      <c r="R15" s="774" t="s">
        <v>17</v>
      </c>
      <c r="S15" s="775">
        <f t="shared" si="0"/>
        <v>100</v>
      </c>
      <c r="T15" s="774" t="s">
        <v>17</v>
      </c>
      <c r="U15" s="775">
        <f t="shared" si="1"/>
        <v>100</v>
      </c>
      <c r="V15" s="774" t="s">
        <v>17</v>
      </c>
      <c r="W15" s="775">
        <f t="shared" si="2"/>
        <v>100</v>
      </c>
      <c r="X15" s="1816"/>
      <c r="Y15" s="3161"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62"/>
      <c r="Q16" s="1813"/>
      <c r="R16" s="774"/>
      <c r="S16" s="775"/>
      <c r="T16" s="774"/>
      <c r="U16" s="775"/>
      <c r="V16" s="774"/>
      <c r="W16" s="775"/>
      <c r="X16" s="1816"/>
      <c r="Y16" s="3162"/>
      <c r="Z16" s="1817"/>
      <c r="AA16" s="1814">
        <v>1</v>
      </c>
      <c r="AB16" s="1814">
        <v>1</v>
      </c>
      <c r="AC16" s="1814">
        <v>1</v>
      </c>
    </row>
    <row r="17" spans="1:29" ht="171">
      <c r="A17" s="428"/>
      <c r="B17" s="451" t="s">
        <v>2099</v>
      </c>
      <c r="C17" s="2608" t="str">
        <f>估价对象房地状况!G4</f>
        <v>以估价对象为中心半径2公里内最高级别道路城市高速路—机场北线高速路，临近东六环路、顺平路、顺驰路等城市道路，距离顺义火车站约5公里，距离北京首都国际机场约7公里</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62"/>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41"/>
      <c r="P18" s="3162"/>
      <c r="Q18" s="1813"/>
      <c r="R18" s="774"/>
      <c r="S18" s="775"/>
      <c r="T18" s="774"/>
      <c r="U18" s="775"/>
      <c r="V18" s="774"/>
      <c r="W18" s="775"/>
      <c r="X18" s="1816"/>
      <c r="Y18" s="3162"/>
      <c r="Z18" s="1817"/>
      <c r="AA18" s="1814">
        <v>1</v>
      </c>
      <c r="AB18" s="1814">
        <v>1</v>
      </c>
      <c r="AC18" s="1814">
        <v>1</v>
      </c>
    </row>
    <row r="19" spans="1:29" ht="85.5">
      <c r="A19" s="428"/>
      <c r="B19" s="451" t="s">
        <v>2690</v>
      </c>
      <c r="C19" s="2608" t="str">
        <f>估价对象房地状况!G5</f>
        <v>以估价对象为中心半径2公里内有银行、超市、学校、医院、邮局等公共配套设施；</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62"/>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41"/>
      <c r="P20" s="3162"/>
      <c r="Q20" s="1813"/>
      <c r="R20" s="774"/>
      <c r="S20" s="775"/>
      <c r="T20" s="774"/>
      <c r="U20" s="775"/>
      <c r="V20" s="774"/>
      <c r="W20" s="775"/>
      <c r="X20" s="1816"/>
      <c r="Y20" s="3162"/>
      <c r="Z20" s="1817"/>
      <c r="AA20" s="1814">
        <v>1</v>
      </c>
      <c r="AB20" s="1814">
        <v>1</v>
      </c>
      <c r="AC20" s="1814">
        <v>1</v>
      </c>
    </row>
    <row r="21" spans="1:29" ht="42.75">
      <c r="A21" s="428"/>
      <c r="B21" s="1386" t="s">
        <v>2691</v>
      </c>
      <c r="C21" s="2608" t="str">
        <f>估价对象房地状况!G6</f>
        <v>估价对象所在区域基础设施水平可达到七通一平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62"/>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41"/>
      <c r="P22" s="3162"/>
      <c r="Q22" s="1813"/>
      <c r="R22" s="774"/>
      <c r="S22" s="775"/>
      <c r="T22" s="774"/>
      <c r="U22" s="775"/>
      <c r="V22" s="774"/>
      <c r="W22" s="775"/>
      <c r="X22" s="1816"/>
      <c r="Y22" s="3162"/>
      <c r="Z22" s="1817"/>
      <c r="AA22" s="1814">
        <v>1</v>
      </c>
      <c r="AB22" s="1814">
        <v>1</v>
      </c>
      <c r="AC22" s="1814">
        <v>1</v>
      </c>
    </row>
    <row r="23" spans="1:29" ht="85.5">
      <c r="A23" s="428"/>
      <c r="B23" s="451" t="s">
        <v>2692</v>
      </c>
      <c r="C23" s="2608" t="str">
        <f>估价对象房地状况!G7</f>
        <v>估价对象所属区域以物流企业为主，园区内无污染型企业，绿化较好，卫生条件良好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62"/>
      <c r="Q23" s="1813" t="str">
        <f>B23</f>
        <v>环境质量</v>
      </c>
      <c r="R23" s="774" t="s">
        <v>17</v>
      </c>
      <c r="S23" s="775">
        <f>F23</f>
        <v>100</v>
      </c>
      <c r="T23" s="774" t="s">
        <v>17</v>
      </c>
      <c r="U23" s="775">
        <f>H23</f>
        <v>100</v>
      </c>
      <c r="V23" s="774" t="s">
        <v>17</v>
      </c>
      <c r="W23" s="775">
        <f>J23</f>
        <v>100</v>
      </c>
      <c r="X23" s="1816"/>
      <c r="Y23" s="3162"/>
      <c r="Z23" s="1817" t="str">
        <f>Q23</f>
        <v>环境质量</v>
      </c>
      <c r="AA23" s="1814">
        <f t="shared" si="3"/>
        <v>1</v>
      </c>
      <c r="AB23" s="1814">
        <f t="shared" si="4"/>
        <v>1</v>
      </c>
      <c r="AC23" s="1814">
        <f t="shared" si="5"/>
        <v>1</v>
      </c>
    </row>
    <row r="24" spans="1:29" ht="15">
      <c r="A24" s="428"/>
      <c r="B24" s="1386"/>
      <c r="C24" s="447"/>
      <c r="D24" s="448"/>
      <c r="E24" s="2606"/>
      <c r="F24" s="449"/>
      <c r="G24" s="2605"/>
      <c r="H24" s="448"/>
      <c r="I24" s="2606"/>
      <c r="J24" s="448"/>
      <c r="K24" s="615"/>
      <c r="L24" s="1142"/>
      <c r="M24" s="1133"/>
      <c r="N24" s="1133"/>
      <c r="O24" s="1141"/>
      <c r="P24" s="3162"/>
      <c r="Q24" s="1813"/>
      <c r="R24" s="774"/>
      <c r="S24" s="775"/>
      <c r="T24" s="774"/>
      <c r="U24" s="775"/>
      <c r="V24" s="774"/>
      <c r="W24" s="775"/>
      <c r="X24" s="1816"/>
      <c r="Y24" s="3162"/>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62"/>
      <c r="Q25" s="1813">
        <f>B25</f>
        <v>111</v>
      </c>
      <c r="R25" s="774" t="s">
        <v>17</v>
      </c>
      <c r="S25" s="775">
        <f>F25</f>
        <v>100</v>
      </c>
      <c r="T25" s="774" t="s">
        <v>17</v>
      </c>
      <c r="U25" s="775">
        <f>H25</f>
        <v>100</v>
      </c>
      <c r="V25" s="774" t="s">
        <v>17</v>
      </c>
      <c r="W25" s="775">
        <f>J25</f>
        <v>100</v>
      </c>
      <c r="X25" s="1816"/>
      <c r="Y25" s="3162"/>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62"/>
      <c r="Q26" s="1813">
        <f t="shared" ref="Q26:Q40" si="11">B26</f>
        <v>111</v>
      </c>
      <c r="R26" s="774" t="s">
        <v>17</v>
      </c>
      <c r="S26" s="775">
        <f>F26</f>
        <v>100</v>
      </c>
      <c r="T26" s="774" t="s">
        <v>17</v>
      </c>
      <c r="U26" s="775">
        <f>H26</f>
        <v>100</v>
      </c>
      <c r="V26" s="774" t="s">
        <v>17</v>
      </c>
      <c r="W26" s="775">
        <f>J26</f>
        <v>100</v>
      </c>
      <c r="X26" s="1816"/>
      <c r="Y26" s="3162"/>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62"/>
      <c r="Q27" s="1798">
        <f t="shared" si="11"/>
        <v>111</v>
      </c>
      <c r="R27" s="770" t="s">
        <v>17</v>
      </c>
      <c r="S27" s="771">
        <f>F27</f>
        <v>100</v>
      </c>
      <c r="T27" s="770" t="s">
        <v>17</v>
      </c>
      <c r="U27" s="771">
        <f>H27</f>
        <v>100</v>
      </c>
      <c r="V27" s="770" t="s">
        <v>17</v>
      </c>
      <c r="W27" s="771">
        <f>J27</f>
        <v>100</v>
      </c>
      <c r="X27" s="772"/>
      <c r="Y27" s="3162"/>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62"/>
      <c r="Q28" s="1813">
        <f t="shared" si="11"/>
        <v>111</v>
      </c>
      <c r="R28" s="774" t="s">
        <v>17</v>
      </c>
      <c r="S28" s="775">
        <f t="shared" ref="S28:S40" si="12">F28</f>
        <v>100</v>
      </c>
      <c r="T28" s="774" t="s">
        <v>17</v>
      </c>
      <c r="U28" s="775">
        <f t="shared" ref="U28:U40" si="13">H28</f>
        <v>100</v>
      </c>
      <c r="V28" s="774" t="s">
        <v>17</v>
      </c>
      <c r="W28" s="775">
        <f t="shared" ref="W28:W40" si="14">J28</f>
        <v>100</v>
      </c>
      <c r="X28" s="1816"/>
      <c r="Y28" s="3162"/>
      <c r="Z28" s="1817">
        <f t="shared" ref="Z28:Z40" si="15">Q28</f>
        <v>111</v>
      </c>
      <c r="AA28" s="1814">
        <f t="shared" si="3"/>
        <v>1</v>
      </c>
      <c r="AB28" s="1814">
        <f t="shared" si="4"/>
        <v>1</v>
      </c>
      <c r="AC28" s="1814">
        <f t="shared" si="5"/>
        <v>1</v>
      </c>
    </row>
    <row r="29" spans="1:29" ht="15">
      <c r="A29" s="466" t="s">
        <v>2565</v>
      </c>
      <c r="B29" s="71" t="s">
        <v>2695</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06" t="s">
        <v>2567</v>
      </c>
      <c r="Q29" s="1813" t="str">
        <f t="shared" si="11"/>
        <v>建筑类型</v>
      </c>
      <c r="R29" s="774" t="s">
        <v>17</v>
      </c>
      <c r="S29" s="775">
        <f t="shared" si="12"/>
        <v>100</v>
      </c>
      <c r="T29" s="774" t="s">
        <v>17</v>
      </c>
      <c r="U29" s="775">
        <f t="shared" si="13"/>
        <v>100</v>
      </c>
      <c r="V29" s="774" t="s">
        <v>17</v>
      </c>
      <c r="W29" s="775">
        <f t="shared" si="14"/>
        <v>100</v>
      </c>
      <c r="X29" s="1816"/>
      <c r="Y29" s="3166"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66"/>
      <c r="Q30" s="776" t="str">
        <f t="shared" si="11"/>
        <v>项目建筑规模</v>
      </c>
      <c r="R30" s="777" t="s">
        <v>17</v>
      </c>
      <c r="S30" s="778" t="e">
        <f t="shared" si="12"/>
        <v>#N/A</v>
      </c>
      <c r="T30" s="777" t="s">
        <v>17</v>
      </c>
      <c r="U30" s="778" t="e">
        <f t="shared" si="13"/>
        <v>#N/A</v>
      </c>
      <c r="V30" s="777" t="s">
        <v>17</v>
      </c>
      <c r="W30" s="778" t="e">
        <f t="shared" si="14"/>
        <v>#N/A</v>
      </c>
      <c r="X30" s="779"/>
      <c r="Y30" s="3166"/>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66"/>
      <c r="Q31" s="1813" t="str">
        <f t="shared" si="11"/>
        <v>建筑结构</v>
      </c>
      <c r="R31" s="774" t="s">
        <v>17</v>
      </c>
      <c r="S31" s="775">
        <f t="shared" si="12"/>
        <v>100</v>
      </c>
      <c r="T31" s="774" t="s">
        <v>17</v>
      </c>
      <c r="U31" s="775">
        <f t="shared" si="13"/>
        <v>100</v>
      </c>
      <c r="V31" s="774" t="s">
        <v>17</v>
      </c>
      <c r="W31" s="775">
        <f t="shared" si="14"/>
        <v>100</v>
      </c>
      <c r="X31" s="1816"/>
      <c r="Y31" s="3166"/>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66"/>
      <c r="Q32" s="1813" t="str">
        <f t="shared" si="11"/>
        <v>公共部分装修</v>
      </c>
      <c r="R32" s="774" t="s">
        <v>17</v>
      </c>
      <c r="S32" s="775">
        <f t="shared" si="12"/>
        <v>100</v>
      </c>
      <c r="T32" s="774" t="s">
        <v>17</v>
      </c>
      <c r="U32" s="775">
        <f t="shared" si="13"/>
        <v>100</v>
      </c>
      <c r="V32" s="774" t="s">
        <v>17</v>
      </c>
      <c r="W32" s="775">
        <f t="shared" si="14"/>
        <v>100</v>
      </c>
      <c r="X32" s="1816"/>
      <c r="Y32" s="3166"/>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66"/>
      <c r="Q33" s="1813" t="str">
        <f t="shared" si="11"/>
        <v>成新度</v>
      </c>
      <c r="R33" s="774" t="s">
        <v>17</v>
      </c>
      <c r="S33" s="775" t="e">
        <f t="shared" si="12"/>
        <v>#N/A</v>
      </c>
      <c r="T33" s="774" t="s">
        <v>17</v>
      </c>
      <c r="U33" s="775" t="e">
        <f t="shared" si="13"/>
        <v>#N/A</v>
      </c>
      <c r="V33" s="774" t="s">
        <v>17</v>
      </c>
      <c r="W33" s="775" t="e">
        <f t="shared" si="14"/>
        <v>#N/A</v>
      </c>
      <c r="X33" s="1816"/>
      <c r="Y33" s="3166"/>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66"/>
      <c r="Q34" s="1798" t="str">
        <f t="shared" si="11"/>
        <v>物业管理</v>
      </c>
      <c r="R34" s="770" t="s">
        <v>17</v>
      </c>
      <c r="S34" s="771">
        <f t="shared" si="12"/>
        <v>100</v>
      </c>
      <c r="T34" s="770" t="s">
        <v>17</v>
      </c>
      <c r="U34" s="771">
        <f t="shared" si="13"/>
        <v>100</v>
      </c>
      <c r="V34" s="770" t="s">
        <v>17</v>
      </c>
      <c r="W34" s="771">
        <f t="shared" si="14"/>
        <v>100</v>
      </c>
      <c r="X34" s="772"/>
      <c r="Y34" s="3166"/>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66" t="s">
        <v>2567</v>
      </c>
      <c r="Q35" s="1813" t="str">
        <f t="shared" si="11"/>
        <v>市政基础设施</v>
      </c>
      <c r="R35" s="774" t="s">
        <v>17</v>
      </c>
      <c r="S35" s="775">
        <f t="shared" si="12"/>
        <v>100</v>
      </c>
      <c r="T35" s="774" t="s">
        <v>17</v>
      </c>
      <c r="U35" s="775">
        <f t="shared" si="13"/>
        <v>100</v>
      </c>
      <c r="V35" s="774" t="s">
        <v>17</v>
      </c>
      <c r="W35" s="775">
        <f t="shared" si="14"/>
        <v>100</v>
      </c>
      <c r="X35" s="1816"/>
      <c r="Y35" s="3166"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66"/>
      <c r="Q36" s="1813" t="str">
        <f t="shared" si="11"/>
        <v>内部装修</v>
      </c>
      <c r="R36" s="774" t="s">
        <v>17</v>
      </c>
      <c r="S36" s="775">
        <f t="shared" si="12"/>
        <v>100</v>
      </c>
      <c r="T36" s="774" t="s">
        <v>17</v>
      </c>
      <c r="U36" s="775">
        <f t="shared" si="13"/>
        <v>100</v>
      </c>
      <c r="V36" s="774" t="s">
        <v>17</v>
      </c>
      <c r="W36" s="775">
        <f t="shared" si="14"/>
        <v>100</v>
      </c>
      <c r="X36" s="1816"/>
      <c r="Y36" s="3166"/>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66"/>
      <c r="Q37" s="1813" t="str">
        <f t="shared" si="11"/>
        <v>内部装修状况</v>
      </c>
      <c r="R37" s="774" t="s">
        <v>17</v>
      </c>
      <c r="S37" s="775">
        <f t="shared" si="12"/>
        <v>100</v>
      </c>
      <c r="T37" s="774" t="s">
        <v>17</v>
      </c>
      <c r="U37" s="775">
        <f t="shared" si="13"/>
        <v>100</v>
      </c>
      <c r="V37" s="774" t="s">
        <v>17</v>
      </c>
      <c r="W37" s="775">
        <f t="shared" si="14"/>
        <v>100</v>
      </c>
      <c r="X37" s="1816"/>
      <c r="Y37" s="3166"/>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66"/>
      <c r="Q38" s="776">
        <f t="shared" si="11"/>
        <v>111</v>
      </c>
      <c r="R38" s="777" t="s">
        <v>17</v>
      </c>
      <c r="S38" s="778">
        <f t="shared" si="12"/>
        <v>100</v>
      </c>
      <c r="T38" s="777" t="s">
        <v>17</v>
      </c>
      <c r="U38" s="778">
        <f t="shared" si="13"/>
        <v>100</v>
      </c>
      <c r="V38" s="777" t="s">
        <v>17</v>
      </c>
      <c r="W38" s="778">
        <f t="shared" si="14"/>
        <v>100</v>
      </c>
      <c r="X38" s="779"/>
      <c r="Y38" s="3166"/>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66"/>
      <c r="Q39" s="1813">
        <f t="shared" si="11"/>
        <v>111</v>
      </c>
      <c r="R39" s="774" t="s">
        <v>17</v>
      </c>
      <c r="S39" s="775">
        <f t="shared" si="12"/>
        <v>100</v>
      </c>
      <c r="T39" s="774" t="s">
        <v>17</v>
      </c>
      <c r="U39" s="775">
        <f t="shared" si="13"/>
        <v>100</v>
      </c>
      <c r="V39" s="774" t="s">
        <v>17</v>
      </c>
      <c r="W39" s="775">
        <f t="shared" si="14"/>
        <v>100</v>
      </c>
      <c r="X39" s="1816"/>
      <c r="Y39" s="3166"/>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67"/>
      <c r="Q40" s="1813">
        <f t="shared" si="11"/>
        <v>111</v>
      </c>
      <c r="R40" s="774" t="s">
        <v>17</v>
      </c>
      <c r="S40" s="775">
        <f t="shared" si="12"/>
        <v>100</v>
      </c>
      <c r="T40" s="774" t="s">
        <v>17</v>
      </c>
      <c r="U40" s="775">
        <f t="shared" si="13"/>
        <v>100</v>
      </c>
      <c r="V40" s="774" t="s">
        <v>17</v>
      </c>
      <c r="W40" s="775">
        <f t="shared" si="14"/>
        <v>100</v>
      </c>
      <c r="X40" s="1816"/>
      <c r="Y40" s="3167"/>
      <c r="Z40" s="1817">
        <f t="shared" si="15"/>
        <v>111</v>
      </c>
      <c r="AA40" s="1814">
        <f t="shared" si="3"/>
        <v>1</v>
      </c>
      <c r="AB40" s="1814">
        <f t="shared" si="4"/>
        <v>1</v>
      </c>
      <c r="AC40" s="1814">
        <f t="shared" si="5"/>
        <v>1</v>
      </c>
    </row>
    <row r="41" spans="1:29" ht="15">
      <c r="A41" s="479" t="s">
        <v>2579</v>
      </c>
      <c r="B41" s="480"/>
      <c r="C41" s="1409" t="s">
        <v>1</v>
      </c>
      <c r="D41" s="1410"/>
      <c r="E41" s="1411"/>
      <c r="F41" s="1412"/>
      <c r="G41" s="1413"/>
      <c r="H41" s="1414"/>
      <c r="I41" s="1411"/>
      <c r="J41" s="1414"/>
      <c r="K41" s="783"/>
      <c r="L41" s="1145"/>
      <c r="M41" s="1146"/>
      <c r="N41" s="1133"/>
      <c r="O41" s="1146"/>
      <c r="P41" s="3159" t="str">
        <f>A41</f>
        <v>成交单价（元/平方米）</v>
      </c>
      <c r="Q41" s="3159"/>
      <c r="R41" s="3160">
        <f>E41</f>
        <v>0</v>
      </c>
      <c r="S41" s="3160"/>
      <c r="T41" s="3160">
        <f>G41</f>
        <v>0</v>
      </c>
      <c r="U41" s="3160"/>
      <c r="V41" s="3160">
        <f>I41</f>
        <v>0</v>
      </c>
      <c r="W41" s="3160"/>
      <c r="X41" s="759"/>
      <c r="Y41" s="781"/>
      <c r="Z41" s="759"/>
      <c r="AA41" s="759"/>
      <c r="AB41" s="759"/>
      <c r="AC41" s="759"/>
    </row>
    <row r="42" spans="1:29" ht="15.75" thickBot="1">
      <c r="A42" s="486" t="s">
        <v>2671</v>
      </c>
      <c r="B42" s="487"/>
      <c r="C42" s="1415" t="e">
        <f>R43</f>
        <v>#DIV/0!</v>
      </c>
      <c r="D42" s="1416"/>
      <c r="E42" s="1417" t="e">
        <f>R42</f>
        <v>#DIV/0!</v>
      </c>
      <c r="F42" s="1417"/>
      <c r="G42" s="1415" t="e">
        <f>T42</f>
        <v>#DIV/0!</v>
      </c>
      <c r="H42" s="1416"/>
      <c r="I42" s="1417" t="e">
        <f>V42</f>
        <v>#DIV/0!</v>
      </c>
      <c r="J42" s="1416"/>
      <c r="K42" s="784"/>
      <c r="L42" s="1145"/>
      <c r="M42" s="1146"/>
      <c r="N42" s="1133"/>
      <c r="O42" s="1146"/>
      <c r="P42" s="3159" t="str">
        <f>A42</f>
        <v>比较价值（元/平方米）</v>
      </c>
      <c r="Q42" s="3159"/>
      <c r="R42" s="3160" t="e">
        <f>IF(F1="售价",ROUND(PRODUCT(R41,AA7:AA40),0),ROUND(PRODUCT(R41,AA7:AA40),1))</f>
        <v>#DIV/0!</v>
      </c>
      <c r="S42" s="3160"/>
      <c r="T42" s="3160" t="e">
        <f>IF(F1="售价",ROUND(PRODUCT(T41,AB7:AB40),0),ROUND(PRODUCT(T41,AB7:AB40),1))</f>
        <v>#DIV/0!</v>
      </c>
      <c r="U42" s="3160"/>
      <c r="V42" s="3160" t="e">
        <f>IF(F1="售价",ROUND(PRODUCT(V41,AC7:AC40),0),ROUND(PRODUCT(V41,AC7:AC40),1))</f>
        <v>#DIV/0!</v>
      </c>
      <c r="W42" s="3160"/>
      <c r="X42" s="759"/>
      <c r="Y42" s="759"/>
      <c r="Z42" s="759"/>
      <c r="AA42" s="759"/>
      <c r="AB42" s="759"/>
      <c r="AC42" s="759"/>
    </row>
    <row r="43" spans="1:29" ht="15.75" thickBot="1">
      <c r="A43" s="492" t="s">
        <v>2672</v>
      </c>
      <c r="B43" s="493"/>
      <c r="C43" s="1419" t="e">
        <f>R43</f>
        <v>#DIV/0!</v>
      </c>
      <c r="D43" s="1419"/>
      <c r="E43" s="1419"/>
      <c r="F43" s="1419"/>
      <c r="G43" s="1419"/>
      <c r="H43" s="1419"/>
      <c r="I43" s="1419"/>
      <c r="J43" s="1419"/>
      <c r="K43" s="785"/>
      <c r="L43" s="1145"/>
      <c r="M43" s="1146"/>
      <c r="N43" s="1146"/>
      <c r="O43" s="1146"/>
      <c r="P43" s="3156" t="str">
        <f>A43</f>
        <v>估价对象XX用房的比较价值（楼面单价，元/平方米）</v>
      </c>
      <c r="Q43" s="3157"/>
      <c r="R43" s="3158" t="e">
        <f>IF(F1="售价",ROUND(AVERAGE(R42:V42),0),ROUND(AVERAGE(R42:V42),1))</f>
        <v>#DIV/0!</v>
      </c>
      <c r="S43" s="3158"/>
      <c r="T43" s="3158"/>
      <c r="U43" s="3158"/>
      <c r="V43" s="3158"/>
      <c r="W43" s="3158"/>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2676</v>
      </c>
      <c r="B51" s="759"/>
      <c r="C51" s="764"/>
      <c r="D51" s="764"/>
      <c r="E51" s="764"/>
      <c r="F51" s="765"/>
      <c r="G51" s="765"/>
      <c r="H51" s="764"/>
      <c r="I51" s="764"/>
      <c r="J51" s="764"/>
      <c r="K51" s="1162"/>
      <c r="L51" s="1163"/>
      <c r="M51" s="1161"/>
      <c r="N51" s="1161"/>
      <c r="O51" s="1161"/>
      <c r="P51" s="503"/>
      <c r="Q51" s="504"/>
    </row>
    <row r="52" spans="1:17" s="508" customFormat="1" ht="15">
      <c r="A52" s="505" t="s">
        <v>2550</v>
      </c>
      <c r="B52" s="506"/>
      <c r="C52" s="1577" t="str">
        <f>YEAR(C7)&amp;"-"&amp;MONTH(C7)</f>
        <v>2017-12</v>
      </c>
      <c r="D52" s="1578">
        <f>EDATE(C52,-1)</f>
        <v>43040</v>
      </c>
      <c r="E52" s="1578">
        <f t="shared" ref="E52:O52" si="16">EDATE(D52,-1)</f>
        <v>43009</v>
      </c>
      <c r="F52" s="1578">
        <f t="shared" si="16"/>
        <v>42979</v>
      </c>
      <c r="G52" s="1578">
        <f t="shared" si="16"/>
        <v>42948</v>
      </c>
      <c r="H52" s="1578">
        <f t="shared" si="16"/>
        <v>42917</v>
      </c>
      <c r="I52" s="1578">
        <f t="shared" si="16"/>
        <v>42887</v>
      </c>
      <c r="J52" s="1578">
        <f t="shared" si="16"/>
        <v>42856</v>
      </c>
      <c r="K52" s="1578">
        <f t="shared" si="16"/>
        <v>42826</v>
      </c>
      <c r="L52" s="1578">
        <f t="shared" si="16"/>
        <v>42795</v>
      </c>
      <c r="M52" s="1578">
        <f t="shared" si="16"/>
        <v>42767</v>
      </c>
      <c r="N52" s="1578">
        <f t="shared" si="16"/>
        <v>42736</v>
      </c>
      <c r="O52" s="1578">
        <f t="shared" si="16"/>
        <v>42705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2590</v>
      </c>
      <c r="B57" s="528" t="s">
        <v>2556</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2565</v>
      </c>
      <c r="B88" s="528" t="s">
        <v>2614</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2616</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2618</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2619</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2620</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2622</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2531</v>
      </c>
      <c r="C1" s="1637" t="s">
        <v>2532</v>
      </c>
      <c r="D1" s="1624"/>
      <c r="E1" s="2584"/>
      <c r="F1" s="2585" t="s">
        <v>2533</v>
      </c>
      <c r="G1" s="1634" t="s">
        <v>2534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7"/>
      <c r="D2" s="1367" t="e">
        <f ca="1">SUMIF(INDIRECT("'"&amp;F2&amp;"'"&amp;"!A:A"),"承租人权益价值",INDIRECT("'"&amp;F2&amp;"'"&amp;"!c:c"))</f>
        <v>#REF!</v>
      </c>
      <c r="E2" s="2588" t="s">
        <v>2535</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2536</v>
      </c>
      <c r="D3" s="399">
        <f>IF(D1="",'数据-汇总表'!E3,SUMIF('数据-汇总表'!$C19:$C33,D1,'数据-汇总表'!$E19:$E33))</f>
        <v>16724.510000000002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2537</v>
      </c>
      <c r="B4" s="402"/>
      <c r="C4" s="3174" t="s">
        <v>2538</v>
      </c>
      <c r="D4" s="3175"/>
      <c r="E4" s="3176" t="s">
        <v>2539</v>
      </c>
      <c r="F4" s="3177"/>
      <c r="G4" s="3174" t="s">
        <v>2540</v>
      </c>
      <c r="H4" s="3175"/>
      <c r="I4" s="3174" t="s">
        <v>2541</v>
      </c>
      <c r="J4" s="3175"/>
      <c r="K4" s="2597" t="s">
        <v>2542</v>
      </c>
      <c r="L4" s="1132"/>
      <c r="M4" s="1133"/>
      <c r="N4" s="1133"/>
      <c r="O4" s="1133"/>
      <c r="P4" s="3178" t="s">
        <v>2543</v>
      </c>
      <c r="Q4" s="3179"/>
      <c r="R4" s="3184" t="s">
        <v>2539</v>
      </c>
      <c r="S4" s="3185"/>
      <c r="T4" s="3184" t="s">
        <v>2540</v>
      </c>
      <c r="U4" s="3185"/>
      <c r="V4" s="3190" t="s">
        <v>2541</v>
      </c>
      <c r="W4" s="3190"/>
      <c r="X4" s="2941"/>
      <c r="Y4" s="3184" t="s">
        <v>2543</v>
      </c>
      <c r="Z4" s="3185"/>
      <c r="AA4" s="3171" t="s">
        <v>2539</v>
      </c>
      <c r="AB4" s="3171" t="s">
        <v>2540</v>
      </c>
      <c r="AC4" s="3171" t="s">
        <v>2541</v>
      </c>
    </row>
    <row r="5" spans="1:29" ht="15">
      <c r="A5" s="404"/>
      <c r="B5" s="405"/>
      <c r="C5" s="3193" t="s">
        <v>2544</v>
      </c>
      <c r="D5" s="3194"/>
      <c r="E5" s="3200" t="s">
        <v>2545</v>
      </c>
      <c r="F5" s="3201"/>
      <c r="G5" s="3193" t="s">
        <v>2546</v>
      </c>
      <c r="H5" s="3194"/>
      <c r="I5" s="3193" t="s">
        <v>2547</v>
      </c>
      <c r="J5" s="3194"/>
      <c r="K5" s="2598"/>
      <c r="L5" s="1132"/>
      <c r="M5" s="1133"/>
      <c r="N5" s="1133"/>
      <c r="O5" s="1133"/>
      <c r="P5" s="3180"/>
      <c r="Q5" s="3181"/>
      <c r="R5" s="3186"/>
      <c r="S5" s="3187"/>
      <c r="T5" s="3186"/>
      <c r="U5" s="3187"/>
      <c r="V5" s="3190"/>
      <c r="W5" s="3190"/>
      <c r="X5" s="2941"/>
      <c r="Y5" s="3186"/>
      <c r="Z5" s="3187"/>
      <c r="AA5" s="3172"/>
      <c r="AB5" s="3172"/>
      <c r="AC5" s="3172"/>
    </row>
    <row r="6" spans="1:29" ht="15.75" thickBot="1">
      <c r="A6" s="406"/>
      <c r="B6" s="407"/>
      <c r="C6" s="3191" t="s">
        <v>2548</v>
      </c>
      <c r="D6" s="3192"/>
      <c r="E6" s="3198" t="s">
        <v>2548</v>
      </c>
      <c r="F6" s="3199"/>
      <c r="G6" s="3191" t="s">
        <v>2548</v>
      </c>
      <c r="H6" s="3192"/>
      <c r="I6" s="3191" t="s">
        <v>2548</v>
      </c>
      <c r="J6" s="3192"/>
      <c r="K6" s="2598" t="s">
        <v>2549</v>
      </c>
      <c r="L6" s="1132"/>
      <c r="M6" s="1133"/>
      <c r="N6" s="1133"/>
      <c r="O6" s="1133"/>
      <c r="P6" s="3182"/>
      <c r="Q6" s="3183"/>
      <c r="R6" s="3186"/>
      <c r="S6" s="3187"/>
      <c r="T6" s="3188"/>
      <c r="U6" s="3189"/>
      <c r="V6" s="3190"/>
      <c r="W6" s="3190"/>
      <c r="X6" s="2941"/>
      <c r="Y6" s="3188"/>
      <c r="Z6" s="3189"/>
      <c r="AA6" s="3173"/>
      <c r="AB6" s="3173"/>
      <c r="AC6" s="3173"/>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95" t="s">
        <v>2551</v>
      </c>
      <c r="Q7" s="3197"/>
      <c r="R7" s="770" t="s">
        <v>23</v>
      </c>
      <c r="S7" s="771">
        <f t="shared" ref="S7:S15" si="0">F7</f>
        <v>0</v>
      </c>
      <c r="T7" s="770" t="s">
        <v>23</v>
      </c>
      <c r="U7" s="771">
        <f t="shared" ref="U7:U15" si="1">H7</f>
        <v>0</v>
      </c>
      <c r="V7" s="770" t="s">
        <v>23</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195" t="s">
        <v>2554</v>
      </c>
      <c r="Q8" s="3196"/>
      <c r="R8" s="770" t="s">
        <v>23</v>
      </c>
      <c r="S8" s="771">
        <f t="shared" si="0"/>
        <v>0</v>
      </c>
      <c r="T8" s="770" t="s">
        <v>23</v>
      </c>
      <c r="U8" s="771">
        <f t="shared" si="1"/>
        <v>0</v>
      </c>
      <c r="V8" s="770" t="s">
        <v>23</v>
      </c>
      <c r="W8" s="771">
        <f t="shared" si="2"/>
        <v>0</v>
      </c>
      <c r="X8" s="772"/>
      <c r="Y8" s="3195" t="s">
        <v>2554</v>
      </c>
      <c r="Z8" s="3196"/>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70" t="s">
        <v>2557</v>
      </c>
      <c r="Q9" s="2927" t="str">
        <f t="shared" ref="Q9:Q15" si="6">B9</f>
        <v>用途</v>
      </c>
      <c r="R9" s="770" t="s">
        <v>17</v>
      </c>
      <c r="S9" s="771">
        <f t="shared" si="0"/>
        <v>100</v>
      </c>
      <c r="T9" s="770" t="s">
        <v>17</v>
      </c>
      <c r="U9" s="771">
        <f t="shared" si="1"/>
        <v>100</v>
      </c>
      <c r="V9" s="770" t="s">
        <v>17</v>
      </c>
      <c r="W9" s="771">
        <f t="shared" si="2"/>
        <v>100</v>
      </c>
      <c r="X9" s="772"/>
      <c r="Y9" s="3011" t="s">
        <v>2558</v>
      </c>
      <c r="Z9" s="2928" t="str">
        <f t="shared" ref="Z9:Z15" si="7">Q9</f>
        <v>用途</v>
      </c>
      <c r="AA9" s="773">
        <f t="shared" si="3"/>
        <v>1</v>
      </c>
      <c r="AB9" s="773">
        <f t="shared" si="4"/>
        <v>1</v>
      </c>
      <c r="AC9" s="773">
        <f t="shared" si="5"/>
        <v>1</v>
      </c>
    </row>
    <row r="10" spans="1:29" s="427" customFormat="1" ht="27">
      <c r="A10" s="421"/>
      <c r="B10" s="2933"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0"/>
      <c r="Q10" s="2927" t="str">
        <f t="shared" si="6"/>
        <v>土地使用年限（年）</v>
      </c>
      <c r="R10" s="770" t="s">
        <v>17</v>
      </c>
      <c r="S10" s="771">
        <f t="shared" si="0"/>
        <v>100</v>
      </c>
      <c r="T10" s="770" t="s">
        <v>17</v>
      </c>
      <c r="U10" s="771">
        <f t="shared" si="1"/>
        <v>100</v>
      </c>
      <c r="V10" s="770" t="s">
        <v>17</v>
      </c>
      <c r="W10" s="771">
        <f t="shared" si="2"/>
        <v>100</v>
      </c>
      <c r="X10" s="772"/>
      <c r="Y10" s="3011"/>
      <c r="Z10" s="2928" t="str">
        <f t="shared" si="7"/>
        <v>土地使用年限（年）</v>
      </c>
      <c r="AA10" s="773">
        <f t="shared" si="3"/>
        <v>1</v>
      </c>
      <c r="AB10" s="773">
        <f t="shared" si="4"/>
        <v>1</v>
      </c>
      <c r="AC10" s="773">
        <f t="shared" si="5"/>
        <v>1</v>
      </c>
    </row>
    <row r="11" spans="1:29" ht="15">
      <c r="A11" s="428"/>
      <c r="B11" s="2933"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0"/>
      <c r="Q11" s="2927" t="str">
        <f t="shared" si="6"/>
        <v>容积率</v>
      </c>
      <c r="R11" s="770" t="s">
        <v>21</v>
      </c>
      <c r="S11" s="771" t="e">
        <f t="shared" si="0"/>
        <v>#N/A</v>
      </c>
      <c r="T11" s="770" t="s">
        <v>21</v>
      </c>
      <c r="U11" s="771" t="e">
        <f t="shared" si="1"/>
        <v>#N/A</v>
      </c>
      <c r="V11" s="770" t="s">
        <v>21</v>
      </c>
      <c r="W11" s="771" t="e">
        <f t="shared" si="2"/>
        <v>#N/A</v>
      </c>
      <c r="X11" s="772"/>
      <c r="Y11" s="3011"/>
      <c r="Z11" s="2928"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70"/>
      <c r="Q12" s="2927">
        <f t="shared" si="6"/>
        <v>111</v>
      </c>
      <c r="R12" s="770" t="s">
        <v>21</v>
      </c>
      <c r="S12" s="771">
        <f t="shared" si="0"/>
        <v>100</v>
      </c>
      <c r="T12" s="770" t="s">
        <v>21</v>
      </c>
      <c r="U12" s="771">
        <f t="shared" si="1"/>
        <v>100</v>
      </c>
      <c r="V12" s="770" t="s">
        <v>21</v>
      </c>
      <c r="W12" s="771">
        <f t="shared" si="2"/>
        <v>100</v>
      </c>
      <c r="X12" s="772"/>
      <c r="Y12" s="3011"/>
      <c r="Z12" s="2928">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70"/>
      <c r="Q13" s="2927">
        <f t="shared" si="6"/>
        <v>111</v>
      </c>
      <c r="R13" s="770" t="s">
        <v>21</v>
      </c>
      <c r="S13" s="771">
        <f t="shared" si="0"/>
        <v>100</v>
      </c>
      <c r="T13" s="770" t="s">
        <v>21</v>
      </c>
      <c r="U13" s="771">
        <f t="shared" si="1"/>
        <v>100</v>
      </c>
      <c r="V13" s="770" t="s">
        <v>21</v>
      </c>
      <c r="W13" s="771">
        <f t="shared" si="2"/>
        <v>100</v>
      </c>
      <c r="X13" s="772"/>
      <c r="Y13" s="3011"/>
      <c r="Z13" s="2928">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70"/>
      <c r="Q14" s="2927">
        <f t="shared" si="6"/>
        <v>111</v>
      </c>
      <c r="R14" s="770" t="s">
        <v>21</v>
      </c>
      <c r="S14" s="771">
        <f t="shared" si="0"/>
        <v>100</v>
      </c>
      <c r="T14" s="770" t="s">
        <v>21</v>
      </c>
      <c r="U14" s="771">
        <f t="shared" si="1"/>
        <v>100</v>
      </c>
      <c r="V14" s="770" t="s">
        <v>21</v>
      </c>
      <c r="W14" s="771">
        <f t="shared" si="2"/>
        <v>100</v>
      </c>
      <c r="X14" s="772"/>
      <c r="Y14" s="3011"/>
      <c r="Z14" s="2928">
        <f t="shared" si="7"/>
        <v>111</v>
      </c>
      <c r="AA14" s="773">
        <f t="shared" si="3"/>
        <v>1</v>
      </c>
      <c r="AB14" s="773">
        <f t="shared" si="4"/>
        <v>1</v>
      </c>
      <c r="AC14" s="773">
        <f t="shared" si="5"/>
        <v>1</v>
      </c>
    </row>
    <row r="15" spans="1:29" ht="99.75">
      <c r="A15" s="440" t="s">
        <v>2561</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8" t="s">
        <v>2562</v>
      </c>
      <c r="Q15" s="2939" t="str">
        <f t="shared" si="6"/>
        <v>居住社区成熟度</v>
      </c>
      <c r="R15" s="774" t="s">
        <v>21</v>
      </c>
      <c r="S15" s="775">
        <f t="shared" si="0"/>
        <v>100</v>
      </c>
      <c r="T15" s="774" t="s">
        <v>21</v>
      </c>
      <c r="U15" s="775">
        <f t="shared" si="1"/>
        <v>100</v>
      </c>
      <c r="V15" s="774" t="s">
        <v>21</v>
      </c>
      <c r="W15" s="775">
        <f t="shared" si="2"/>
        <v>100</v>
      </c>
      <c r="X15" s="2941"/>
      <c r="Y15" s="3161" t="s">
        <v>2562</v>
      </c>
      <c r="Z15" s="2942" t="str">
        <f t="shared" si="7"/>
        <v>居住社区成熟度</v>
      </c>
      <c r="AA15" s="2940">
        <f t="shared" si="3"/>
        <v>1</v>
      </c>
      <c r="AB15" s="2940">
        <f t="shared" si="4"/>
        <v>1</v>
      </c>
      <c r="AC15" s="2940">
        <f t="shared" si="5"/>
        <v>1</v>
      </c>
    </row>
    <row r="16" spans="1:29" ht="15">
      <c r="A16" s="428"/>
      <c r="B16" s="446"/>
      <c r="C16" s="447"/>
      <c r="D16" s="448"/>
      <c r="E16" s="2605"/>
      <c r="F16" s="448"/>
      <c r="G16" s="2606"/>
      <c r="H16" s="450"/>
      <c r="I16" s="2606"/>
      <c r="J16" s="448"/>
      <c r="K16" s="2607"/>
      <c r="L16" s="1142"/>
      <c r="M16" s="1133"/>
      <c r="N16" s="1133"/>
      <c r="O16" s="1133"/>
      <c r="P16" s="3169"/>
      <c r="Q16" s="2939"/>
      <c r="R16" s="774"/>
      <c r="S16" s="775"/>
      <c r="T16" s="774"/>
      <c r="U16" s="775"/>
      <c r="V16" s="774"/>
      <c r="W16" s="775"/>
      <c r="X16" s="2941"/>
      <c r="Y16" s="3162"/>
      <c r="Z16" s="2942"/>
      <c r="AA16" s="2940">
        <v>1</v>
      </c>
      <c r="AB16" s="2940">
        <v>1</v>
      </c>
      <c r="AC16" s="2940">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9"/>
      <c r="Q17" s="2939" t="str">
        <f>B17</f>
        <v>交通便捷度</v>
      </c>
      <c r="R17" s="774" t="s">
        <v>21</v>
      </c>
      <c r="S17" s="775">
        <f>F17</f>
        <v>100</v>
      </c>
      <c r="T17" s="774" t="s">
        <v>21</v>
      </c>
      <c r="U17" s="775">
        <f>H17</f>
        <v>100</v>
      </c>
      <c r="V17" s="774" t="s">
        <v>21</v>
      </c>
      <c r="W17" s="775">
        <f>J17</f>
        <v>100</v>
      </c>
      <c r="X17" s="2941"/>
      <c r="Y17" s="3162"/>
      <c r="Z17" s="2942" t="str">
        <f>Q17</f>
        <v>交通便捷度</v>
      </c>
      <c r="AA17" s="2940">
        <f t="shared" si="3"/>
        <v>1</v>
      </c>
      <c r="AB17" s="2940">
        <f t="shared" si="4"/>
        <v>1</v>
      </c>
      <c r="AC17" s="2940">
        <f t="shared" si="5"/>
        <v>1</v>
      </c>
    </row>
    <row r="18" spans="1:29" ht="15">
      <c r="A18" s="428"/>
      <c r="B18" s="456"/>
      <c r="C18" s="2609"/>
      <c r="D18" s="450"/>
      <c r="E18" s="2610"/>
      <c r="F18" s="450"/>
      <c r="G18" s="2611"/>
      <c r="H18" s="448"/>
      <c r="I18" s="2611"/>
      <c r="J18" s="448"/>
      <c r="K18" s="2607"/>
      <c r="L18" s="1142"/>
      <c r="M18" s="1133"/>
      <c r="N18" s="1133"/>
      <c r="O18" s="1133"/>
      <c r="P18" s="3169"/>
      <c r="Q18" s="2939"/>
      <c r="R18" s="774"/>
      <c r="S18" s="775"/>
      <c r="T18" s="774"/>
      <c r="U18" s="775"/>
      <c r="V18" s="774"/>
      <c r="W18" s="775"/>
      <c r="X18" s="2941"/>
      <c r="Y18" s="3162"/>
      <c r="Z18" s="2942"/>
      <c r="AA18" s="2940">
        <v>1</v>
      </c>
      <c r="AB18" s="2940">
        <v>1</v>
      </c>
      <c r="AC18" s="2940">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9"/>
      <c r="Q19" s="2939" t="str">
        <f>B19</f>
        <v>公共配套设施</v>
      </c>
      <c r="R19" s="774" t="s">
        <v>21</v>
      </c>
      <c r="S19" s="775">
        <f>F19</f>
        <v>100</v>
      </c>
      <c r="T19" s="774" t="s">
        <v>21</v>
      </c>
      <c r="U19" s="775">
        <f>H19</f>
        <v>100</v>
      </c>
      <c r="V19" s="774" t="s">
        <v>21</v>
      </c>
      <c r="W19" s="775">
        <f>J19</f>
        <v>100</v>
      </c>
      <c r="X19" s="2941"/>
      <c r="Y19" s="3162"/>
      <c r="Z19" s="2942" t="str">
        <f>Q19</f>
        <v>公共配套设施</v>
      </c>
      <c r="AA19" s="2940">
        <f t="shared" si="3"/>
        <v>1</v>
      </c>
      <c r="AB19" s="2940">
        <f t="shared" si="4"/>
        <v>1</v>
      </c>
      <c r="AC19" s="2940">
        <f t="shared" si="5"/>
        <v>1</v>
      </c>
    </row>
    <row r="20" spans="1:29" ht="15">
      <c r="A20" s="428"/>
      <c r="B20" s="456"/>
      <c r="C20" s="447"/>
      <c r="D20" s="448"/>
      <c r="E20" s="2605"/>
      <c r="F20" s="448"/>
      <c r="G20" s="2606"/>
      <c r="H20" s="448"/>
      <c r="I20" s="2606"/>
      <c r="J20" s="448"/>
      <c r="K20" s="2607"/>
      <c r="L20" s="1142"/>
      <c r="M20" s="1133"/>
      <c r="N20" s="1133"/>
      <c r="O20" s="1133"/>
      <c r="P20" s="3169"/>
      <c r="Q20" s="2939"/>
      <c r="R20" s="774"/>
      <c r="S20" s="775"/>
      <c r="T20" s="774"/>
      <c r="U20" s="775"/>
      <c r="V20" s="774"/>
      <c r="W20" s="775"/>
      <c r="X20" s="2941"/>
      <c r="Y20" s="3162"/>
      <c r="Z20" s="2942"/>
      <c r="AA20" s="2940">
        <v>1</v>
      </c>
      <c r="AB20" s="2940">
        <v>1</v>
      </c>
      <c r="AC20" s="2940">
        <v>1</v>
      </c>
    </row>
    <row r="21" spans="1:29" ht="28.5">
      <c r="A21" s="428"/>
      <c r="B21" s="1386"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9"/>
      <c r="Q21" s="2939" t="str">
        <f>B21</f>
        <v>基础设施水平</v>
      </c>
      <c r="R21" s="774" t="s">
        <v>17</v>
      </c>
      <c r="S21" s="775">
        <f>F21</f>
        <v>100</v>
      </c>
      <c r="T21" s="774" t="s">
        <v>17</v>
      </c>
      <c r="U21" s="775">
        <f>H21</f>
        <v>100</v>
      </c>
      <c r="V21" s="774" t="s">
        <v>17</v>
      </c>
      <c r="W21" s="775">
        <f>J21</f>
        <v>100</v>
      </c>
      <c r="X21" s="2941"/>
      <c r="Y21" s="3162"/>
      <c r="Z21" s="2942" t="str">
        <f>Q21</f>
        <v>基础设施水平</v>
      </c>
      <c r="AA21" s="2940">
        <f t="shared" ref="AA21" si="8">D21/F21</f>
        <v>1</v>
      </c>
      <c r="AB21" s="2940">
        <f t="shared" ref="AB21" si="9">D21/H21</f>
        <v>1</v>
      </c>
      <c r="AC21" s="2940">
        <f t="shared" ref="AC21" si="10">D21/J21</f>
        <v>1</v>
      </c>
    </row>
    <row r="22" spans="1:29" ht="15">
      <c r="A22" s="428"/>
      <c r="B22" s="1386"/>
      <c r="C22" s="2609"/>
      <c r="D22" s="448"/>
      <c r="E22" s="447"/>
      <c r="F22" s="448"/>
      <c r="G22" s="2612"/>
      <c r="H22" s="448"/>
      <c r="I22" s="447"/>
      <c r="J22" s="448"/>
      <c r="K22" s="2613"/>
      <c r="L22" s="1142"/>
      <c r="M22" s="1133"/>
      <c r="N22" s="1133"/>
      <c r="O22" s="1133"/>
      <c r="P22" s="3169"/>
      <c r="Q22" s="2939"/>
      <c r="R22" s="774"/>
      <c r="S22" s="775"/>
      <c r="T22" s="774"/>
      <c r="U22" s="775"/>
      <c r="V22" s="774"/>
      <c r="W22" s="775"/>
      <c r="X22" s="2941"/>
      <c r="Y22" s="3162"/>
      <c r="Z22" s="2942"/>
      <c r="AA22" s="2940">
        <v>1</v>
      </c>
      <c r="AB22" s="2940">
        <v>1</v>
      </c>
      <c r="AC22" s="2940">
        <v>1</v>
      </c>
    </row>
    <row r="23" spans="1:29" ht="57">
      <c r="A23" s="428"/>
      <c r="B23" s="451" t="s">
        <v>2103</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9"/>
      <c r="Q23" s="2939" t="str">
        <f>B23</f>
        <v>自然及人文环境</v>
      </c>
      <c r="R23" s="774" t="s">
        <v>21</v>
      </c>
      <c r="S23" s="775">
        <f>F23</f>
        <v>100</v>
      </c>
      <c r="T23" s="774" t="s">
        <v>21</v>
      </c>
      <c r="U23" s="775">
        <f>H23</f>
        <v>100</v>
      </c>
      <c r="V23" s="774" t="s">
        <v>21</v>
      </c>
      <c r="W23" s="775">
        <f>J23</f>
        <v>100</v>
      </c>
      <c r="X23" s="2941"/>
      <c r="Y23" s="3162"/>
      <c r="Z23" s="2942" t="str">
        <f>Q23</f>
        <v>自然及人文环境</v>
      </c>
      <c r="AA23" s="2940">
        <f>D23/F23</f>
        <v>1</v>
      </c>
      <c r="AB23" s="2940">
        <f>D23/H23</f>
        <v>1</v>
      </c>
      <c r="AC23" s="2940">
        <f>D23/J23</f>
        <v>1</v>
      </c>
    </row>
    <row r="24" spans="1:29" ht="15">
      <c r="A24" s="428"/>
      <c r="B24" s="456"/>
      <c r="C24" s="447"/>
      <c r="D24" s="448"/>
      <c r="E24" s="2605"/>
      <c r="F24" s="448"/>
      <c r="G24" s="2606"/>
      <c r="H24" s="448"/>
      <c r="I24" s="2606"/>
      <c r="J24" s="448"/>
      <c r="K24" s="2607"/>
      <c r="L24" s="1142"/>
      <c r="M24" s="1133"/>
      <c r="N24" s="1133"/>
      <c r="O24" s="1133"/>
      <c r="P24" s="3169"/>
      <c r="Q24" s="2939"/>
      <c r="R24" s="774"/>
      <c r="S24" s="775"/>
      <c r="T24" s="774"/>
      <c r="U24" s="775"/>
      <c r="V24" s="774"/>
      <c r="W24" s="775"/>
      <c r="X24" s="2941"/>
      <c r="Y24" s="3162"/>
      <c r="Z24" s="2942"/>
      <c r="AA24" s="2940">
        <v>1</v>
      </c>
      <c r="AB24" s="2940">
        <v>1</v>
      </c>
      <c r="AC24" s="2940">
        <v>1</v>
      </c>
    </row>
    <row r="25" spans="1:29" ht="15">
      <c r="A25" s="428"/>
      <c r="B25" s="2933" t="s">
        <v>2563</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169"/>
      <c r="Q25" s="2939" t="str">
        <f t="shared" ref="Q25:Q46" si="11">B25</f>
        <v>楼层-1</v>
      </c>
      <c r="R25" s="774" t="s">
        <v>21</v>
      </c>
      <c r="S25" s="775">
        <f t="shared" ref="S25:S46" si="12">F25</f>
        <v>100</v>
      </c>
      <c r="T25" s="774" t="s">
        <v>21</v>
      </c>
      <c r="U25" s="775">
        <f t="shared" ref="U25:U46" si="13">H25</f>
        <v>100</v>
      </c>
      <c r="V25" s="774" t="s">
        <v>21</v>
      </c>
      <c r="W25" s="775">
        <f t="shared" ref="W25:W46" si="14">J25</f>
        <v>100</v>
      </c>
      <c r="X25" s="2941"/>
      <c r="Y25" s="3162"/>
      <c r="Z25" s="2942" t="str">
        <f>Q25</f>
        <v>楼层-1</v>
      </c>
      <c r="AA25" s="2940">
        <f t="shared" ref="AA25:AA46" si="15">D25/F25</f>
        <v>1</v>
      </c>
      <c r="AB25" s="2940">
        <f t="shared" ref="AB25:AB46" si="16">D25/H25</f>
        <v>1</v>
      </c>
      <c r="AC25" s="2940">
        <f t="shared" ref="AC25:AC46" si="17">D25/J25</f>
        <v>1</v>
      </c>
    </row>
    <row r="26" spans="1:29" ht="15">
      <c r="A26" s="428"/>
      <c r="B26" s="2933" t="s">
        <v>2564</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169"/>
      <c r="Q26" s="2939" t="str">
        <f t="shared" si="11"/>
        <v>朝向</v>
      </c>
      <c r="R26" s="774" t="s">
        <v>21</v>
      </c>
      <c r="S26" s="775">
        <f t="shared" si="12"/>
        <v>100</v>
      </c>
      <c r="T26" s="774" t="s">
        <v>21</v>
      </c>
      <c r="U26" s="775">
        <f t="shared" si="13"/>
        <v>100</v>
      </c>
      <c r="V26" s="774" t="s">
        <v>21</v>
      </c>
      <c r="W26" s="775">
        <f t="shared" si="14"/>
        <v>100</v>
      </c>
      <c r="X26" s="2941"/>
      <c r="Y26" s="3162"/>
      <c r="Z26" s="2942" t="str">
        <f>Q26</f>
        <v>朝向</v>
      </c>
      <c r="AA26" s="2940">
        <f t="shared" si="15"/>
        <v>1</v>
      </c>
      <c r="AB26" s="2940">
        <f t="shared" si="16"/>
        <v>1</v>
      </c>
      <c r="AC26" s="2940">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169"/>
      <c r="Q27" s="2927">
        <f t="shared" si="11"/>
        <v>111</v>
      </c>
      <c r="R27" s="770" t="s">
        <v>21</v>
      </c>
      <c r="S27" s="771">
        <f t="shared" si="12"/>
        <v>100</v>
      </c>
      <c r="T27" s="770" t="s">
        <v>21</v>
      </c>
      <c r="U27" s="771">
        <f t="shared" si="13"/>
        <v>100</v>
      </c>
      <c r="V27" s="770" t="s">
        <v>21</v>
      </c>
      <c r="W27" s="771">
        <f t="shared" si="14"/>
        <v>100</v>
      </c>
      <c r="X27" s="772"/>
      <c r="Y27" s="3162"/>
      <c r="Z27" s="2928">
        <f>Q27</f>
        <v>111</v>
      </c>
      <c r="AA27" s="2940">
        <f t="shared" si="15"/>
        <v>1</v>
      </c>
      <c r="AB27" s="2940">
        <f t="shared" si="16"/>
        <v>1</v>
      </c>
      <c r="AC27" s="2940">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169"/>
      <c r="Q28" s="2939">
        <f t="shared" si="11"/>
        <v>111</v>
      </c>
      <c r="R28" s="774" t="s">
        <v>21</v>
      </c>
      <c r="S28" s="775">
        <f t="shared" si="12"/>
        <v>100</v>
      </c>
      <c r="T28" s="774" t="s">
        <v>21</v>
      </c>
      <c r="U28" s="775">
        <f t="shared" si="13"/>
        <v>100</v>
      </c>
      <c r="V28" s="774" t="s">
        <v>21</v>
      </c>
      <c r="W28" s="775">
        <f t="shared" si="14"/>
        <v>100</v>
      </c>
      <c r="X28" s="2941"/>
      <c r="Y28" s="3162"/>
      <c r="Z28" s="2942">
        <f t="shared" ref="Z28:Z46" si="18">Q28</f>
        <v>111</v>
      </c>
      <c r="AA28" s="2940">
        <f t="shared" si="15"/>
        <v>1</v>
      </c>
      <c r="AB28" s="2940">
        <f t="shared" si="16"/>
        <v>1</v>
      </c>
      <c r="AC28" s="2940">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169"/>
      <c r="Q29" s="2939">
        <f t="shared" si="11"/>
        <v>111</v>
      </c>
      <c r="R29" s="774" t="s">
        <v>21</v>
      </c>
      <c r="S29" s="775">
        <f t="shared" si="12"/>
        <v>100</v>
      </c>
      <c r="T29" s="774" t="s">
        <v>21</v>
      </c>
      <c r="U29" s="775">
        <f t="shared" si="13"/>
        <v>100</v>
      </c>
      <c r="V29" s="774" t="s">
        <v>21</v>
      </c>
      <c r="W29" s="775">
        <f t="shared" si="14"/>
        <v>100</v>
      </c>
      <c r="X29" s="2941"/>
      <c r="Y29" s="3162"/>
      <c r="Z29" s="2942">
        <f t="shared" si="18"/>
        <v>111</v>
      </c>
      <c r="AA29" s="2940">
        <f t="shared" si="15"/>
        <v>1</v>
      </c>
      <c r="AB29" s="2940">
        <f t="shared" si="16"/>
        <v>1</v>
      </c>
      <c r="AC29" s="2940">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169"/>
      <c r="Q30" s="2939">
        <f t="shared" si="11"/>
        <v>111</v>
      </c>
      <c r="R30" s="774" t="s">
        <v>21</v>
      </c>
      <c r="S30" s="775">
        <f t="shared" si="12"/>
        <v>100</v>
      </c>
      <c r="T30" s="774" t="s">
        <v>21</v>
      </c>
      <c r="U30" s="775">
        <f t="shared" si="13"/>
        <v>100</v>
      </c>
      <c r="V30" s="774" t="s">
        <v>21</v>
      </c>
      <c r="W30" s="775">
        <f t="shared" si="14"/>
        <v>100</v>
      </c>
      <c r="X30" s="2941"/>
      <c r="Y30" s="3162"/>
      <c r="Z30" s="2942">
        <f t="shared" si="18"/>
        <v>111</v>
      </c>
      <c r="AA30" s="2940">
        <f t="shared" si="15"/>
        <v>1</v>
      </c>
      <c r="AB30" s="2940">
        <f t="shared" si="16"/>
        <v>1</v>
      </c>
      <c r="AC30" s="2940">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169"/>
      <c r="Q31" s="2939">
        <f t="shared" si="11"/>
        <v>111</v>
      </c>
      <c r="R31" s="774" t="s">
        <v>21</v>
      </c>
      <c r="S31" s="775">
        <f t="shared" si="12"/>
        <v>100</v>
      </c>
      <c r="T31" s="774" t="s">
        <v>21</v>
      </c>
      <c r="U31" s="775">
        <f t="shared" si="13"/>
        <v>100</v>
      </c>
      <c r="V31" s="774" t="s">
        <v>21</v>
      </c>
      <c r="W31" s="775">
        <f t="shared" si="14"/>
        <v>100</v>
      </c>
      <c r="X31" s="2941"/>
      <c r="Y31" s="3162"/>
      <c r="Z31" s="2942">
        <f t="shared" si="18"/>
        <v>111</v>
      </c>
      <c r="AA31" s="2940">
        <f t="shared" si="15"/>
        <v>1</v>
      </c>
      <c r="AB31" s="2940">
        <f t="shared" si="16"/>
        <v>1</v>
      </c>
      <c r="AC31" s="2940">
        <f t="shared" si="17"/>
        <v>1</v>
      </c>
    </row>
    <row r="32" spans="1:29" ht="15">
      <c r="A32" s="440" t="s">
        <v>2565</v>
      </c>
      <c r="B32" s="71" t="s">
        <v>2566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63" t="s">
        <v>2567</v>
      </c>
      <c r="Q32" s="2939" t="str">
        <f t="shared" si="11"/>
        <v>建筑类型</v>
      </c>
      <c r="R32" s="774" t="s">
        <v>21</v>
      </c>
      <c r="S32" s="775">
        <f t="shared" si="12"/>
        <v>100</v>
      </c>
      <c r="T32" s="774" t="s">
        <v>21</v>
      </c>
      <c r="U32" s="775">
        <f t="shared" si="13"/>
        <v>100</v>
      </c>
      <c r="V32" s="774" t="s">
        <v>21</v>
      </c>
      <c r="W32" s="775">
        <f t="shared" si="14"/>
        <v>100</v>
      </c>
      <c r="X32" s="2941"/>
      <c r="Y32" s="3166" t="s">
        <v>2567</v>
      </c>
      <c r="Z32" s="2942" t="str">
        <f t="shared" si="18"/>
        <v>建筑类型</v>
      </c>
      <c r="AA32" s="2940">
        <f t="shared" si="15"/>
        <v>1</v>
      </c>
      <c r="AB32" s="2940">
        <f t="shared" si="16"/>
        <v>1</v>
      </c>
      <c r="AC32" s="2940">
        <f t="shared" si="17"/>
        <v>1</v>
      </c>
    </row>
    <row r="33" spans="1:29" s="471" customFormat="1" ht="15">
      <c r="A33" s="468"/>
      <c r="B33" s="2933"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164"/>
      <c r="Q33" s="776" t="str">
        <f t="shared" si="11"/>
        <v>项目建筑规模</v>
      </c>
      <c r="R33" s="777" t="s">
        <v>21</v>
      </c>
      <c r="S33" s="778" t="e">
        <f t="shared" si="12"/>
        <v>#N/A</v>
      </c>
      <c r="T33" s="777" t="s">
        <v>21</v>
      </c>
      <c r="U33" s="778" t="e">
        <f t="shared" si="13"/>
        <v>#N/A</v>
      </c>
      <c r="V33" s="777" t="s">
        <v>21</v>
      </c>
      <c r="W33" s="778" t="e">
        <f t="shared" si="14"/>
        <v>#N/A</v>
      </c>
      <c r="X33" s="779"/>
      <c r="Y33" s="3166"/>
      <c r="Z33" s="780" t="str">
        <f t="shared" si="18"/>
        <v>项目建筑规模</v>
      </c>
      <c r="AA33" s="2940" t="e">
        <f t="shared" si="15"/>
        <v>#N/A</v>
      </c>
      <c r="AB33" s="2940" t="e">
        <f t="shared" si="16"/>
        <v>#N/A</v>
      </c>
      <c r="AC33" s="2940" t="e">
        <f t="shared" si="17"/>
        <v>#N/A</v>
      </c>
    </row>
    <row r="34" spans="1:29" ht="15">
      <c r="A34" s="472"/>
      <c r="B34" s="2933" t="s">
        <v>2569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64"/>
      <c r="Q34" s="2939" t="str">
        <f t="shared" si="11"/>
        <v>建筑结构</v>
      </c>
      <c r="R34" s="774" t="s">
        <v>21</v>
      </c>
      <c r="S34" s="775">
        <f t="shared" si="12"/>
        <v>100</v>
      </c>
      <c r="T34" s="774" t="s">
        <v>21</v>
      </c>
      <c r="U34" s="775">
        <f t="shared" si="13"/>
        <v>100</v>
      </c>
      <c r="V34" s="774" t="s">
        <v>21</v>
      </c>
      <c r="W34" s="775">
        <f t="shared" si="14"/>
        <v>100</v>
      </c>
      <c r="X34" s="2941"/>
      <c r="Y34" s="3166"/>
      <c r="Z34" s="2942" t="str">
        <f t="shared" si="18"/>
        <v>建筑结构</v>
      </c>
      <c r="AA34" s="2940">
        <f t="shared" si="15"/>
        <v>1</v>
      </c>
      <c r="AB34" s="2940">
        <f t="shared" si="16"/>
        <v>1</v>
      </c>
      <c r="AC34" s="2940">
        <f t="shared" si="17"/>
        <v>1</v>
      </c>
    </row>
    <row r="35" spans="1:29" ht="15">
      <c r="A35" s="472"/>
      <c r="B35" s="2933" t="s">
        <v>2570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64"/>
      <c r="Q35" s="2939" t="str">
        <f t="shared" si="11"/>
        <v>建筑品质</v>
      </c>
      <c r="R35" s="774" t="s">
        <v>21</v>
      </c>
      <c r="S35" s="775">
        <f t="shared" si="12"/>
        <v>100</v>
      </c>
      <c r="T35" s="774" t="s">
        <v>21</v>
      </c>
      <c r="U35" s="775">
        <f t="shared" si="13"/>
        <v>100</v>
      </c>
      <c r="V35" s="774" t="s">
        <v>21</v>
      </c>
      <c r="W35" s="775">
        <f t="shared" si="14"/>
        <v>100</v>
      </c>
      <c r="X35" s="2941"/>
      <c r="Y35" s="3166"/>
      <c r="Z35" s="2942" t="str">
        <f t="shared" si="18"/>
        <v>建筑品质</v>
      </c>
      <c r="AA35" s="2940">
        <f t="shared" si="15"/>
        <v>1</v>
      </c>
      <c r="AB35" s="2940">
        <f t="shared" si="16"/>
        <v>1</v>
      </c>
      <c r="AC35" s="2940">
        <f t="shared" si="17"/>
        <v>1</v>
      </c>
    </row>
    <row r="36" spans="1:29" ht="15">
      <c r="A36" s="472"/>
      <c r="B36" s="2933" t="s">
        <v>2571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64"/>
      <c r="Q36" s="2939" t="str">
        <f t="shared" si="11"/>
        <v>公共部分装修</v>
      </c>
      <c r="R36" s="774" t="s">
        <v>21</v>
      </c>
      <c r="S36" s="775">
        <f t="shared" si="12"/>
        <v>100</v>
      </c>
      <c r="T36" s="774" t="s">
        <v>21</v>
      </c>
      <c r="U36" s="775">
        <f t="shared" si="13"/>
        <v>100</v>
      </c>
      <c r="V36" s="774" t="s">
        <v>21</v>
      </c>
      <c r="W36" s="775">
        <f t="shared" si="14"/>
        <v>100</v>
      </c>
      <c r="X36" s="2941"/>
      <c r="Y36" s="3166"/>
      <c r="Z36" s="2942" t="str">
        <f t="shared" si="18"/>
        <v>公共部分装修</v>
      </c>
      <c r="AA36" s="2940">
        <f t="shared" si="15"/>
        <v>1</v>
      </c>
      <c r="AB36" s="2940">
        <f t="shared" si="16"/>
        <v>1</v>
      </c>
      <c r="AC36" s="2940">
        <f t="shared" si="17"/>
        <v>1</v>
      </c>
    </row>
    <row r="37" spans="1:29" s="117" customFormat="1" ht="15">
      <c r="A37" s="473"/>
      <c r="B37" s="2933"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4"/>
      <c r="Q37" s="2927" t="str">
        <f t="shared" si="11"/>
        <v>成新度</v>
      </c>
      <c r="R37" s="770" t="s">
        <v>21</v>
      </c>
      <c r="S37" s="771" t="e">
        <f t="shared" si="12"/>
        <v>#N/A</v>
      </c>
      <c r="T37" s="770" t="s">
        <v>21</v>
      </c>
      <c r="U37" s="771" t="e">
        <f t="shared" si="13"/>
        <v>#N/A</v>
      </c>
      <c r="V37" s="770" t="s">
        <v>21</v>
      </c>
      <c r="W37" s="771" t="e">
        <f t="shared" si="14"/>
        <v>#N/A</v>
      </c>
      <c r="X37" s="772"/>
      <c r="Y37" s="3166"/>
      <c r="Z37" s="2928" t="str">
        <f t="shared" si="18"/>
        <v>成新度</v>
      </c>
      <c r="AA37" s="773" t="e">
        <f t="shared" si="15"/>
        <v>#N/A</v>
      </c>
      <c r="AB37" s="773" t="e">
        <f t="shared" si="16"/>
        <v>#N/A</v>
      </c>
      <c r="AC37" s="773" t="e">
        <f t="shared" si="17"/>
        <v>#N/A</v>
      </c>
    </row>
    <row r="38" spans="1:29" ht="15">
      <c r="A38" s="472"/>
      <c r="B38" s="2933" t="s">
        <v>2573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64" t="s">
        <v>2567</v>
      </c>
      <c r="Q38" s="2939" t="str">
        <f t="shared" si="11"/>
        <v>物业管理</v>
      </c>
      <c r="R38" s="774" t="s">
        <v>21</v>
      </c>
      <c r="S38" s="775">
        <f t="shared" si="12"/>
        <v>100</v>
      </c>
      <c r="T38" s="774" t="s">
        <v>21</v>
      </c>
      <c r="U38" s="775">
        <f t="shared" si="13"/>
        <v>100</v>
      </c>
      <c r="V38" s="774" t="s">
        <v>21</v>
      </c>
      <c r="W38" s="775">
        <f t="shared" si="14"/>
        <v>100</v>
      </c>
      <c r="X38" s="2941"/>
      <c r="Y38" s="3166" t="s">
        <v>2567</v>
      </c>
      <c r="Z38" s="2942" t="str">
        <f t="shared" si="18"/>
        <v>物业管理</v>
      </c>
      <c r="AA38" s="2940">
        <f t="shared" si="15"/>
        <v>1</v>
      </c>
      <c r="AB38" s="2940">
        <f t="shared" si="16"/>
        <v>1</v>
      </c>
      <c r="AC38" s="2940">
        <f t="shared" si="17"/>
        <v>1</v>
      </c>
    </row>
    <row r="39" spans="1:29" ht="15">
      <c r="A39" s="472"/>
      <c r="B39" s="2933" t="s">
        <v>2574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64"/>
      <c r="Q39" s="2939" t="str">
        <f t="shared" si="11"/>
        <v>市政基础设施</v>
      </c>
      <c r="R39" s="774" t="s">
        <v>21</v>
      </c>
      <c r="S39" s="775">
        <f t="shared" si="12"/>
        <v>100</v>
      </c>
      <c r="T39" s="774" t="s">
        <v>21</v>
      </c>
      <c r="U39" s="775">
        <f t="shared" si="13"/>
        <v>100</v>
      </c>
      <c r="V39" s="774" t="s">
        <v>21</v>
      </c>
      <c r="W39" s="775">
        <f t="shared" si="14"/>
        <v>100</v>
      </c>
      <c r="X39" s="2941"/>
      <c r="Y39" s="3166"/>
      <c r="Z39" s="2942" t="str">
        <f t="shared" si="18"/>
        <v>市政基础设施</v>
      </c>
      <c r="AA39" s="2940">
        <f t="shared" si="15"/>
        <v>1</v>
      </c>
      <c r="AB39" s="2940">
        <f t="shared" si="16"/>
        <v>1</v>
      </c>
      <c r="AC39" s="2940">
        <f t="shared" si="17"/>
        <v>1</v>
      </c>
    </row>
    <row r="40" spans="1:29" ht="15">
      <c r="A40" s="472"/>
      <c r="B40" s="2933" t="s">
        <v>2575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64"/>
      <c r="Q40" s="2939" t="str">
        <f t="shared" si="11"/>
        <v>房型</v>
      </c>
      <c r="R40" s="774" t="s">
        <v>21</v>
      </c>
      <c r="S40" s="775">
        <f t="shared" si="12"/>
        <v>100</v>
      </c>
      <c r="T40" s="774" t="s">
        <v>21</v>
      </c>
      <c r="U40" s="775">
        <f t="shared" si="13"/>
        <v>100</v>
      </c>
      <c r="V40" s="774" t="s">
        <v>21</v>
      </c>
      <c r="W40" s="775">
        <f t="shared" si="14"/>
        <v>100</v>
      </c>
      <c r="X40" s="2941"/>
      <c r="Y40" s="3166"/>
      <c r="Z40" s="2942" t="str">
        <f t="shared" si="18"/>
        <v>房型</v>
      </c>
      <c r="AA40" s="2940">
        <f t="shared" si="15"/>
        <v>1</v>
      </c>
      <c r="AB40" s="2940">
        <f t="shared" si="16"/>
        <v>1</v>
      </c>
      <c r="AC40" s="2940">
        <f t="shared" si="17"/>
        <v>1</v>
      </c>
    </row>
    <row r="41" spans="1:29" s="471" customFormat="1" ht="28.5">
      <c r="A41" s="468"/>
      <c r="B41" s="2933"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64"/>
      <c r="Q41" s="776" t="str">
        <f t="shared" si="11"/>
        <v>单套/主力户型建筑面积</v>
      </c>
      <c r="R41" s="777" t="s">
        <v>21</v>
      </c>
      <c r="S41" s="778">
        <f t="shared" si="12"/>
        <v>100</v>
      </c>
      <c r="T41" s="777" t="s">
        <v>21</v>
      </c>
      <c r="U41" s="778">
        <f t="shared" si="13"/>
        <v>100</v>
      </c>
      <c r="V41" s="777" t="s">
        <v>21</v>
      </c>
      <c r="W41" s="778">
        <f t="shared" si="14"/>
        <v>100</v>
      </c>
      <c r="X41" s="779"/>
      <c r="Y41" s="3166"/>
      <c r="Z41" s="780" t="str">
        <f t="shared" si="18"/>
        <v>单套/主力户型建筑面积</v>
      </c>
      <c r="AA41" s="2940">
        <f t="shared" si="15"/>
        <v>1</v>
      </c>
      <c r="AB41" s="2940">
        <f t="shared" si="16"/>
        <v>1</v>
      </c>
      <c r="AC41" s="2940">
        <f t="shared" si="17"/>
        <v>1</v>
      </c>
    </row>
    <row r="42" spans="1:29" ht="15">
      <c r="A42" s="472"/>
      <c r="B42" s="2933" t="s">
        <v>2577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64"/>
      <c r="Q42" s="2939" t="str">
        <f t="shared" si="11"/>
        <v>内部装修</v>
      </c>
      <c r="R42" s="774" t="s">
        <v>21</v>
      </c>
      <c r="S42" s="775">
        <f t="shared" si="12"/>
        <v>100</v>
      </c>
      <c r="T42" s="774" t="s">
        <v>21</v>
      </c>
      <c r="U42" s="775">
        <f t="shared" si="13"/>
        <v>100</v>
      </c>
      <c r="V42" s="774" t="s">
        <v>21</v>
      </c>
      <c r="W42" s="775">
        <f t="shared" si="14"/>
        <v>100</v>
      </c>
      <c r="X42" s="2941"/>
      <c r="Y42" s="3166"/>
      <c r="Z42" s="2942" t="str">
        <f t="shared" si="18"/>
        <v>内部装修</v>
      </c>
      <c r="AA42" s="2940">
        <f t="shared" si="15"/>
        <v>1</v>
      </c>
      <c r="AB42" s="2940">
        <f t="shared" si="16"/>
        <v>1</v>
      </c>
      <c r="AC42" s="2940">
        <f t="shared" si="17"/>
        <v>1</v>
      </c>
    </row>
    <row r="43" spans="1:29" ht="15">
      <c r="A43" s="472"/>
      <c r="B43" s="2933" t="s">
        <v>2578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64"/>
      <c r="Q43" s="2939" t="str">
        <f t="shared" si="11"/>
        <v>内部装修维护情况</v>
      </c>
      <c r="R43" s="774" t="s">
        <v>21</v>
      </c>
      <c r="S43" s="775">
        <f t="shared" si="12"/>
        <v>100</v>
      </c>
      <c r="T43" s="774" t="s">
        <v>21</v>
      </c>
      <c r="U43" s="775">
        <f t="shared" si="13"/>
        <v>100</v>
      </c>
      <c r="V43" s="774" t="s">
        <v>21</v>
      </c>
      <c r="W43" s="775">
        <f t="shared" si="14"/>
        <v>100</v>
      </c>
      <c r="X43" s="2941"/>
      <c r="Y43" s="3166"/>
      <c r="Z43" s="2942" t="str">
        <f t="shared" si="18"/>
        <v>内部装修维护情况</v>
      </c>
      <c r="AA43" s="2940">
        <f t="shared" si="15"/>
        <v>1</v>
      </c>
      <c r="AB43" s="2940">
        <f t="shared" si="16"/>
        <v>1</v>
      </c>
      <c r="AC43" s="2940">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64"/>
      <c r="Q44" s="2927">
        <f t="shared" si="11"/>
        <v>111</v>
      </c>
      <c r="R44" s="770" t="s">
        <v>21</v>
      </c>
      <c r="S44" s="771">
        <f t="shared" si="12"/>
        <v>100</v>
      </c>
      <c r="T44" s="770" t="s">
        <v>21</v>
      </c>
      <c r="U44" s="771">
        <f t="shared" si="13"/>
        <v>100</v>
      </c>
      <c r="V44" s="770" t="s">
        <v>21</v>
      </c>
      <c r="W44" s="771">
        <f t="shared" si="14"/>
        <v>100</v>
      </c>
      <c r="X44" s="772"/>
      <c r="Y44" s="3166"/>
      <c r="Z44" s="2928">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64"/>
      <c r="Q45" s="2939">
        <f t="shared" si="11"/>
        <v>111</v>
      </c>
      <c r="R45" s="774" t="s">
        <v>21</v>
      </c>
      <c r="S45" s="775">
        <f t="shared" si="12"/>
        <v>100</v>
      </c>
      <c r="T45" s="774" t="s">
        <v>21</v>
      </c>
      <c r="U45" s="775">
        <f t="shared" si="13"/>
        <v>100</v>
      </c>
      <c r="V45" s="774" t="s">
        <v>21</v>
      </c>
      <c r="W45" s="775">
        <f t="shared" si="14"/>
        <v>100</v>
      </c>
      <c r="X45" s="2941"/>
      <c r="Y45" s="3166"/>
      <c r="Z45" s="2942">
        <f t="shared" si="18"/>
        <v>111</v>
      </c>
      <c r="AA45" s="2940">
        <f t="shared" si="15"/>
        <v>1</v>
      </c>
      <c r="AB45" s="2940">
        <f t="shared" si="16"/>
        <v>1</v>
      </c>
      <c r="AC45" s="294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65"/>
      <c r="Q46" s="2939">
        <f t="shared" si="11"/>
        <v>111</v>
      </c>
      <c r="R46" s="774" t="s">
        <v>20</v>
      </c>
      <c r="S46" s="775">
        <f t="shared" si="12"/>
        <v>100</v>
      </c>
      <c r="T46" s="774" t="s">
        <v>20</v>
      </c>
      <c r="U46" s="775">
        <f t="shared" si="13"/>
        <v>100</v>
      </c>
      <c r="V46" s="774" t="s">
        <v>20</v>
      </c>
      <c r="W46" s="775">
        <f t="shared" si="14"/>
        <v>100</v>
      </c>
      <c r="X46" s="2941"/>
      <c r="Y46" s="3167"/>
      <c r="Z46" s="2942">
        <f t="shared" si="18"/>
        <v>111</v>
      </c>
      <c r="AA46" s="2940">
        <f t="shared" si="15"/>
        <v>1</v>
      </c>
      <c r="AB46" s="2940">
        <f t="shared" si="16"/>
        <v>1</v>
      </c>
      <c r="AC46" s="2940">
        <f t="shared" si="17"/>
        <v>1</v>
      </c>
    </row>
    <row r="47" spans="1:29" ht="15">
      <c r="A47" s="479" t="s">
        <v>2579</v>
      </c>
      <c r="B47" s="480"/>
      <c r="C47" s="1409" t="s">
        <v>19</v>
      </c>
      <c r="D47" s="1410"/>
      <c r="E47" s="1411"/>
      <c r="F47" s="1412"/>
      <c r="G47" s="1413"/>
      <c r="H47" s="1414"/>
      <c r="I47" s="1411"/>
      <c r="J47" s="1414"/>
      <c r="K47" s="2622"/>
      <c r="L47" s="1145"/>
      <c r="M47" s="1146"/>
      <c r="N47" s="1133"/>
      <c r="O47" s="1146"/>
      <c r="P47" s="3159" t="str">
        <f>A47</f>
        <v>成交单价（元/平方米）</v>
      </c>
      <c r="Q47" s="3159"/>
      <c r="R47" s="3160">
        <f>E47</f>
        <v>0</v>
      </c>
      <c r="S47" s="3160"/>
      <c r="T47" s="3160">
        <f>G47</f>
        <v>0</v>
      </c>
      <c r="U47" s="3160"/>
      <c r="V47" s="3160">
        <f>I47</f>
        <v>0</v>
      </c>
      <c r="W47" s="3160"/>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3"/>
      <c r="L48" s="1145"/>
      <c r="M48" s="1146"/>
      <c r="N48" s="1146"/>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4"/>
      <c r="L49" s="1145"/>
      <c r="M49" s="1146"/>
      <c r="N49" s="1146"/>
      <c r="O49" s="1146"/>
      <c r="P49" s="3156" t="str">
        <f>A49</f>
        <v>估价对象XX用房的比较价值（楼面单价，元/平方米）</v>
      </c>
      <c r="Q49" s="3157"/>
      <c r="R49" s="3158" t="e">
        <f>IF(F1="售价",ROUND(AVERAGE(R48:V48),0),ROUND(AVERAGE(R48:V48),1))</f>
        <v>#DIV/0!</v>
      </c>
      <c r="S49" s="3158"/>
      <c r="T49" s="3158"/>
      <c r="U49" s="3158"/>
      <c r="V49" s="3158"/>
      <c r="W49" s="315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27"/>
      <c r="Q57" s="504"/>
    </row>
    <row r="58" spans="1:29" s="508" customFormat="1" ht="15">
      <c r="A58" s="505" t="s">
        <v>2586</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2588</v>
      </c>
      <c r="B61" s="510"/>
      <c r="C61" s="522" t="s">
        <v>2589</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2100</v>
      </c>
      <c r="C82" s="539" t="s">
        <v>2606</v>
      </c>
      <c r="D82" s="539" t="s">
        <v>2607</v>
      </c>
      <c r="E82" s="539" t="s">
        <v>2608</v>
      </c>
      <c r="F82" s="539" t="s">
        <v>2609</v>
      </c>
      <c r="G82" s="539" t="s">
        <v>2610</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2612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2613</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2565</v>
      </c>
      <c r="B100" s="528" t="s">
        <v>2614</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2617</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2618</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2619</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2620</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2621</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6">
        <v>6</v>
      </c>
      <c r="C139" s="1087">
        <v>96</v>
      </c>
      <c r="D139" s="2649" t="s">
        <v>2633</v>
      </c>
      <c r="E139" s="1088">
        <v>100</v>
      </c>
      <c r="F139" s="1089">
        <v>102.5</v>
      </c>
      <c r="G139" s="2649" t="s">
        <v>2633</v>
      </c>
      <c r="H139" s="1090">
        <v>105</v>
      </c>
      <c r="I139" s="2650" t="s">
        <v>2634</v>
      </c>
      <c r="J139" s="1087">
        <v>20</v>
      </c>
      <c r="K139" s="1091">
        <f>C145/(J139-2)</f>
        <v>4.0555555555555553E-3</v>
      </c>
    </row>
    <row r="140" spans="1:17" ht="15">
      <c r="B140" s="1092">
        <v>5</v>
      </c>
      <c r="C140" s="1093">
        <v>100</v>
      </c>
      <c r="D140" s="1093"/>
      <c r="E140" s="1094"/>
      <c r="F140" s="1095">
        <v>102</v>
      </c>
      <c r="G140" s="1093"/>
      <c r="H140" s="1096"/>
      <c r="I140" s="2651" t="s">
        <v>2635</v>
      </c>
      <c r="J140" s="315">
        <f>ROUNDUP((J139-1)/2,0)</f>
        <v>10</v>
      </c>
      <c r="K140" s="1097">
        <v>100</v>
      </c>
    </row>
    <row r="141" spans="1:17" ht="15">
      <c r="B141" s="1092">
        <v>4</v>
      </c>
      <c r="C141" s="1093">
        <v>102</v>
      </c>
      <c r="D141" s="1093"/>
      <c r="E141" s="1094"/>
      <c r="F141" s="1095">
        <v>101.5</v>
      </c>
      <c r="G141" s="1093"/>
      <c r="H141" s="1096"/>
      <c r="I141" s="2651" t="s">
        <v>2636</v>
      </c>
      <c r="J141" s="315">
        <v>1</v>
      </c>
      <c r="K141" s="1098">
        <f>ROUND(100+(J141-J140)*K139*100,1)</f>
        <v>96.4</v>
      </c>
    </row>
    <row r="142" spans="1:17" ht="15">
      <c r="B142" s="1092">
        <v>3</v>
      </c>
      <c r="C142" s="1093">
        <v>103</v>
      </c>
      <c r="D142" s="1093"/>
      <c r="E142" s="1094"/>
      <c r="F142" s="1095">
        <v>101</v>
      </c>
      <c r="G142" s="1093"/>
      <c r="H142" s="1096"/>
      <c r="I142" s="2651" t="s">
        <v>2637</v>
      </c>
      <c r="J142" s="315">
        <f>J139</f>
        <v>20</v>
      </c>
      <c r="K142" s="1099">
        <v>95</v>
      </c>
    </row>
    <row r="143" spans="1:17" ht="15">
      <c r="B143" s="1092">
        <v>2</v>
      </c>
      <c r="C143" s="1093">
        <v>100</v>
      </c>
      <c r="D143" s="1093"/>
      <c r="E143" s="1094"/>
      <c r="F143" s="1095">
        <v>100.5</v>
      </c>
      <c r="G143" s="1093"/>
      <c r="H143" s="1096"/>
      <c r="I143" s="2651" t="s">
        <v>2638</v>
      </c>
      <c r="J143" s="1093">
        <v>15</v>
      </c>
      <c r="K143" s="1098">
        <f>ROUND(100+(J143-J140)*K139*100,1)</f>
        <v>102</v>
      </c>
    </row>
    <row r="144" spans="1:17" ht="15">
      <c r="B144" s="1092">
        <v>1</v>
      </c>
      <c r="C144" s="1093">
        <v>98</v>
      </c>
      <c r="D144" s="2652" t="s">
        <v>2639</v>
      </c>
      <c r="E144" s="1094">
        <v>102</v>
      </c>
      <c r="F144" s="1100">
        <v>100</v>
      </c>
      <c r="G144" s="2652" t="s">
        <v>2639</v>
      </c>
      <c r="H144" s="1096">
        <v>105</v>
      </c>
      <c r="I144" s="2651" t="s">
        <v>2638</v>
      </c>
      <c r="J144" s="1093">
        <v>18</v>
      </c>
      <c r="K144" s="1098">
        <f>ROUND(100+(J144-J140)*K139*100,1)</f>
        <v>103.2</v>
      </c>
    </row>
    <row r="145" spans="2:11" ht="15.75" thickBot="1">
      <c r="B145" s="2653" t="s">
        <v>2640</v>
      </c>
      <c r="C145" s="1101">
        <f>ROUND(MAX(C139:C144)/MIN(C139:C144)-1,3)</f>
        <v>7.2999999999999995E-2</v>
      </c>
      <c r="D145" s="1102"/>
      <c r="E145" s="1102"/>
      <c r="F145" s="2654" t="s">
        <v>2641</v>
      </c>
      <c r="G145" s="2655"/>
      <c r="H145" s="2656"/>
      <c r="I145" s="2657" t="s">
        <v>2638</v>
      </c>
      <c r="J145" s="1103">
        <v>8</v>
      </c>
      <c r="K145" s="1104">
        <f>ROUND(100+(J145-J140)*K139*100,1)</f>
        <v>99.2</v>
      </c>
    </row>
    <row r="147" spans="2:11">
      <c r="B147" s="2638" t="s">
        <v>2642</v>
      </c>
    </row>
    <row r="148" spans="2:11">
      <c r="B148" s="2638" t="s">
        <v>2643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56" priority="14" stopIfTrue="1" operator="containsText" text="超过">
      <formula>NOT(ISERROR(SEARCH("超过",F52)))</formula>
    </cfRule>
  </conditionalFormatting>
  <conditionalFormatting sqref="J54">
    <cfRule type="containsText" dxfId="55" priority="13" stopIfTrue="1" operator="containsText" text="超过">
      <formula>NOT(ISERROR(SEARCH("超过",J54)))</formula>
    </cfRule>
  </conditionalFormatting>
  <conditionalFormatting sqref="H54">
    <cfRule type="containsText" dxfId="54" priority="12" stopIfTrue="1" operator="containsText" text="超过">
      <formula>NOT(ISERROR(SEARCH("超过",H54)))</formula>
    </cfRule>
  </conditionalFormatting>
  <conditionalFormatting sqref="F54">
    <cfRule type="containsText" dxfId="53" priority="11" stopIfTrue="1" operator="containsText" text="超过">
      <formula>NOT(ISERROR(SEARCH("超过",F54)))</formula>
    </cfRule>
  </conditionalFormatting>
  <conditionalFormatting sqref="F53 H53 J53">
    <cfRule type="containsText" dxfId="52" priority="10" stopIfTrue="1" operator="containsText" text="超过">
      <formula>NOT(ISERROR(SEARCH("超过",F53)))</formula>
    </cfRule>
  </conditionalFormatting>
  <conditionalFormatting sqref="E52">
    <cfRule type="expression" dxfId="51" priority="9" stopIfTrue="1">
      <formula>$F$52="超过30%"</formula>
    </cfRule>
  </conditionalFormatting>
  <conditionalFormatting sqref="G54">
    <cfRule type="expression" dxfId="50" priority="8" stopIfTrue="1">
      <formula>$H$54="超过30%"</formula>
    </cfRule>
  </conditionalFormatting>
  <conditionalFormatting sqref="E53">
    <cfRule type="expression" dxfId="49" priority="7" stopIfTrue="1">
      <formula>$F$53="超过20%"</formula>
    </cfRule>
  </conditionalFormatting>
  <conditionalFormatting sqref="E54">
    <cfRule type="expression" dxfId="48" priority="6" stopIfTrue="1">
      <formula>$F$54="超过30%"</formula>
    </cfRule>
  </conditionalFormatting>
  <conditionalFormatting sqref="G52">
    <cfRule type="expression" dxfId="47" priority="5" stopIfTrue="1">
      <formula>$H$52="超过30%"</formula>
    </cfRule>
  </conditionalFormatting>
  <conditionalFormatting sqref="G53">
    <cfRule type="expression" dxfId="46" priority="4" stopIfTrue="1">
      <formula>$H$53="超过20%"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0</v>
      </c>
      <c r="D6" s="164" t="s">
        <v>3036</v>
      </c>
      <c r="E6" s="347" t="s">
        <v>1406</v>
      </c>
      <c r="F6" s="348">
        <f ca="1">INDIRECT("'数据-取费表'!u"&amp;$G$1)</f>
        <v>0</v>
      </c>
      <c r="G6" s="1854"/>
      <c r="H6" s="1293" t="s">
        <v>1035</v>
      </c>
      <c r="I6" s="3219" t="s">
        <v>1404</v>
      </c>
      <c r="J6" s="346">
        <f ca="1">ROUND(M6*M8*M7*(1-M9)/10000,0)</f>
        <v>0</v>
      </c>
      <c r="K6" s="164" t="s">
        <v>3035</v>
      </c>
      <c r="L6" s="347" t="s">
        <v>1406</v>
      </c>
      <c r="M6" s="348">
        <f ca="1">INDIRECT("'数据-取费表'!z"&amp;$G$1)</f>
        <v>0</v>
      </c>
    </row>
    <row r="7" spans="1:37" ht="18" customHeight="1">
      <c r="A7" s="1297"/>
      <c r="B7" s="3220"/>
      <c r="C7" s="1299"/>
      <c r="D7" s="352"/>
      <c r="E7" s="2938"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3037</v>
      </c>
      <c r="E10" s="358" t="s">
        <v>1412</v>
      </c>
      <c r="F10" s="1368"/>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1" t="s">
        <v>1420</v>
      </c>
      <c r="E14" s="2929"/>
      <c r="F14" s="364"/>
      <c r="G14" s="1854"/>
      <c r="H14" s="1203" t="s">
        <v>1035</v>
      </c>
      <c r="I14" s="347" t="s">
        <v>1421</v>
      </c>
      <c r="J14" s="24">
        <f ca="1">C29</f>
        <v>0</v>
      </c>
      <c r="K14" s="2937"/>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2"/>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1" t="s">
        <v>1432</v>
      </c>
      <c r="L17" s="2930"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0"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6"/>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6"/>
      <c r="F22" s="26"/>
      <c r="G22" s="1854"/>
      <c r="H22" s="1203" t="s">
        <v>1039</v>
      </c>
      <c r="I22" s="347" t="s">
        <v>1451</v>
      </c>
      <c r="J22" s="24">
        <f ca="1">ROUND(J14*M22,1)</f>
        <v>0</v>
      </c>
      <c r="K22" s="2930"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0"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6"/>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2"/>
      <c r="F30" s="1296"/>
      <c r="G30" s="1854"/>
      <c r="H30" s="745"/>
      <c r="I30" s="746"/>
      <c r="J30" s="747"/>
      <c r="K30" s="748"/>
      <c r="L30" s="749"/>
      <c r="M30" s="750"/>
    </row>
    <row r="31" spans="1:37" ht="18" customHeight="1">
      <c r="A31" s="1203" t="s">
        <v>1035</v>
      </c>
      <c r="B31" s="347" t="s">
        <v>1431</v>
      </c>
      <c r="C31" s="24">
        <f ca="1">ROUND(IF(项目基本情况!B11="自然人",C5*F31,C32+C33+C34),1)</f>
        <v>0</v>
      </c>
      <c r="D31" s="2931" t="s">
        <v>1432</v>
      </c>
      <c r="E31" s="2930"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0"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0"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0"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5">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408"/>
      <c r="B54" s="1828" t="s">
        <v>1389</v>
      </c>
      <c r="C54" s="1180"/>
      <c r="D54" s="1827"/>
      <c r="E54" s="293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4"/>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2" priority="4">
      <formula>$L$48&gt;$J$51</formula>
    </cfRule>
  </conditionalFormatting>
  <conditionalFormatting sqref="I55 I60">
    <cfRule type="expression" dxfId="41" priority="5">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5"/>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0" t="e">
        <f ca="1">IF(C2="——",IF(B37="元/平方米",ROUND(C39*D3/10000,0),ROUND(F3*C39/10000,0)),IF(B37="元/平方米",ROUND(C39*D3/10000,0),ROUND(F3*C39/10000,0))-D2)</f>
        <v>#DIV/0!</v>
      </c>
      <c r="C2" s="2587"/>
      <c r="D2" s="1126" t="e">
        <f ca="1">SUMIF(INDIRECT("'"&amp;F2&amp;"'"&amp;"!A:A"),"承租人权益价值",INDIRECT("'"&amp;F2&amp;"'"&amp;"!c:c"))</f>
        <v>#REF!</v>
      </c>
      <c r="E2" s="2588" t="s">
        <v>2330</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5" t="s">
        <v>2551</v>
      </c>
      <c r="Q7" s="3197"/>
      <c r="R7" s="770" t="s">
        <v>17</v>
      </c>
      <c r="S7" s="771">
        <f t="shared" ref="S7:S14" si="0">F7</f>
        <v>0</v>
      </c>
      <c r="T7" s="770" t="s">
        <v>17</v>
      </c>
      <c r="U7" s="771">
        <f t="shared" ref="U7:U14" si="1">H7</f>
        <v>0</v>
      </c>
      <c r="V7" s="770" t="s">
        <v>17</v>
      </c>
      <c r="W7" s="771">
        <f t="shared" ref="W7:W14" si="2">J7</f>
        <v>0</v>
      </c>
      <c r="X7" s="772"/>
      <c r="Y7" s="3195" t="s">
        <v>2551</v>
      </c>
      <c r="Z7" s="3196"/>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59" t="s">
        <v>2557</v>
      </c>
      <c r="Q9" s="1798" t="str">
        <f t="shared" ref="Q9:Q14" si="6">B9</f>
        <v>用途</v>
      </c>
      <c r="R9" s="770" t="s">
        <v>17</v>
      </c>
      <c r="S9" s="771">
        <f t="shared" si="0"/>
        <v>100</v>
      </c>
      <c r="T9" s="770" t="s">
        <v>17</v>
      </c>
      <c r="U9" s="771">
        <f t="shared" si="1"/>
        <v>100</v>
      </c>
      <c r="V9" s="770" t="s">
        <v>17</v>
      </c>
      <c r="W9" s="771">
        <f t="shared" si="2"/>
        <v>100</v>
      </c>
      <c r="X9" s="772"/>
      <c r="Y9" s="3011"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59"/>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59"/>
      <c r="Q11" s="1798">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01" t="s">
        <v>2561</v>
      </c>
      <c r="B14" s="629" t="s">
        <v>2711</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1" t="s">
        <v>2562</v>
      </c>
      <c r="Q14" s="1813" t="str">
        <f t="shared" si="6"/>
        <v>交通便捷度</v>
      </c>
      <c r="R14" s="774" t="s">
        <v>17</v>
      </c>
      <c r="S14" s="775">
        <f t="shared" si="0"/>
        <v>100</v>
      </c>
      <c r="T14" s="774" t="s">
        <v>17</v>
      </c>
      <c r="U14" s="775">
        <f t="shared" si="1"/>
        <v>100</v>
      </c>
      <c r="V14" s="774" t="s">
        <v>17</v>
      </c>
      <c r="W14" s="775">
        <f t="shared" si="2"/>
        <v>100</v>
      </c>
      <c r="X14" s="1816"/>
      <c r="Y14" s="3161"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62"/>
      <c r="Q15" s="1813"/>
      <c r="R15" s="774"/>
      <c r="S15" s="775"/>
      <c r="T15" s="774"/>
      <c r="U15" s="775"/>
      <c r="V15" s="774"/>
      <c r="W15" s="775"/>
      <c r="X15" s="1816"/>
      <c r="Y15" s="3162"/>
      <c r="Z15" s="1817"/>
      <c r="AA15" s="1814">
        <v>1</v>
      </c>
      <c r="AB15" s="1814">
        <v>1</v>
      </c>
      <c r="AC15" s="1814">
        <v>1</v>
      </c>
    </row>
    <row r="16" spans="1:29" ht="42.75">
      <c r="A16" s="404"/>
      <c r="B16" s="631" t="s">
        <v>2690</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62"/>
      <c r="Q16" s="1813" t="str">
        <f>B16</f>
        <v>公共配套设施</v>
      </c>
      <c r="R16" s="774" t="s">
        <v>17</v>
      </c>
      <c r="S16" s="775">
        <f>F16</f>
        <v>100</v>
      </c>
      <c r="T16" s="774" t="s">
        <v>17</v>
      </c>
      <c r="U16" s="775">
        <f>H16</f>
        <v>100</v>
      </c>
      <c r="V16" s="774" t="s">
        <v>17</v>
      </c>
      <c r="W16" s="775">
        <f>J16</f>
        <v>100</v>
      </c>
      <c r="X16" s="1816"/>
      <c r="Y16" s="3162"/>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2"/>
      <c r="M17" s="1133"/>
      <c r="N17" s="1133"/>
      <c r="O17" s="1133"/>
      <c r="P17" s="3162"/>
      <c r="Q17" s="1813"/>
      <c r="R17" s="774"/>
      <c r="S17" s="775"/>
      <c r="T17" s="774"/>
      <c r="U17" s="775"/>
      <c r="V17" s="774"/>
      <c r="W17" s="775"/>
      <c r="X17" s="1816"/>
      <c r="Y17" s="3162"/>
      <c r="Z17" s="1817"/>
      <c r="AA17" s="1814">
        <v>1</v>
      </c>
      <c r="AB17" s="1814">
        <v>1</v>
      </c>
      <c r="AC17" s="1814">
        <v>1</v>
      </c>
    </row>
    <row r="18" spans="1:29" ht="28.5">
      <c r="A18" s="404"/>
      <c r="B18" s="633" t="s">
        <v>2691</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62"/>
      <c r="Q18" s="1813" t="str">
        <f>B18</f>
        <v>基础设施水平</v>
      </c>
      <c r="R18" s="774" t="s">
        <v>17</v>
      </c>
      <c r="S18" s="775">
        <f>F18</f>
        <v>100</v>
      </c>
      <c r="T18" s="774" t="s">
        <v>17</v>
      </c>
      <c r="U18" s="775">
        <f>H18</f>
        <v>100</v>
      </c>
      <c r="V18" s="774" t="s">
        <v>17</v>
      </c>
      <c r="W18" s="775">
        <f>J18</f>
        <v>100</v>
      </c>
      <c r="X18" s="1816"/>
      <c r="Y18" s="3162"/>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5"/>
      <c r="L19" s="1142"/>
      <c r="M19" s="1133"/>
      <c r="N19" s="1133"/>
      <c r="O19" s="1133"/>
      <c r="P19" s="3162"/>
      <c r="Q19" s="1813"/>
      <c r="R19" s="774"/>
      <c r="S19" s="775"/>
      <c r="T19" s="774"/>
      <c r="U19" s="775"/>
      <c r="V19" s="774"/>
      <c r="W19" s="775"/>
      <c r="X19" s="1816"/>
      <c r="Y19" s="3162"/>
      <c r="Z19" s="1817"/>
      <c r="AA19" s="1814">
        <v>1</v>
      </c>
      <c r="AB19" s="1814">
        <v>1</v>
      </c>
      <c r="AC19" s="1814">
        <v>1</v>
      </c>
    </row>
    <row r="20" spans="1:29" ht="57">
      <c r="A20" s="404"/>
      <c r="B20" s="631" t="s">
        <v>2712</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62"/>
      <c r="Q20" s="1813" t="str">
        <f>B20</f>
        <v>自然及人文环境</v>
      </c>
      <c r="R20" s="774" t="s">
        <v>17</v>
      </c>
      <c r="S20" s="775">
        <f>F20</f>
        <v>100</v>
      </c>
      <c r="T20" s="774" t="s">
        <v>17</v>
      </c>
      <c r="U20" s="775">
        <f>H20</f>
        <v>100</v>
      </c>
      <c r="V20" s="774" t="s">
        <v>17</v>
      </c>
      <c r="W20" s="775">
        <f>J20</f>
        <v>100</v>
      </c>
      <c r="X20" s="1816"/>
      <c r="Y20" s="316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62"/>
      <c r="Q21" s="1813"/>
      <c r="R21" s="774"/>
      <c r="S21" s="775"/>
      <c r="T21" s="774"/>
      <c r="U21" s="775"/>
      <c r="V21" s="774"/>
      <c r="W21" s="775"/>
      <c r="X21" s="1816"/>
      <c r="Y21" s="3162"/>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62"/>
      <c r="Q22" s="1813" t="str">
        <f>B22</f>
        <v>楼层</v>
      </c>
      <c r="R22" s="774" t="s">
        <v>17</v>
      </c>
      <c r="S22" s="775">
        <f>F22</f>
        <v>100</v>
      </c>
      <c r="T22" s="774" t="s">
        <v>17</v>
      </c>
      <c r="U22" s="775">
        <f>H22</f>
        <v>100</v>
      </c>
      <c r="V22" s="774" t="s">
        <v>17</v>
      </c>
      <c r="W22" s="775">
        <f>J22</f>
        <v>100</v>
      </c>
      <c r="X22" s="1816"/>
      <c r="Y22" s="316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62"/>
      <c r="Q23" s="1813">
        <f>B23</f>
        <v>111</v>
      </c>
      <c r="R23" s="774" t="s">
        <v>17</v>
      </c>
      <c r="S23" s="775">
        <f>F23</f>
        <v>100</v>
      </c>
      <c r="T23" s="774" t="s">
        <v>17</v>
      </c>
      <c r="U23" s="775">
        <f>H23</f>
        <v>100</v>
      </c>
      <c r="V23" s="774" t="s">
        <v>17</v>
      </c>
      <c r="W23" s="775">
        <f>J23</f>
        <v>100</v>
      </c>
      <c r="X23" s="1816"/>
      <c r="Y23" s="316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62"/>
      <c r="Q24" s="1813">
        <f t="shared" ref="Q24:Q36" si="11">B24</f>
        <v>111</v>
      </c>
      <c r="R24" s="774" t="s">
        <v>17</v>
      </c>
      <c r="S24" s="775">
        <f>F24</f>
        <v>100</v>
      </c>
      <c r="T24" s="774" t="s">
        <v>17</v>
      </c>
      <c r="U24" s="775">
        <f>H24</f>
        <v>100</v>
      </c>
      <c r="V24" s="774" t="s">
        <v>17</v>
      </c>
      <c r="W24" s="775">
        <f>J24</f>
        <v>100</v>
      </c>
      <c r="X24" s="1816"/>
      <c r="Y24" s="316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62"/>
      <c r="Q25" s="1798">
        <f t="shared" si="11"/>
        <v>111</v>
      </c>
      <c r="R25" s="770" t="s">
        <v>17</v>
      </c>
      <c r="S25" s="771">
        <f>F25</f>
        <v>100</v>
      </c>
      <c r="T25" s="770" t="s">
        <v>17</v>
      </c>
      <c r="U25" s="771">
        <f>H25</f>
        <v>100</v>
      </c>
      <c r="V25" s="770" t="s">
        <v>17</v>
      </c>
      <c r="W25" s="771">
        <f>J25</f>
        <v>100</v>
      </c>
      <c r="X25" s="772"/>
      <c r="Y25" s="3162"/>
      <c r="Z25" s="55">
        <f>Q25</f>
        <v>111</v>
      </c>
      <c r="AA25" s="1814">
        <f>D25/F25</f>
        <v>1</v>
      </c>
      <c r="AB25" s="1814">
        <f>D25/H25</f>
        <v>1</v>
      </c>
      <c r="AC25" s="1814">
        <f>D25/J25</f>
        <v>1</v>
      </c>
    </row>
    <row r="26" spans="1:29" ht="15">
      <c r="A26" s="652" t="s">
        <v>2565</v>
      </c>
      <c r="B26" s="70" t="s">
        <v>2714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06"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6"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66"/>
      <c r="Q27" s="776" t="str">
        <f t="shared" si="11"/>
        <v>项目停车位配比</v>
      </c>
      <c r="R27" s="777" t="s">
        <v>17</v>
      </c>
      <c r="S27" s="778">
        <f t="shared" si="12"/>
        <v>100</v>
      </c>
      <c r="T27" s="777" t="s">
        <v>17</v>
      </c>
      <c r="U27" s="778">
        <f t="shared" si="13"/>
        <v>100</v>
      </c>
      <c r="V27" s="777" t="s">
        <v>17</v>
      </c>
      <c r="W27" s="778">
        <f t="shared" si="14"/>
        <v>100</v>
      </c>
      <c r="X27" s="779"/>
      <c r="Y27" s="3166"/>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66"/>
      <c r="Q28" s="1813" t="str">
        <f t="shared" si="11"/>
        <v>公共部分装修</v>
      </c>
      <c r="R28" s="774" t="s">
        <v>17</v>
      </c>
      <c r="S28" s="775">
        <f t="shared" si="12"/>
        <v>100</v>
      </c>
      <c r="T28" s="774" t="s">
        <v>17</v>
      </c>
      <c r="U28" s="775">
        <f t="shared" si="13"/>
        <v>100</v>
      </c>
      <c r="V28" s="774" t="s">
        <v>17</v>
      </c>
      <c r="W28" s="775">
        <f t="shared" si="14"/>
        <v>100</v>
      </c>
      <c r="X28" s="1816"/>
      <c r="Y28" s="3166"/>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66"/>
      <c r="Q29" s="1813" t="str">
        <f t="shared" si="11"/>
        <v>成新率</v>
      </c>
      <c r="R29" s="774" t="s">
        <v>17</v>
      </c>
      <c r="S29" s="775" t="e">
        <f t="shared" si="12"/>
        <v>#N/A</v>
      </c>
      <c r="T29" s="774" t="s">
        <v>17</v>
      </c>
      <c r="U29" s="775" t="e">
        <f t="shared" si="13"/>
        <v>#N/A</v>
      </c>
      <c r="V29" s="774" t="s">
        <v>17</v>
      </c>
      <c r="W29" s="775" t="e">
        <f t="shared" si="14"/>
        <v>#N/A</v>
      </c>
      <c r="X29" s="1816"/>
      <c r="Y29" s="3166"/>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66"/>
      <c r="Q30" s="1813" t="str">
        <f t="shared" si="11"/>
        <v>物业等级</v>
      </c>
      <c r="R30" s="774" t="s">
        <v>17</v>
      </c>
      <c r="S30" s="775">
        <f t="shared" si="12"/>
        <v>100</v>
      </c>
      <c r="T30" s="774" t="s">
        <v>17</v>
      </c>
      <c r="U30" s="775">
        <f t="shared" si="13"/>
        <v>100</v>
      </c>
      <c r="V30" s="774" t="s">
        <v>17</v>
      </c>
      <c r="W30" s="775">
        <f t="shared" si="14"/>
        <v>100</v>
      </c>
      <c r="X30" s="1816"/>
      <c r="Y30" s="3166"/>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66"/>
      <c r="Q31" s="1798" t="str">
        <f t="shared" si="11"/>
        <v>停车位面积</v>
      </c>
      <c r="R31" s="770" t="s">
        <v>17</v>
      </c>
      <c r="S31" s="771" t="e">
        <f t="shared" si="12"/>
        <v>#N/A</v>
      </c>
      <c r="T31" s="770" t="s">
        <v>17</v>
      </c>
      <c r="U31" s="771" t="e">
        <f t="shared" si="13"/>
        <v>#N/A</v>
      </c>
      <c r="V31" s="770" t="s">
        <v>17</v>
      </c>
      <c r="W31" s="771" t="e">
        <f t="shared" si="14"/>
        <v>#N/A</v>
      </c>
      <c r="X31" s="772"/>
      <c r="Y31" s="3166"/>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66" t="s">
        <v>2567</v>
      </c>
      <c r="Q32" s="1813" t="str">
        <f t="shared" si="11"/>
        <v>车位类型</v>
      </c>
      <c r="R32" s="774" t="s">
        <v>17</v>
      </c>
      <c r="S32" s="775">
        <f t="shared" si="12"/>
        <v>100</v>
      </c>
      <c r="T32" s="774" t="s">
        <v>17</v>
      </c>
      <c r="U32" s="775">
        <f t="shared" si="13"/>
        <v>100</v>
      </c>
      <c r="V32" s="774" t="s">
        <v>17</v>
      </c>
      <c r="W32" s="775">
        <f t="shared" si="14"/>
        <v>100</v>
      </c>
      <c r="X32" s="1816"/>
      <c r="Y32" s="3166"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66"/>
      <c r="Q33" s="1813" t="str">
        <f t="shared" si="11"/>
        <v>是否直接入户</v>
      </c>
      <c r="R33" s="774" t="s">
        <v>17</v>
      </c>
      <c r="S33" s="775">
        <f t="shared" si="12"/>
        <v>100</v>
      </c>
      <c r="T33" s="774" t="s">
        <v>17</v>
      </c>
      <c r="U33" s="775">
        <f t="shared" si="13"/>
        <v>100</v>
      </c>
      <c r="V33" s="774" t="s">
        <v>17</v>
      </c>
      <c r="W33" s="775">
        <f t="shared" si="14"/>
        <v>100</v>
      </c>
      <c r="X33" s="1816"/>
      <c r="Y33" s="316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66"/>
      <c r="Q34" s="1813">
        <f t="shared" si="11"/>
        <v>111</v>
      </c>
      <c r="R34" s="774" t="s">
        <v>17</v>
      </c>
      <c r="S34" s="775">
        <f t="shared" si="12"/>
        <v>100</v>
      </c>
      <c r="T34" s="774" t="s">
        <v>17</v>
      </c>
      <c r="U34" s="775">
        <f t="shared" si="13"/>
        <v>100</v>
      </c>
      <c r="V34" s="774" t="s">
        <v>17</v>
      </c>
      <c r="W34" s="775">
        <f t="shared" si="14"/>
        <v>100</v>
      </c>
      <c r="X34" s="1816"/>
      <c r="Y34" s="316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66"/>
      <c r="Q35" s="776">
        <f t="shared" si="11"/>
        <v>111</v>
      </c>
      <c r="R35" s="777" t="s">
        <v>17</v>
      </c>
      <c r="S35" s="778">
        <f t="shared" si="12"/>
        <v>100</v>
      </c>
      <c r="T35" s="777" t="s">
        <v>17</v>
      </c>
      <c r="U35" s="778">
        <f t="shared" si="13"/>
        <v>100</v>
      </c>
      <c r="V35" s="777" t="s">
        <v>17</v>
      </c>
      <c r="W35" s="778">
        <f t="shared" si="14"/>
        <v>100</v>
      </c>
      <c r="X35" s="779"/>
      <c r="Y35" s="316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66"/>
      <c r="Q36" s="1813">
        <f t="shared" si="11"/>
        <v>111</v>
      </c>
      <c r="R36" s="774" t="s">
        <v>17</v>
      </c>
      <c r="S36" s="775">
        <f t="shared" si="12"/>
        <v>100</v>
      </c>
      <c r="T36" s="774" t="s">
        <v>17</v>
      </c>
      <c r="U36" s="775">
        <f t="shared" si="13"/>
        <v>100</v>
      </c>
      <c r="V36" s="774" t="s">
        <v>17</v>
      </c>
      <c r="W36" s="775">
        <f t="shared" si="14"/>
        <v>100</v>
      </c>
      <c r="X36" s="1816"/>
      <c r="Y36" s="3166"/>
      <c r="Z36" s="1817">
        <f t="shared" si="15"/>
        <v>111</v>
      </c>
      <c r="AA36" s="1814">
        <f t="shared" si="3"/>
        <v>1</v>
      </c>
      <c r="AB36" s="1814">
        <f t="shared" si="4"/>
        <v>1</v>
      </c>
      <c r="AC36" s="1814">
        <f t="shared" si="5"/>
        <v>1</v>
      </c>
    </row>
    <row r="37" spans="1:29" ht="15">
      <c r="A37" s="479" t="s">
        <v>2722</v>
      </c>
      <c r="B37" s="2696" t="s">
        <v>2723</v>
      </c>
      <c r="C37" s="1409" t="s">
        <v>1</v>
      </c>
      <c r="D37" s="1410"/>
      <c r="E37" s="1411">
        <v>7000</v>
      </c>
      <c r="F37" s="1412"/>
      <c r="G37" s="1413">
        <v>7000</v>
      </c>
      <c r="H37" s="1414"/>
      <c r="I37" s="1411">
        <v>7000</v>
      </c>
      <c r="J37" s="1414"/>
      <c r="K37" s="619"/>
      <c r="L37" s="1145"/>
      <c r="M37" s="1146"/>
      <c r="N37" s="1133"/>
      <c r="O37" s="1146"/>
      <c r="P37" s="3159" t="str">
        <f>A37</f>
        <v>成交单价</v>
      </c>
      <c r="Q37" s="3159"/>
      <c r="R37" s="3160">
        <f>E37</f>
        <v>7000</v>
      </c>
      <c r="S37" s="3160"/>
      <c r="T37" s="3160">
        <f>G37</f>
        <v>7000</v>
      </c>
      <c r="U37" s="3160"/>
      <c r="V37" s="3160">
        <f>I37</f>
        <v>7000</v>
      </c>
      <c r="W37" s="3160"/>
      <c r="X37" s="759"/>
      <c r="Y37" s="781"/>
      <c r="Z37" s="759"/>
      <c r="AA37" s="759"/>
      <c r="AB37" s="759"/>
      <c r="AC37" s="759"/>
    </row>
    <row r="38" spans="1:29" ht="15.75" thickBot="1">
      <c r="A38" s="486" t="s">
        <v>2724</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59" t="str">
        <f>A38</f>
        <v>比较价值（元/平方米）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759"/>
      <c r="Y38" s="759"/>
      <c r="Z38" s="759"/>
      <c r="AA38" s="759"/>
      <c r="AB38" s="759"/>
      <c r="AC38" s="759"/>
    </row>
    <row r="39" spans="1:29" ht="15.75" thickBot="1">
      <c r="A39" s="492" t="s">
        <v>2725</v>
      </c>
      <c r="B39" s="493"/>
      <c r="C39" s="1419" t="e">
        <f>R39</f>
        <v>#DIV/0!</v>
      </c>
      <c r="D39" s="1419"/>
      <c r="E39" s="1419"/>
      <c r="F39" s="1419"/>
      <c r="G39" s="1419"/>
      <c r="H39" s="1419"/>
      <c r="I39" s="1419"/>
      <c r="J39" s="1419"/>
      <c r="K39" s="621"/>
      <c r="L39" s="1145"/>
      <c r="M39" s="1146"/>
      <c r="N39" s="1146"/>
      <c r="O39" s="1146"/>
      <c r="P39" s="3156" t="str">
        <f>A39</f>
        <v>估价对象XX用房的比较价值（楼面单价，元/平方米）</v>
      </c>
      <c r="Q39" s="3157"/>
      <c r="R39" s="3158" t="e">
        <f>IF(F1="售价",ROUND(AVERAGE(R38:V38),0),ROUND(AVERAGE(R38:V38),1))</f>
        <v>#DIV/0!</v>
      </c>
      <c r="S39" s="3158"/>
      <c r="T39" s="3158"/>
      <c r="U39" s="3158"/>
      <c r="V39" s="3158"/>
      <c r="W39" s="3158"/>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2728</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2730</v>
      </c>
      <c r="B48" s="506"/>
      <c r="C48" s="1577" t="str">
        <f>YEAR(C7)&amp;"-"&amp;MONTH(C7)</f>
        <v>2017-12</v>
      </c>
      <c r="D48" s="1578">
        <f>EDATE(C48,-1)</f>
        <v>43040</v>
      </c>
      <c r="E48" s="1578">
        <f t="shared" ref="E48:O48" si="16">EDATE(D48,-1)</f>
        <v>43009</v>
      </c>
      <c r="F48" s="1578">
        <f t="shared" si="16"/>
        <v>42979</v>
      </c>
      <c r="G48" s="1578">
        <f t="shared" si="16"/>
        <v>42948</v>
      </c>
      <c r="H48" s="1578">
        <f t="shared" si="16"/>
        <v>42917</v>
      </c>
      <c r="I48" s="1578">
        <f t="shared" si="16"/>
        <v>42887</v>
      </c>
      <c r="J48" s="1578">
        <f t="shared" si="16"/>
        <v>42856</v>
      </c>
      <c r="K48" s="1578">
        <f t="shared" si="16"/>
        <v>42826</v>
      </c>
      <c r="L48" s="1578">
        <f t="shared" si="16"/>
        <v>42795</v>
      </c>
      <c r="M48" s="1578">
        <f t="shared" si="16"/>
        <v>42767</v>
      </c>
      <c r="N48" s="1578">
        <f t="shared" si="16"/>
        <v>42736</v>
      </c>
      <c r="O48" s="1578">
        <f t="shared" si="16"/>
        <v>42705</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2587</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2552</v>
      </c>
      <c r="B51" s="510"/>
      <c r="C51" s="522" t="s">
        <v>2654</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2590</v>
      </c>
      <c r="B53" s="528" t="s">
        <v>2556</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2605</v>
      </c>
      <c r="C65" s="578" t="s">
        <v>2599</v>
      </c>
      <c r="D65" s="578" t="s">
        <v>2600</v>
      </c>
      <c r="E65" s="578" t="s">
        <v>2601</v>
      </c>
      <c r="F65" s="578" t="s">
        <v>2602</v>
      </c>
      <c r="G65" s="578" t="s">
        <v>2603</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2691</v>
      </c>
      <c r="C67" s="660" t="s">
        <v>2677</v>
      </c>
      <c r="D67" s="660" t="s">
        <v>2678</v>
      </c>
      <c r="E67" s="660" t="s">
        <v>2679</v>
      </c>
      <c r="F67" s="660" t="s">
        <v>2680</v>
      </c>
      <c r="G67" s="660" t="s">
        <v>2681</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2611</v>
      </c>
      <c r="C69" s="578" t="s">
        <v>2599</v>
      </c>
      <c r="D69" s="578" t="s">
        <v>2600</v>
      </c>
      <c r="E69" s="578" t="s">
        <v>2601</v>
      </c>
      <c r="F69" s="578" t="s">
        <v>2602</v>
      </c>
      <c r="G69" s="578" t="s">
        <v>2603</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2731</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2565</v>
      </c>
      <c r="B79" s="528" t="s">
        <v>2732</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2733</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2618</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2735</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2737</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2738</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0</v>
      </c>
      <c r="D6" s="164" t="s">
        <v>3036</v>
      </c>
      <c r="E6" s="347" t="s">
        <v>1406</v>
      </c>
      <c r="F6" s="348">
        <f ca="1">INDIRECT("'数据-取费表'!u"&amp;$G$1)</f>
        <v>0</v>
      </c>
      <c r="G6" s="1854"/>
      <c r="H6" s="1293" t="s">
        <v>1035</v>
      </c>
      <c r="I6" s="3219" t="s">
        <v>1404</v>
      </c>
      <c r="J6" s="346">
        <f ca="1">ROUND(M6*M8*M7*(1-M9)/10000,0)</f>
        <v>0</v>
      </c>
      <c r="K6" s="164" t="s">
        <v>3035</v>
      </c>
      <c r="L6" s="347" t="s">
        <v>1406</v>
      </c>
      <c r="M6" s="348">
        <f ca="1">INDIRECT("'数据-取费表'!z"&amp;$G$1)</f>
        <v>0</v>
      </c>
    </row>
    <row r="7" spans="1:37" ht="18" customHeight="1">
      <c r="A7" s="1297"/>
      <c r="B7" s="3220"/>
      <c r="C7" s="1299"/>
      <c r="D7" s="352"/>
      <c r="E7" s="2938"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3037</v>
      </c>
      <c r="E10" s="358" t="s">
        <v>1412</v>
      </c>
      <c r="F10" s="1368"/>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1" t="s">
        <v>1420</v>
      </c>
      <c r="E14" s="2929"/>
      <c r="F14" s="364"/>
      <c r="G14" s="1854"/>
      <c r="H14" s="1203" t="s">
        <v>1035</v>
      </c>
      <c r="I14" s="347" t="s">
        <v>1421</v>
      </c>
      <c r="J14" s="24">
        <f ca="1">C29</f>
        <v>0</v>
      </c>
      <c r="K14" s="2937"/>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2"/>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1" t="s">
        <v>1432</v>
      </c>
      <c r="L17" s="2930"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0"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6"/>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6"/>
      <c r="F22" s="26"/>
      <c r="G22" s="1854"/>
      <c r="H22" s="1203" t="s">
        <v>1039</v>
      </c>
      <c r="I22" s="347" t="s">
        <v>1451</v>
      </c>
      <c r="J22" s="24">
        <f ca="1">ROUND(J14*M22,1)</f>
        <v>0</v>
      </c>
      <c r="K22" s="2930"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0"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6"/>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2"/>
      <c r="F30" s="1296"/>
      <c r="G30" s="1854"/>
      <c r="H30" s="745"/>
      <c r="I30" s="746"/>
      <c r="J30" s="747"/>
      <c r="K30" s="748"/>
      <c r="L30" s="749"/>
      <c r="M30" s="750"/>
    </row>
    <row r="31" spans="1:37" ht="18" customHeight="1">
      <c r="A31" s="1203" t="s">
        <v>1035</v>
      </c>
      <c r="B31" s="347" t="s">
        <v>1431</v>
      </c>
      <c r="C31" s="24">
        <f ca="1">ROUND(IF(项目基本情况!B11="自然人",C5*F31,C32+C33+C34),1)</f>
        <v>0</v>
      </c>
      <c r="D31" s="2931" t="s">
        <v>1432</v>
      </c>
      <c r="E31" s="2930"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0"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0"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0"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5">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408"/>
      <c r="B54" s="1828" t="s">
        <v>1389</v>
      </c>
      <c r="C54" s="1180"/>
      <c r="D54" s="1827"/>
      <c r="E54" s="293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4"/>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20" sqref="M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IF(C2="——",ROUND(C37*D3/10000,0),ROUND(C37*D3/10000,0)-D2)</f>
        <v>#DIV/0!</v>
      </c>
      <c r="C2" s="2587"/>
      <c r="D2" s="1126" t="e">
        <f ca="1">SUMIF(INDIRECT("'"&amp;F2&amp;"'"&amp;"!A:A"),"承租人权益价值",INDIRECT("'"&amp;F2&amp;"'"&amp;"!c:c"))</f>
        <v>#REF!</v>
      </c>
      <c r="E2" s="2588" t="s">
        <v>2330</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95" t="s">
        <v>2551</v>
      </c>
      <c r="Q7" s="3197"/>
      <c r="R7" s="770" t="s">
        <v>17</v>
      </c>
      <c r="S7" s="771">
        <f t="shared" ref="S7:S14" si="0">F7</f>
        <v>0</v>
      </c>
      <c r="T7" s="770" t="s">
        <v>17</v>
      </c>
      <c r="U7" s="771">
        <f t="shared" ref="U7:U14" si="1">H7</f>
        <v>0</v>
      </c>
      <c r="V7" s="770" t="s">
        <v>17</v>
      </c>
      <c r="W7" s="771">
        <f t="shared" ref="W7:W14" si="2">J7</f>
        <v>0</v>
      </c>
      <c r="X7" s="772"/>
      <c r="Y7" s="3195" t="s">
        <v>2551</v>
      </c>
      <c r="Z7" s="3196"/>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59" t="s">
        <v>2557</v>
      </c>
      <c r="Q9" s="1798" t="str">
        <f t="shared" ref="Q9:Q14" si="6">B9</f>
        <v>用途</v>
      </c>
      <c r="R9" s="770" t="s">
        <v>17</v>
      </c>
      <c r="S9" s="771">
        <f t="shared" si="0"/>
        <v>100</v>
      </c>
      <c r="T9" s="770" t="s">
        <v>17</v>
      </c>
      <c r="U9" s="771">
        <f t="shared" si="1"/>
        <v>100</v>
      </c>
      <c r="V9" s="770" t="s">
        <v>17</v>
      </c>
      <c r="W9" s="771">
        <f t="shared" si="2"/>
        <v>100</v>
      </c>
      <c r="X9" s="772"/>
      <c r="Y9" s="3011"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59"/>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59"/>
      <c r="Q11" s="1798">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40" t="s">
        <v>2561</v>
      </c>
      <c r="B14" s="69" t="s">
        <v>2711</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1" t="s">
        <v>2562</v>
      </c>
      <c r="Q14" s="1813" t="str">
        <f t="shared" si="6"/>
        <v>交通便捷度</v>
      </c>
      <c r="R14" s="774" t="s">
        <v>17</v>
      </c>
      <c r="S14" s="775">
        <f t="shared" si="0"/>
        <v>100</v>
      </c>
      <c r="T14" s="774" t="s">
        <v>17</v>
      </c>
      <c r="U14" s="775">
        <f t="shared" si="1"/>
        <v>100</v>
      </c>
      <c r="V14" s="774" t="s">
        <v>17</v>
      </c>
      <c r="W14" s="775">
        <f t="shared" si="2"/>
        <v>100</v>
      </c>
      <c r="X14" s="1816"/>
      <c r="Y14" s="3161"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62"/>
      <c r="Q15" s="1813"/>
      <c r="R15" s="774"/>
      <c r="S15" s="775"/>
      <c r="T15" s="774"/>
      <c r="U15" s="775"/>
      <c r="V15" s="774"/>
      <c r="W15" s="775"/>
      <c r="X15" s="1816"/>
      <c r="Y15" s="3162"/>
      <c r="Z15" s="1817"/>
      <c r="AA15" s="1814">
        <v>1</v>
      </c>
      <c r="AB15" s="1814">
        <v>1</v>
      </c>
      <c r="AC15" s="1814">
        <v>1</v>
      </c>
    </row>
    <row r="16" spans="1:29" ht="42.75">
      <c r="A16" s="428"/>
      <c r="B16" s="451" t="s">
        <v>2690</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62"/>
      <c r="Q16" s="1813" t="str">
        <f>B16</f>
        <v>公共配套设施</v>
      </c>
      <c r="R16" s="774" t="s">
        <v>17</v>
      </c>
      <c r="S16" s="775">
        <f>F16</f>
        <v>100</v>
      </c>
      <c r="T16" s="774" t="s">
        <v>17</v>
      </c>
      <c r="U16" s="775">
        <f>H16</f>
        <v>100</v>
      </c>
      <c r="V16" s="774" t="s">
        <v>17</v>
      </c>
      <c r="W16" s="775">
        <f>J16</f>
        <v>100</v>
      </c>
      <c r="X16" s="1816"/>
      <c r="Y16" s="3162"/>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2"/>
      <c r="M17" s="1133"/>
      <c r="N17" s="1133"/>
      <c r="O17" s="1141"/>
      <c r="P17" s="3162"/>
      <c r="Q17" s="1813"/>
      <c r="R17" s="774"/>
      <c r="S17" s="775"/>
      <c r="T17" s="774"/>
      <c r="U17" s="775"/>
      <c r="V17" s="774"/>
      <c r="W17" s="775"/>
      <c r="X17" s="1816"/>
      <c r="Y17" s="3162"/>
      <c r="Z17" s="1817"/>
      <c r="AA17" s="1814">
        <v>1</v>
      </c>
      <c r="AB17" s="1814">
        <v>1</v>
      </c>
      <c r="AC17" s="1814">
        <v>1</v>
      </c>
    </row>
    <row r="18" spans="1:29" ht="28.5">
      <c r="A18" s="428"/>
      <c r="B18" s="1386" t="s">
        <v>2691</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62"/>
      <c r="Q18" s="1813" t="str">
        <f>B18</f>
        <v>基础设施水平</v>
      </c>
      <c r="R18" s="774" t="s">
        <v>17</v>
      </c>
      <c r="S18" s="775">
        <f>F18</f>
        <v>100</v>
      </c>
      <c r="T18" s="774" t="s">
        <v>17</v>
      </c>
      <c r="U18" s="775">
        <f>H18</f>
        <v>100</v>
      </c>
      <c r="V18" s="774" t="s">
        <v>17</v>
      </c>
      <c r="W18" s="775">
        <f>J18</f>
        <v>100</v>
      </c>
      <c r="X18" s="1816"/>
      <c r="Y18" s="3162"/>
      <c r="Z18" s="1817" t="str">
        <f>Q18</f>
        <v>基础设施水平</v>
      </c>
      <c r="AA18" s="1814">
        <f t="shared" ref="AA18" si="8">D18/F18</f>
        <v>1</v>
      </c>
      <c r="AB18" s="1814">
        <f t="shared" ref="AB18" si="9">D18/H18</f>
        <v>1</v>
      </c>
      <c r="AC18" s="1814">
        <f t="shared" ref="AC18" si="10">D18/J18</f>
        <v>1</v>
      </c>
    </row>
    <row r="19" spans="1:29" ht="15">
      <c r="A19" s="428"/>
      <c r="B19" s="1386"/>
      <c r="C19" s="2609"/>
      <c r="D19" s="450"/>
      <c r="E19" s="2609"/>
      <c r="F19" s="453"/>
      <c r="G19" s="2609"/>
      <c r="H19" s="448"/>
      <c r="I19" s="447"/>
      <c r="J19" s="448"/>
      <c r="K19" s="1385"/>
      <c r="L19" s="1142"/>
      <c r="M19" s="1133"/>
      <c r="N19" s="1133"/>
      <c r="O19" s="1141"/>
      <c r="P19" s="3162"/>
      <c r="Q19" s="1813"/>
      <c r="R19" s="774"/>
      <c r="S19" s="775"/>
      <c r="T19" s="774"/>
      <c r="U19" s="775"/>
      <c r="V19" s="774"/>
      <c r="W19" s="775"/>
      <c r="X19" s="1816"/>
      <c r="Y19" s="3162"/>
      <c r="Z19" s="1817"/>
      <c r="AA19" s="1814">
        <v>1</v>
      </c>
      <c r="AB19" s="1814">
        <v>1</v>
      </c>
      <c r="AC19" s="1814">
        <v>1</v>
      </c>
    </row>
    <row r="20" spans="1:29" ht="57">
      <c r="A20" s="428"/>
      <c r="B20" s="451" t="s">
        <v>2712</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62"/>
      <c r="Q20" s="1813" t="str">
        <f>B20</f>
        <v>自然及人文环境</v>
      </c>
      <c r="R20" s="774" t="s">
        <v>17</v>
      </c>
      <c r="S20" s="775">
        <f>F20</f>
        <v>100</v>
      </c>
      <c r="T20" s="774" t="s">
        <v>17</v>
      </c>
      <c r="U20" s="775">
        <f>H20</f>
        <v>100</v>
      </c>
      <c r="V20" s="774" t="s">
        <v>17</v>
      </c>
      <c r="W20" s="775">
        <f>J20</f>
        <v>100</v>
      </c>
      <c r="X20" s="1816"/>
      <c r="Y20" s="316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62"/>
      <c r="Q21" s="1813"/>
      <c r="R21" s="774"/>
      <c r="S21" s="775"/>
      <c r="T21" s="774"/>
      <c r="U21" s="775"/>
      <c r="V21" s="774"/>
      <c r="W21" s="775"/>
      <c r="X21" s="1816"/>
      <c r="Y21" s="3162"/>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62"/>
      <c r="Q22" s="1813" t="str">
        <f>B22</f>
        <v>楼层</v>
      </c>
      <c r="R22" s="774" t="s">
        <v>17</v>
      </c>
      <c r="S22" s="775">
        <f>F22</f>
        <v>100</v>
      </c>
      <c r="T22" s="774" t="s">
        <v>17</v>
      </c>
      <c r="U22" s="775">
        <f>H22</f>
        <v>100</v>
      </c>
      <c r="V22" s="774" t="s">
        <v>17</v>
      </c>
      <c r="W22" s="775">
        <f>J22</f>
        <v>100</v>
      </c>
      <c r="X22" s="1816"/>
      <c r="Y22" s="3162"/>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62"/>
      <c r="Q23" s="1813">
        <f>B23</f>
        <v>111</v>
      </c>
      <c r="R23" s="774" t="s">
        <v>17</v>
      </c>
      <c r="S23" s="775">
        <f>F23</f>
        <v>100</v>
      </c>
      <c r="T23" s="774" t="s">
        <v>17</v>
      </c>
      <c r="U23" s="775">
        <f>H23</f>
        <v>100</v>
      </c>
      <c r="V23" s="774" t="s">
        <v>17</v>
      </c>
      <c r="W23" s="775">
        <f>J23</f>
        <v>100</v>
      </c>
      <c r="X23" s="1816"/>
      <c r="Y23" s="3162"/>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62"/>
      <c r="Q24" s="1813">
        <f t="shared" ref="Q24:Q34" si="11">B24</f>
        <v>111</v>
      </c>
      <c r="R24" s="774" t="s">
        <v>17</v>
      </c>
      <c r="S24" s="775">
        <f>F24</f>
        <v>100</v>
      </c>
      <c r="T24" s="774" t="s">
        <v>17</v>
      </c>
      <c r="U24" s="775">
        <f>H24</f>
        <v>100</v>
      </c>
      <c r="V24" s="774" t="s">
        <v>17</v>
      </c>
      <c r="W24" s="775">
        <f>J24</f>
        <v>100</v>
      </c>
      <c r="X24" s="1816"/>
      <c r="Y24" s="3162"/>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162"/>
      <c r="Q25" s="1798">
        <f t="shared" si="11"/>
        <v>111</v>
      </c>
      <c r="R25" s="770" t="s">
        <v>17</v>
      </c>
      <c r="S25" s="771">
        <f>F25</f>
        <v>100</v>
      </c>
      <c r="T25" s="770" t="s">
        <v>17</v>
      </c>
      <c r="U25" s="771">
        <f>H25</f>
        <v>100</v>
      </c>
      <c r="V25" s="770" t="s">
        <v>17</v>
      </c>
      <c r="W25" s="771">
        <f>J25</f>
        <v>100</v>
      </c>
      <c r="X25" s="772"/>
      <c r="Y25" s="3162"/>
      <c r="Z25" s="55">
        <f>Q25</f>
        <v>111</v>
      </c>
      <c r="AA25" s="1814">
        <f>D25/F25</f>
        <v>1</v>
      </c>
      <c r="AB25" s="1814">
        <f>D25/H25</f>
        <v>1</v>
      </c>
      <c r="AC25" s="1814">
        <f>D25/J25</f>
        <v>1</v>
      </c>
    </row>
    <row r="26" spans="1:29" ht="15">
      <c r="A26" s="466" t="s">
        <v>2565</v>
      </c>
      <c r="B26" s="71" t="s">
        <v>2716</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06"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6"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66"/>
      <c r="Q27" s="776" t="str">
        <f t="shared" si="11"/>
        <v>成新率</v>
      </c>
      <c r="R27" s="777" t="s">
        <v>17</v>
      </c>
      <c r="S27" s="778" t="e">
        <f t="shared" si="12"/>
        <v>#N/A</v>
      </c>
      <c r="T27" s="777" t="s">
        <v>17</v>
      </c>
      <c r="U27" s="778" t="e">
        <f t="shared" si="13"/>
        <v>#N/A</v>
      </c>
      <c r="V27" s="777" t="s">
        <v>17</v>
      </c>
      <c r="W27" s="778" t="e">
        <f t="shared" si="14"/>
        <v>#N/A</v>
      </c>
      <c r="X27" s="779"/>
      <c r="Y27" s="3166"/>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66"/>
      <c r="Q28" s="1813" t="str">
        <f t="shared" si="11"/>
        <v>物业等级</v>
      </c>
      <c r="R28" s="774" t="s">
        <v>17</v>
      </c>
      <c r="S28" s="775">
        <f t="shared" si="12"/>
        <v>100</v>
      </c>
      <c r="T28" s="774" t="s">
        <v>17</v>
      </c>
      <c r="U28" s="775">
        <f t="shared" si="13"/>
        <v>100</v>
      </c>
      <c r="V28" s="774" t="s">
        <v>17</v>
      </c>
      <c r="W28" s="775">
        <f t="shared" si="14"/>
        <v>100</v>
      </c>
      <c r="X28" s="1816"/>
      <c r="Y28" s="3166"/>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66"/>
      <c r="Q29" s="1813" t="str">
        <f t="shared" si="11"/>
        <v>有无电梯</v>
      </c>
      <c r="R29" s="774" t="s">
        <v>17</v>
      </c>
      <c r="S29" s="775">
        <f t="shared" si="12"/>
        <v>100</v>
      </c>
      <c r="T29" s="774" t="s">
        <v>17</v>
      </c>
      <c r="U29" s="775">
        <f t="shared" si="13"/>
        <v>100</v>
      </c>
      <c r="V29" s="774" t="s">
        <v>17</v>
      </c>
      <c r="W29" s="775">
        <f t="shared" si="14"/>
        <v>100</v>
      </c>
      <c r="X29" s="1816"/>
      <c r="Y29" s="3166"/>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66"/>
      <c r="Q30" s="1813" t="str">
        <f t="shared" si="11"/>
        <v>建筑面积</v>
      </c>
      <c r="R30" s="774" t="s">
        <v>17</v>
      </c>
      <c r="S30" s="775" t="e">
        <f t="shared" si="12"/>
        <v>#N/A</v>
      </c>
      <c r="T30" s="774" t="s">
        <v>17</v>
      </c>
      <c r="U30" s="775" t="e">
        <f t="shared" si="13"/>
        <v>#N/A</v>
      </c>
      <c r="V30" s="774" t="s">
        <v>17</v>
      </c>
      <c r="W30" s="775" t="e">
        <f t="shared" si="14"/>
        <v>#N/A</v>
      </c>
      <c r="X30" s="1816"/>
      <c r="Y30" s="3166"/>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66"/>
      <c r="Q31" s="1798" t="str">
        <f t="shared" si="11"/>
        <v>是否封闭</v>
      </c>
      <c r="R31" s="770" t="s">
        <v>17</v>
      </c>
      <c r="S31" s="771">
        <f t="shared" si="12"/>
        <v>100</v>
      </c>
      <c r="T31" s="770" t="s">
        <v>17</v>
      </c>
      <c r="U31" s="771">
        <f t="shared" si="13"/>
        <v>100</v>
      </c>
      <c r="V31" s="770" t="s">
        <v>17</v>
      </c>
      <c r="W31" s="771">
        <f t="shared" si="14"/>
        <v>100</v>
      </c>
      <c r="X31" s="772"/>
      <c r="Y31" s="3166"/>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66" t="s">
        <v>2567</v>
      </c>
      <c r="Q32" s="1813">
        <f t="shared" si="11"/>
        <v>111</v>
      </c>
      <c r="R32" s="774" t="s">
        <v>17</v>
      </c>
      <c r="S32" s="775">
        <f t="shared" si="12"/>
        <v>100</v>
      </c>
      <c r="T32" s="774" t="s">
        <v>17</v>
      </c>
      <c r="U32" s="775">
        <f t="shared" si="13"/>
        <v>100</v>
      </c>
      <c r="V32" s="774" t="s">
        <v>17</v>
      </c>
      <c r="W32" s="775">
        <f t="shared" si="14"/>
        <v>100</v>
      </c>
      <c r="X32" s="1816"/>
      <c r="Y32" s="3166" t="s">
        <v>2567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66"/>
      <c r="Q33" s="1813">
        <f t="shared" si="11"/>
        <v>111</v>
      </c>
      <c r="R33" s="774" t="s">
        <v>17</v>
      </c>
      <c r="S33" s="775">
        <f t="shared" si="12"/>
        <v>100</v>
      </c>
      <c r="T33" s="774" t="s">
        <v>17</v>
      </c>
      <c r="U33" s="775">
        <f t="shared" si="13"/>
        <v>100</v>
      </c>
      <c r="V33" s="774" t="s">
        <v>17</v>
      </c>
      <c r="W33" s="775">
        <f t="shared" si="14"/>
        <v>100</v>
      </c>
      <c r="X33" s="1816"/>
      <c r="Y33" s="3166"/>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166"/>
      <c r="Q34" s="1813">
        <f t="shared" si="11"/>
        <v>111</v>
      </c>
      <c r="R34" s="774" t="s">
        <v>17</v>
      </c>
      <c r="S34" s="775">
        <f t="shared" si="12"/>
        <v>100</v>
      </c>
      <c r="T34" s="774" t="s">
        <v>17</v>
      </c>
      <c r="U34" s="775">
        <f t="shared" si="13"/>
        <v>100</v>
      </c>
      <c r="V34" s="774" t="s">
        <v>17</v>
      </c>
      <c r="W34" s="775">
        <f t="shared" si="14"/>
        <v>100</v>
      </c>
      <c r="X34" s="1816"/>
      <c r="Y34" s="3166"/>
      <c r="Z34" s="1817">
        <f t="shared" si="15"/>
        <v>111</v>
      </c>
      <c r="AA34" s="1814">
        <f t="shared" si="3"/>
        <v>1</v>
      </c>
      <c r="AB34" s="1814">
        <f t="shared" si="4"/>
        <v>1</v>
      </c>
      <c r="AC34" s="1814">
        <f t="shared" si="5"/>
        <v>1</v>
      </c>
    </row>
    <row r="35" spans="1:29" ht="15">
      <c r="A35" s="479" t="s">
        <v>2579</v>
      </c>
      <c r="B35" s="480"/>
      <c r="C35" s="1409" t="s">
        <v>1</v>
      </c>
      <c r="D35" s="1410"/>
      <c r="E35" s="1411"/>
      <c r="F35" s="1412"/>
      <c r="G35" s="1413"/>
      <c r="H35" s="1414"/>
      <c r="I35" s="1411"/>
      <c r="J35" s="1414"/>
      <c r="K35" s="783"/>
      <c r="L35" s="1145"/>
      <c r="M35" s="1146"/>
      <c r="N35" s="1133"/>
      <c r="O35" s="1146"/>
      <c r="P35" s="3159" t="str">
        <f>A35</f>
        <v>成交单价（元/平方米）</v>
      </c>
      <c r="Q35" s="3159"/>
      <c r="R35" s="3160">
        <f>E35</f>
        <v>0</v>
      </c>
      <c r="S35" s="3160"/>
      <c r="T35" s="3160">
        <f>G35</f>
        <v>0</v>
      </c>
      <c r="U35" s="3160"/>
      <c r="V35" s="3160">
        <f>I35</f>
        <v>0</v>
      </c>
      <c r="W35" s="3160"/>
      <c r="X35" s="759"/>
      <c r="Y35" s="781"/>
      <c r="Z35" s="759"/>
      <c r="AA35" s="759"/>
      <c r="AB35" s="759"/>
      <c r="AC35" s="759"/>
    </row>
    <row r="36" spans="1:29" ht="15.75" thickBot="1">
      <c r="A36" s="486" t="s">
        <v>2671</v>
      </c>
      <c r="B36" s="487"/>
      <c r="C36" s="1415" t="e">
        <f>R37</f>
        <v>#DIV/0!</v>
      </c>
      <c r="D36" s="1416"/>
      <c r="E36" s="1417" t="e">
        <f>R36</f>
        <v>#DIV/0!</v>
      </c>
      <c r="F36" s="1417"/>
      <c r="G36" s="1415" t="e">
        <f>T36</f>
        <v>#DIV/0!</v>
      </c>
      <c r="H36" s="1416"/>
      <c r="I36" s="1417" t="e">
        <f>V36</f>
        <v>#DIV/0!</v>
      </c>
      <c r="J36" s="1416"/>
      <c r="K36" s="784"/>
      <c r="L36" s="1145"/>
      <c r="M36" s="1146"/>
      <c r="N36" s="1133"/>
      <c r="O36" s="1146"/>
      <c r="P36" s="3159" t="str">
        <f>A36</f>
        <v>比较价值（元/平方米）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759"/>
      <c r="Y36" s="759"/>
      <c r="Z36" s="759"/>
      <c r="AA36" s="759"/>
      <c r="AB36" s="759"/>
      <c r="AC36" s="759"/>
    </row>
    <row r="37" spans="1:29" ht="15.75" thickBot="1">
      <c r="A37" s="492" t="s">
        <v>2672</v>
      </c>
      <c r="B37" s="493"/>
      <c r="C37" s="1419" t="e">
        <f>R37</f>
        <v>#DIV/0!</v>
      </c>
      <c r="D37" s="1419"/>
      <c r="E37" s="1419"/>
      <c r="F37" s="1419"/>
      <c r="G37" s="1419"/>
      <c r="H37" s="1419"/>
      <c r="I37" s="1419"/>
      <c r="J37" s="1419"/>
      <c r="K37" s="785"/>
      <c r="L37" s="1145"/>
      <c r="M37" s="1146"/>
      <c r="N37" s="1146"/>
      <c r="O37" s="1146"/>
      <c r="P37" s="3156" t="str">
        <f>A37</f>
        <v>估价对象XX用房的比较价值（楼面单价，元/平方米）</v>
      </c>
      <c r="Q37" s="3157"/>
      <c r="R37" s="3158" t="e">
        <f>IF(F1="售价",ROUND(AVERAGE(R36:V36),0),ROUND(AVERAGE(R36:V36),1))</f>
        <v>#DIV/0!</v>
      </c>
      <c r="S37" s="3158"/>
      <c r="T37" s="3158"/>
      <c r="U37" s="3158"/>
      <c r="V37" s="3158"/>
      <c r="W37" s="3158"/>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2017-12</v>
      </c>
      <c r="D46" s="1578">
        <f>EDATE(C46,-1)</f>
        <v>43040</v>
      </c>
      <c r="E46" s="1578">
        <f t="shared" ref="E46:O46" si="16">EDATE(D46,-1)</f>
        <v>43009</v>
      </c>
      <c r="F46" s="1578">
        <f t="shared" si="16"/>
        <v>42979</v>
      </c>
      <c r="G46" s="1578">
        <f t="shared" si="16"/>
        <v>42948</v>
      </c>
      <c r="H46" s="1578">
        <f t="shared" si="16"/>
        <v>42917</v>
      </c>
      <c r="I46" s="1578">
        <f t="shared" si="16"/>
        <v>42887</v>
      </c>
      <c r="J46" s="1578">
        <f t="shared" si="16"/>
        <v>42856</v>
      </c>
      <c r="K46" s="1578">
        <f t="shared" si="16"/>
        <v>42826</v>
      </c>
      <c r="L46" s="1578">
        <f t="shared" si="16"/>
        <v>42795</v>
      </c>
      <c r="M46" s="1578">
        <f t="shared" si="16"/>
        <v>42767</v>
      </c>
      <c r="N46" s="1578">
        <f t="shared" si="16"/>
        <v>42736</v>
      </c>
      <c r="O46" s="1578">
        <f t="shared" si="16"/>
        <v>42705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2590</v>
      </c>
      <c r="B51" s="528" t="s">
        <v>2556</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2731</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2565</v>
      </c>
      <c r="B77" s="528" t="s">
        <v>2618</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2735</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2743</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2745</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2804</v>
      </c>
      <c r="B1" s="241"/>
      <c r="C1" s="245" t="s">
        <v>2805</v>
      </c>
      <c r="D1" s="388">
        <f>SUM(D29:D30,D33:D39)</f>
        <v>0</v>
      </c>
      <c r="E1" s="2718"/>
      <c r="F1" s="2718"/>
      <c r="G1" s="2718"/>
      <c r="H1" s="2718"/>
      <c r="I1" s="2718"/>
      <c r="J1" s="2718"/>
      <c r="K1" s="1372"/>
      <c r="L1" s="2719" t="s">
        <v>2806</v>
      </c>
      <c r="M1" s="1082">
        <f>SUMPRODUCT((区片价!B5:B9=I2)*(区片价!C3:F3=E2)*(区片价!C5:F9))</f>
        <v>0</v>
      </c>
      <c r="N1" s="1085">
        <f>SUMPRODUCT((因素修正幅度!B5:B9=I2)*(因素修正幅度!C3:F3=E2)*(因素修正幅度!C5:F9))</f>
        <v>0</v>
      </c>
      <c r="O1" s="2720"/>
      <c r="P1" s="2720"/>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2" t="s">
        <v>2813</v>
      </c>
      <c r="D2" s="2723" t="s">
        <v>2814</v>
      </c>
      <c r="E2" s="2724"/>
      <c r="F2" s="2723" t="s">
        <v>2815</v>
      </c>
      <c r="G2" s="2725" t="str">
        <f>IF(E2="商业",项目基本情况!B37,IF(E2="办公",项目基本情况!C37,IF(E2="住宅",项目基本情况!D37,项目基本情况!E37)))</f>
        <v>八级</v>
      </c>
      <c r="H2" s="2723" t="s">
        <v>2816</v>
      </c>
      <c r="I2" s="2725">
        <f>IF(E2="商业",项目基本情况!B38,IF(E2="办公",项目基本情况!C38,IF(E2="住宅",项目基本情况!D38,项目基本情况!E38)))</f>
        <v>0</v>
      </c>
      <c r="J2" s="2726"/>
      <c r="K2" s="1372"/>
      <c r="L2" s="2727" t="s">
        <v>2817</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1.9419999999999999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2" t="s">
        <v>2819</v>
      </c>
      <c r="D3" s="2723" t="s">
        <v>2820</v>
      </c>
      <c r="E3" s="2728"/>
      <c r="F3" s="2729" t="s">
        <v>2821</v>
      </c>
      <c r="G3" s="915">
        <f>IF(F3="宗地容积率",'数据-汇总表'!I4,IF(F3="估价对象容积率",'数据-汇总表'!I6,'数据-汇总表'!I7))</f>
        <v>1.62</v>
      </c>
      <c r="H3" s="198" t="s">
        <v>2822</v>
      </c>
      <c r="I3" s="946"/>
      <c r="J3" s="2726" t="s">
        <v>2823</v>
      </c>
      <c r="K3" s="1372"/>
      <c r="L3" s="2727" t="s">
        <v>2824</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1.2799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2"/>
      <c r="B4" s="3263"/>
      <c r="C4" s="3263"/>
      <c r="D4" s="3264"/>
      <c r="E4" s="3264"/>
      <c r="F4" s="3264"/>
      <c r="G4" s="3264"/>
      <c r="H4" s="3264"/>
      <c r="I4" s="3264"/>
      <c r="J4" s="3265"/>
      <c r="K4" s="1372"/>
      <c r="L4" s="2727" t="s">
        <v>2825</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1.0072000000000001</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2826</v>
      </c>
      <c r="C5" s="916" t="e">
        <f>ROUND(IF(E2="商业",IF(F16="增加",C6*C7+C16,C6*C7-C16),IF(E2="住宅",IF(F16="增加",C6*C12+C16,C6*C12-C16),IF(F16="增加",C6+C16,C6-C16))),0)</f>
        <v>#DIV/0!</v>
      </c>
      <c r="D5" s="1790">
        <f>ROUND(IF(E2="商业",IF(F16="增加",C6+C16,C6-C16)),0)</f>
        <v>0</v>
      </c>
      <c r="E5" s="2732"/>
      <c r="F5" s="2732"/>
      <c r="G5" s="2733"/>
      <c r="H5" s="2733"/>
      <c r="I5" s="2733"/>
      <c r="J5" s="2734"/>
      <c r="K5" s="2735"/>
      <c r="L5" s="2727" t="s">
        <v>2827</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0.75249999999999995</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2828</v>
      </c>
      <c r="B6" s="2741" t="s">
        <v>2829</v>
      </c>
      <c r="C6" s="917">
        <f>SUMIF(L1:L12,G2,M1:M12)</f>
        <v>0</v>
      </c>
      <c r="D6" s="2742" t="s">
        <v>2830</v>
      </c>
      <c r="E6" s="2743"/>
      <c r="F6" s="2743"/>
      <c r="G6" s="2744"/>
      <c r="H6" s="2744"/>
      <c r="I6" s="2744"/>
      <c r="J6" s="2745"/>
      <c r="K6" s="1845"/>
      <c r="L6" s="2727" t="s">
        <v>2831</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0.56589999999999996</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66" t="str">
        <f>IF(E2="商业",IF(C8="不临58条商业街","",2),"")</f>
        <v/>
      </c>
      <c r="B7" s="2746" t="s">
        <v>2832</v>
      </c>
      <c r="C7" s="918" t="e">
        <f>IF(C8="不临58条商业街",1,ROUND(1+(1.6*E8+1.2*E9+0.8*E10+0.4*E11)*C9,4))</f>
        <v>#DIV/0!</v>
      </c>
      <c r="D7" s="2747" t="s">
        <v>2833</v>
      </c>
      <c r="E7" s="947"/>
      <c r="F7" s="2748"/>
      <c r="G7" s="2749"/>
      <c r="H7" s="2749"/>
      <c r="I7" s="2749"/>
      <c r="J7" s="2750"/>
      <c r="K7" s="1845"/>
      <c r="L7" s="2727" t="s">
        <v>2834</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0.45250000000000001</v>
      </c>
      <c r="T7" s="1605" t="e">
        <f t="shared" si="0"/>
        <v>#DIV/0!</v>
      </c>
      <c r="U7" s="1606"/>
      <c r="V7" s="1605" t="e">
        <f t="shared" si="1"/>
        <v>#DIV/0!</v>
      </c>
      <c r="W7" s="1819" t="s">
        <v>2835</v>
      </c>
      <c r="X7" s="1607" t="str">
        <f>G2</f>
        <v>八级</v>
      </c>
      <c r="Y7" s="1607" t="s">
        <v>2836</v>
      </c>
      <c r="Z7" s="1608">
        <f>G3</f>
        <v>1.62</v>
      </c>
      <c r="AA7" s="1609"/>
      <c r="AB7" s="1609"/>
      <c r="AC7" s="1610"/>
      <c r="AD7" s="1611"/>
      <c r="AE7" s="1611"/>
      <c r="AF7" s="1611"/>
      <c r="AG7" s="1611"/>
      <c r="AH7" s="1611"/>
      <c r="AI7" s="1611"/>
      <c r="AJ7" s="1612"/>
    </row>
    <row r="8" spans="1:36" ht="15">
      <c r="A8" s="3267"/>
      <c r="B8" s="198" t="s">
        <v>2837</v>
      </c>
      <c r="C8" s="2751"/>
      <c r="D8" s="919" t="s">
        <v>139</v>
      </c>
      <c r="E8" s="920" t="e">
        <f>ROUND(C11/E7,4)</f>
        <v>#DIV/0!</v>
      </c>
      <c r="F8" s="2752" t="s">
        <v>2838</v>
      </c>
      <c r="G8" s="2753"/>
      <c r="H8" s="2753"/>
      <c r="I8" s="2753"/>
      <c r="J8" s="2754"/>
      <c r="K8" s="1372"/>
      <c r="L8" s="2727" t="s">
        <v>2839</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59" t="s">
        <v>2840</v>
      </c>
      <c r="X8" s="3260"/>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67"/>
      <c r="B9" s="198" t="s">
        <v>2853</v>
      </c>
      <c r="C9" s="921">
        <f>SUMIF(修正!C59:C119,C8,修正!E59:E119)</f>
        <v>0</v>
      </c>
      <c r="D9" s="200" t="s">
        <v>140</v>
      </c>
      <c r="E9" s="200" t="e">
        <f>ROUND(C11/E7,4)</f>
        <v>#DIV/0!</v>
      </c>
      <c r="F9" s="2752" t="s">
        <v>2854</v>
      </c>
      <c r="G9" s="2753"/>
      <c r="H9" s="2753"/>
      <c r="I9" s="2753"/>
      <c r="J9" s="2754"/>
      <c r="K9" s="1372"/>
      <c r="L9" s="2727" t="s">
        <v>2855</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61"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2858</v>
      </c>
      <c r="C10" s="200">
        <f>SUMIF(修正!C59:C119,C8,修正!F59:F119)</f>
        <v>0</v>
      </c>
      <c r="D10" s="200" t="s">
        <v>141</v>
      </c>
      <c r="E10" s="200" t="e">
        <f>ROUND(C11/E7,4)</f>
        <v>#DIV/0!</v>
      </c>
      <c r="F10" s="2752" t="s">
        <v>2859</v>
      </c>
      <c r="G10" s="2753"/>
      <c r="H10" s="2753"/>
      <c r="I10" s="2753"/>
      <c r="J10" s="2754"/>
      <c r="K10" s="1372"/>
      <c r="L10" s="2727" t="s">
        <v>2860</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55" t="s">
        <v>2861</v>
      </c>
      <c r="C11" s="922">
        <f>C10/4</f>
        <v>0</v>
      </c>
      <c r="D11" s="922" t="s">
        <v>142</v>
      </c>
      <c r="E11" s="922" t="e">
        <f>ROUND(C11/E7,4)</f>
        <v>#DIV/0!</v>
      </c>
      <c r="F11" s="2756" t="s">
        <v>2862</v>
      </c>
      <c r="G11" s="2757"/>
      <c r="H11" s="2757"/>
      <c r="I11" s="2757"/>
      <c r="J11" s="2758"/>
      <c r="K11" s="1372"/>
      <c r="L11" s="2727" t="s">
        <v>2863</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61" t="s">
        <v>2864</v>
      </c>
      <c r="X11" s="1617" t="s">
        <v>2865</v>
      </c>
      <c r="Y11" s="1618">
        <f>$G$3</f>
        <v>1.62</v>
      </c>
      <c r="Z11" s="1618">
        <f t="shared" ref="Z11:AJ11" si="3">$G$3</f>
        <v>1.62</v>
      </c>
      <c r="AA11" s="1618">
        <f t="shared" si="3"/>
        <v>1.62</v>
      </c>
      <c r="AB11" s="1618">
        <f t="shared" si="3"/>
        <v>1.62</v>
      </c>
      <c r="AC11" s="1618">
        <f t="shared" si="3"/>
        <v>1.62</v>
      </c>
      <c r="AD11" s="1618">
        <f t="shared" si="3"/>
        <v>1.62</v>
      </c>
      <c r="AE11" s="1618">
        <f t="shared" si="3"/>
        <v>1.62</v>
      </c>
      <c r="AF11" s="1618">
        <f t="shared" si="3"/>
        <v>1.62</v>
      </c>
      <c r="AG11" s="1618">
        <f t="shared" si="3"/>
        <v>1.62</v>
      </c>
      <c r="AH11" s="1618">
        <f t="shared" si="3"/>
        <v>1.62</v>
      </c>
      <c r="AI11" s="1618">
        <f t="shared" si="3"/>
        <v>1.62</v>
      </c>
      <c r="AJ11" s="1618">
        <f t="shared" si="3"/>
        <v>1.62</v>
      </c>
    </row>
    <row r="12" spans="1:36" ht="25.5" thickBot="1">
      <c r="A12" s="3266" t="s">
        <v>2866</v>
      </c>
      <c r="B12" s="2759" t="s">
        <v>2867</v>
      </c>
      <c r="C12" s="918">
        <f>ROUND(C15*D15*E15*F15*G15*H15*I15*J15,4)</f>
        <v>1</v>
      </c>
      <c r="D12" s="2760" t="s">
        <v>2868</v>
      </c>
      <c r="E12" s="2761"/>
      <c r="F12" s="2761"/>
      <c r="G12" s="2762"/>
      <c r="H12" s="2762"/>
      <c r="I12" s="2762"/>
      <c r="J12" s="2763"/>
      <c r="K12" s="1372"/>
      <c r="L12" s="2764" t="s">
        <v>2869</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61"/>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8"/>
      <c r="B13" s="2765" t="s">
        <v>2871</v>
      </c>
      <c r="C13" s="2766" t="s">
        <v>2872</v>
      </c>
      <c r="D13" s="1811" t="s">
        <v>2873</v>
      </c>
      <c r="E13" s="1811" t="s">
        <v>2874</v>
      </c>
      <c r="F13" s="30" t="s">
        <v>2875</v>
      </c>
      <c r="G13" s="2767" t="s">
        <v>2876</v>
      </c>
      <c r="H13" s="2767" t="s">
        <v>2876</v>
      </c>
      <c r="I13" s="2767" t="s">
        <v>2876</v>
      </c>
      <c r="J13" s="2768" t="s">
        <v>2876</v>
      </c>
      <c r="K13" s="1372"/>
      <c r="L13" s="1372"/>
      <c r="M13" s="1372"/>
      <c r="N13" s="1372"/>
      <c r="O13" s="1372"/>
      <c r="P13" s="1372"/>
      <c r="Q13" s="1372"/>
      <c r="R13" s="1605">
        <v>12</v>
      </c>
      <c r="S13" s="1606"/>
      <c r="T13" s="1605" t="e">
        <f t="shared" si="0"/>
        <v>#DIV/0!</v>
      </c>
      <c r="U13" s="1606"/>
      <c r="V13" s="1605" t="e">
        <f t="shared" si="1"/>
        <v>#DIV/0!</v>
      </c>
      <c r="W13" s="3261"/>
      <c r="X13" s="1619"/>
      <c r="Y13" s="1616">
        <f>(-0.163*(Y12^2)-0.59*Y12+7617)*(10^(-4))/Y11</f>
        <v>0.47018518518518521</v>
      </c>
      <c r="Z13" s="1616">
        <f t="shared" ref="Z13:AJ13" si="5">(-0.163*(Z12^2)-0.59*Z12+7617)*(10^(-4))/Z11</f>
        <v>0.47018518518518521</v>
      </c>
      <c r="AA13" s="1616">
        <f t="shared" si="5"/>
        <v>0.47018518518518521</v>
      </c>
      <c r="AB13" s="1616">
        <f t="shared" si="5"/>
        <v>0.47018518518518521</v>
      </c>
      <c r="AC13" s="1616">
        <f t="shared" si="5"/>
        <v>0.47018518518518521</v>
      </c>
      <c r="AD13" s="1616">
        <f t="shared" si="5"/>
        <v>0.47018518518518521</v>
      </c>
      <c r="AE13" s="1616">
        <f t="shared" si="5"/>
        <v>0.47018518518518521</v>
      </c>
      <c r="AF13" s="1616">
        <f t="shared" si="5"/>
        <v>0.47018518518518521</v>
      </c>
      <c r="AG13" s="1616">
        <f t="shared" si="5"/>
        <v>0.47018518518518521</v>
      </c>
      <c r="AH13" s="1616">
        <f t="shared" si="5"/>
        <v>0.47018518518518521</v>
      </c>
      <c r="AI13" s="1616">
        <f t="shared" si="5"/>
        <v>0.47018518518518521</v>
      </c>
      <c r="AJ13" s="1616">
        <f t="shared" si="5"/>
        <v>0.47018518518518521</v>
      </c>
    </row>
    <row r="14" spans="1:36" ht="15">
      <c r="A14" s="3268"/>
      <c r="B14" s="2769"/>
      <c r="C14" s="2770"/>
      <c r="D14" s="2771"/>
      <c r="E14" s="2771"/>
      <c r="F14" s="2772"/>
      <c r="G14" s="2773" t="s">
        <v>2877</v>
      </c>
      <c r="H14" s="2774"/>
      <c r="I14" s="2775"/>
      <c r="J14" s="2776"/>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9"/>
      <c r="B15" s="2777" t="s">
        <v>2878</v>
      </c>
      <c r="C15" s="229">
        <f>IF(C14="有",1.1,1)</f>
        <v>1</v>
      </c>
      <c r="D15" s="229">
        <f>IF(D14="有",1.1,1)</f>
        <v>1</v>
      </c>
      <c r="E15" s="229">
        <f>IF(E14="有",1.1,1)</f>
        <v>1</v>
      </c>
      <c r="F15" s="229">
        <f>IF(F14="500米范围内",1.2,IF(F14="500-1000米",1.1,1))</f>
        <v>1</v>
      </c>
      <c r="G15" s="948">
        <v>1</v>
      </c>
      <c r="H15" s="948">
        <v>1</v>
      </c>
      <c r="I15" s="948">
        <v>1</v>
      </c>
      <c r="J15" s="949">
        <v>1</v>
      </c>
      <c r="K15" s="1372"/>
      <c r="L15" s="2778" t="s">
        <v>2814</v>
      </c>
      <c r="M15" s="919" t="s">
        <v>2879</v>
      </c>
      <c r="N15" s="919" t="s">
        <v>2880</v>
      </c>
      <c r="O15" s="919" t="s">
        <v>2881</v>
      </c>
      <c r="P15" s="2779" t="s">
        <v>2882</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6" t="s">
        <v>2883</v>
      </c>
      <c r="B16" s="2746" t="s">
        <v>2884</v>
      </c>
      <c r="C16" s="1804" t="e">
        <f>ROUND(SUM(G17:J17)/C17,0)</f>
        <v>#DIV/0!</v>
      </c>
      <c r="D16" s="2780" t="s">
        <v>2885</v>
      </c>
      <c r="E16" s="2781"/>
      <c r="F16" s="2782"/>
      <c r="G16" s="2783"/>
      <c r="H16" s="2783"/>
      <c r="I16" s="2783"/>
      <c r="J16" s="2784"/>
      <c r="K16" s="1372"/>
      <c r="L16" s="2785" t="s">
        <v>2886</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7"/>
      <c r="B17" s="2786" t="s">
        <v>2887</v>
      </c>
      <c r="C17" s="923">
        <f>SUMPRODUCT((修正!A2:A5=E2)*(修正!B1:M1=G2)*(修正!B2:M5))</f>
        <v>0</v>
      </c>
      <c r="D17" s="2787" t="s">
        <v>2888</v>
      </c>
      <c r="E17" s="922" t="str">
        <f>IF(OR(G2="八级",G2="九级",G2="十级",G2="十一级",G2="十二级"),"五通一平","七通一平")</f>
        <v>五通一平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2890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2891</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2892</v>
      </c>
      <c r="C19" s="926" t="e">
        <f>ROUND(IF(H19="按公示增长率计算",SUMPRODUCT((地价!A3:A20=YEAR(G19)&amp;"-"&amp;ROUNDUP(MONTH(G19)/3,0))*(地价!X2:AB2=E2)*(地价!X3:AB20)),IF(H19="地价指数",M20/M19,(1+I19)^O19)),4)</f>
        <v>#DIV/0!</v>
      </c>
      <c r="D19" s="2798" t="s">
        <v>2893</v>
      </c>
      <c r="E19" s="927">
        <v>41640</v>
      </c>
      <c r="F19" s="2798" t="s">
        <v>2894</v>
      </c>
      <c r="G19" s="928">
        <f>'数据-取费表'!B2</f>
        <v>43100</v>
      </c>
      <c r="H19" s="2799" t="s">
        <v>2895</v>
      </c>
      <c r="I19" s="929" t="str">
        <f>IF(H19="季度增幅（自定义）",SUMIF(N21:N24,E2,O21:O24),"")</f>
        <v/>
      </c>
      <c r="J19" s="2796"/>
      <c r="K19" s="1379"/>
      <c r="L19" s="2800" t="s">
        <v>2896</v>
      </c>
      <c r="M19" s="1737">
        <f>ROUND(SUMIF(地价!B2:F2,E2,地价!B20:F20),0)</f>
        <v>0</v>
      </c>
      <c r="N19" s="2801" t="s">
        <v>2897</v>
      </c>
      <c r="O19" s="930">
        <f>ROUNDDOWN(DATEDIF(E19,G19,"M")/3,0)</f>
        <v>15</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2898</v>
      </c>
      <c r="C20" s="931" t="e">
        <f>ROUND(POWER(1+G20,J20-I20)*(POWER(1+G20,I20)-1)/(POWER(1+G20,J20)-1),4)</f>
        <v>#DIV/0!</v>
      </c>
      <c r="D20" s="2807" t="s">
        <v>2899</v>
      </c>
      <c r="E20" s="1771">
        <f ca="1">存贷款利率!D4/100</f>
        <v>4.3499999999999997E-2</v>
      </c>
      <c r="F20" s="2807" t="s">
        <v>2890</v>
      </c>
      <c r="G20" s="936">
        <f>SUMIF(M15:P15,E2,M17:P17)</f>
        <v>0</v>
      </c>
      <c r="H20" s="2807" t="s">
        <v>2900</v>
      </c>
      <c r="I20" s="937" t="e">
        <f>SUMIF('数据-取费表'!C6:C15,E2,'数据-取费表'!F6:F15)/COUNTIF('数据-取费表'!C6:C15,E2)</f>
        <v>#DIV/0!</v>
      </c>
      <c r="J20" s="938">
        <f>IF(E2="住宅",70,IF(E2="商业",40,50))</f>
        <v>50</v>
      </c>
      <c r="K20" s="1379"/>
      <c r="L20" s="2808" t="s">
        <v>2901</v>
      </c>
      <c r="M20" s="1738">
        <f>ROUND(SUMPRODUCT((地价!A5:A20=YEAR(G19)&amp;"-"&amp;ROUNDUP(MONTH(G19)/3,0))*(地价!B2:F2=E2)*(地价!B5:F20)),0)</f>
        <v>0</v>
      </c>
      <c r="N20" s="2809" t="s">
        <v>2902</v>
      </c>
      <c r="O20" s="2810" t="s">
        <v>2903</v>
      </c>
      <c r="P20" s="2811" t="s">
        <v>2904</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2905</v>
      </c>
      <c r="C21" s="939">
        <f>IF(B21="容积率修正",IF(G3&lt;=10,D22,J22),C23)</f>
        <v>0</v>
      </c>
      <c r="D21" s="2814"/>
      <c r="E21" s="2814"/>
      <c r="F21" s="2814"/>
      <c r="G21" s="2814"/>
      <c r="H21" s="2814"/>
      <c r="I21" s="2814"/>
      <c r="J21" s="2815"/>
      <c r="K21" s="1379"/>
      <c r="N21" s="2816" t="s">
        <v>2906</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39" customFormat="1" ht="14.25">
      <c r="A22" s="2665" t="s">
        <v>2907</v>
      </c>
      <c r="B22" s="2817" t="s">
        <v>2908</v>
      </c>
      <c r="C22" s="1813" t="s">
        <v>2909</v>
      </c>
      <c r="D22" s="1813">
        <f>IF(E22=G22,F22,IF(G3&lt;=10,ROUND(F22+(H22-F22)*(G3-E22)/(G22-E22),4),"——"))</f>
        <v>0.15240000000000001</v>
      </c>
      <c r="E22" s="915">
        <f>ROUNDDOWN(G3,1)</f>
        <v>1.6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1.7000000000000002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813" t="s">
        <v>155</v>
      </c>
      <c r="J22" s="940" t="str">
        <f>IF(G3&gt;10,D113,"——")</f>
        <v>——</v>
      </c>
      <c r="K22" s="1379"/>
      <c r="N22" s="2816" t="s">
        <v>2910</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5" t="s">
        <v>2911</v>
      </c>
      <c r="B23" s="2818" t="s">
        <v>2912</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2913</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2914</v>
      </c>
      <c r="C24" s="926">
        <f>SUMIF(A45:A88,E2,B45:B88)</f>
        <v>0</v>
      </c>
      <c r="D24" s="2794"/>
      <c r="E24" s="2824"/>
      <c r="F24" s="2824"/>
      <c r="G24" s="2824"/>
      <c r="H24" s="2824"/>
      <c r="I24" s="2824"/>
      <c r="J24" s="2825"/>
      <c r="K24" s="1379"/>
      <c r="N24" s="2826" t="s">
        <v>2915</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2916</v>
      </c>
      <c r="C25" s="932"/>
      <c r="D25" s="2749"/>
      <c r="E25" s="2749"/>
      <c r="F25" s="2828"/>
      <c r="G25" s="2749"/>
      <c r="H25" s="2749"/>
      <c r="I25" s="2749"/>
      <c r="J25" s="2750"/>
      <c r="K25" s="1372"/>
      <c r="N25" s="2829" t="s">
        <v>2917</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0"/>
      <c r="B26" s="2817" t="s">
        <v>2918</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2919</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2920</v>
      </c>
      <c r="C28" s="2841" t="s">
        <v>2921</v>
      </c>
      <c r="D28" s="2841" t="s">
        <v>2922</v>
      </c>
      <c r="E28" s="2842" t="s">
        <v>2923</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2924</v>
      </c>
      <c r="C29" s="206" t="e">
        <f>ROUND(C5*C18*C19*C20*C21*C24,0)</f>
        <v>#DIV/0!</v>
      </c>
      <c r="D29" s="2846"/>
      <c r="E29" s="944" t="e">
        <f>ROUND(C29*D29/10000,0)</f>
        <v>#DIV/0!</v>
      </c>
      <c r="F29" s="2847" t="s">
        <v>2925</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2926</v>
      </c>
      <c r="C30" s="229" t="e">
        <f>ROUND(IF(E2="工业",C29*M39,C29*M38),0)</f>
        <v>#DIV/0!</v>
      </c>
      <c r="D30" s="2852"/>
      <c r="E30" s="944" t="e">
        <f>ROUND(C30*D30/10000,0)</f>
        <v>#DIV/0!</v>
      </c>
      <c r="F30" s="2853" t="s">
        <v>2927</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2928</v>
      </c>
      <c r="C31" s="2858" t="s">
        <v>2929</v>
      </c>
      <c r="D31" s="2762"/>
      <c r="E31" s="2858"/>
      <c r="F31" s="2858"/>
      <c r="G31" s="2760" t="s">
        <v>2930</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2921</v>
      </c>
      <c r="D32" s="498" t="s">
        <v>2922</v>
      </c>
      <c r="E32" s="498" t="s">
        <v>2923</v>
      </c>
      <c r="F32" s="388" t="s">
        <v>2931</v>
      </c>
      <c r="G32" s="2861" t="s">
        <v>2921</v>
      </c>
      <c r="H32" s="2861" t="s">
        <v>2922</v>
      </c>
      <c r="I32" s="2861" t="s">
        <v>2923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76" t="s">
        <v>2932</v>
      </c>
      <c r="B33" s="2862" t="s">
        <v>2933</v>
      </c>
      <c r="C33" s="206" t="e">
        <f>ROUND(D5*C19*C20*C24*F33,0)</f>
        <v>#DIV/0!</v>
      </c>
      <c r="D33" s="2846"/>
      <c r="E33" s="200" t="e">
        <f>ROUND(C33*D33/10000,0)</f>
        <v>#DIV/0!</v>
      </c>
      <c r="F33" s="200">
        <f>SUMIF(修正!A45:A56,G2,修正!B45:B56)</f>
        <v>0.6</v>
      </c>
      <c r="G33" s="200" t="e">
        <f t="shared" ref="G33:G39"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7"/>
      <c r="B34" s="2766" t="s">
        <v>2934</v>
      </c>
      <c r="C34" s="206" t="e">
        <f>ROUND(D5*C19*C20*C24*F34,0)</f>
        <v>#DIV/0!</v>
      </c>
      <c r="D34" s="2846"/>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7"/>
      <c r="B35" s="2766" t="s">
        <v>2935</v>
      </c>
      <c r="C35" s="206" t="e">
        <f>ROUND(D5*C19*C20*C24*F35,0)</f>
        <v>#DIV/0!</v>
      </c>
      <c r="D35" s="2846"/>
      <c r="E35" s="200" t="e">
        <f t="shared" si="7"/>
        <v>#DIV/0!</v>
      </c>
      <c r="F35" s="200">
        <f>SUMIF(修正!A45:A56,G2,修正!D45:D56)</f>
        <v>0.2</v>
      </c>
      <c r="G35" s="200" t="e">
        <f t="shared" si="6"/>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78"/>
      <c r="B36" s="2766" t="s">
        <v>2936</v>
      </c>
      <c r="C36" s="206" t="e">
        <f>ROUND(D5*C19*C20*C24*F36,0)</f>
        <v>#DIV/0!</v>
      </c>
      <c r="D36" s="2846"/>
      <c r="E36" s="200" t="e">
        <f t="shared" si="7"/>
        <v>#DIV/0!</v>
      </c>
      <c r="F36" s="200">
        <f>SUMIF(修正!A45:A56,G2,修正!E45:E56)</f>
        <v>0.2</v>
      </c>
      <c r="G36" s="200" t="e">
        <f t="shared" si="6"/>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2937</v>
      </c>
      <c r="C37" s="200" t="e">
        <f>ROUND(C5*C19*C20*C24*F37,0)</f>
        <v>#DIV/0!</v>
      </c>
      <c r="D37" s="2846"/>
      <c r="E37" s="200" t="e">
        <f t="shared" si="7"/>
        <v>#DIV/0!</v>
      </c>
      <c r="F37" s="206">
        <f>SUMIF(修正!A45:A56,G2,修正!F45:F56)</f>
        <v>0.2</v>
      </c>
      <c r="G37" s="200" t="e">
        <f t="shared" si="6"/>
        <v>#DIV/0!</v>
      </c>
      <c r="H37" s="200">
        <f t="shared" si="8"/>
        <v>0</v>
      </c>
      <c r="I37" s="200" t="e">
        <f t="shared" si="9"/>
        <v>#DIV/0!</v>
      </c>
      <c r="J37" s="2863"/>
      <c r="K37" s="1372"/>
      <c r="L37" s="2865" t="s">
        <v>2938</v>
      </c>
      <c r="M37" s="2866"/>
      <c r="N37" s="1372"/>
      <c r="O37" s="1372"/>
      <c r="P37" s="1372"/>
      <c r="Q37" s="1372"/>
      <c r="R37" s="1372"/>
      <c r="S37" s="1372"/>
      <c r="T37" s="1372"/>
      <c r="U37" s="1372"/>
      <c r="V37" s="1372"/>
      <c r="W37" s="1372"/>
      <c r="X37" s="1372"/>
      <c r="Y37" s="1372"/>
      <c r="Z37" s="1373"/>
    </row>
    <row r="38" spans="1:37">
      <c r="A38" s="2864"/>
      <c r="B38" s="2766" t="s">
        <v>2939</v>
      </c>
      <c r="C38" s="200" t="e">
        <f>ROUND(C5*C19*C20*C24*F38,0)</f>
        <v>#DIV/0!</v>
      </c>
      <c r="D38" s="2846"/>
      <c r="E38" s="200" t="e">
        <f t="shared" si="7"/>
        <v>#DIV/0!</v>
      </c>
      <c r="F38" s="206">
        <f>SUMIF(修正!A45:A56,G2,修正!G45:G56)</f>
        <v>0.2</v>
      </c>
      <c r="G38" s="200" t="e">
        <f t="shared" si="6"/>
        <v>#DIV/0!</v>
      </c>
      <c r="H38" s="200">
        <f t="shared" si="8"/>
        <v>0</v>
      </c>
      <c r="I38" s="200" t="e">
        <f t="shared" si="9"/>
        <v>#DIV/0!</v>
      </c>
      <c r="J38" s="2863"/>
      <c r="K38" s="1372"/>
      <c r="L38" s="1890" t="s">
        <v>2940</v>
      </c>
      <c r="M38" s="2867">
        <v>0.25</v>
      </c>
      <c r="N38" s="1372"/>
      <c r="O38" s="1372"/>
      <c r="P38" s="1372"/>
      <c r="Q38" s="1372"/>
      <c r="R38" s="1372"/>
      <c r="S38" s="1372"/>
      <c r="T38" s="1372"/>
      <c r="U38" s="1372"/>
      <c r="V38" s="1372"/>
      <c r="W38" s="1372"/>
      <c r="X38" s="1372"/>
      <c r="Y38" s="1372"/>
      <c r="Z38" s="1373"/>
    </row>
    <row r="39" spans="1:37" ht="13.5" thickBot="1">
      <c r="A39" s="2850"/>
      <c r="B39" s="2868" t="s">
        <v>2941</v>
      </c>
      <c r="C39" s="229" t="e">
        <f>ROUND(C5*C19*C20*C24*F39,0)</f>
        <v>#DIV/0!</v>
      </c>
      <c r="D39" s="2852"/>
      <c r="E39" s="229" t="e">
        <f t="shared" si="7"/>
        <v>#DIV/0!</v>
      </c>
      <c r="F39" s="934">
        <f>SUMIF(修正!A45:A56,G2,修正!H45:H56)</f>
        <v>0.15</v>
      </c>
      <c r="G39" s="229" t="e">
        <f t="shared" si="6"/>
        <v>#DIV/0!</v>
      </c>
      <c r="H39" s="229">
        <f t="shared" si="8"/>
        <v>0</v>
      </c>
      <c r="I39" s="229" t="e">
        <f t="shared" si="9"/>
        <v>#DIV/0!</v>
      </c>
      <c r="J39" s="2869"/>
      <c r="K39" s="1372"/>
      <c r="L39" s="2870" t="s">
        <v>2882</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2942</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2943</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2944</v>
      </c>
      <c r="B47" s="1812" t="s">
        <v>2945</v>
      </c>
      <c r="C47" s="1812" t="s">
        <v>2946</v>
      </c>
      <c r="D47" s="1812" t="s">
        <v>2947</v>
      </c>
      <c r="E47" s="818" t="s">
        <v>2948</v>
      </c>
      <c r="F47" s="2880" t="s">
        <v>2949</v>
      </c>
      <c r="G47" s="1812" t="s">
        <v>754</v>
      </c>
      <c r="H47" s="2881" t="s">
        <v>2950</v>
      </c>
      <c r="I47" s="1812" t="s">
        <v>2951</v>
      </c>
      <c r="J47" s="603" t="s">
        <v>2599</v>
      </c>
      <c r="K47" s="603" t="s">
        <v>2600</v>
      </c>
      <c r="L47" s="603" t="s">
        <v>2601</v>
      </c>
      <c r="M47" s="603" t="s">
        <v>2602</v>
      </c>
      <c r="N47" s="603" t="s">
        <v>2603</v>
      </c>
      <c r="AA47" s="1373"/>
      <c r="AB47" s="1373"/>
      <c r="AC47" s="1373"/>
      <c r="AD47" s="1373"/>
      <c r="AE47" s="1373"/>
      <c r="AF47" s="1373"/>
      <c r="AG47" s="1373"/>
      <c r="AH47" s="1373"/>
      <c r="AI47" s="1373"/>
      <c r="AJ47" s="1373"/>
      <c r="AK47" s="1373"/>
    </row>
    <row r="48" spans="1:37" s="1372" customFormat="1" ht="38.25">
      <c r="A48" s="2879" t="s">
        <v>2952</v>
      </c>
      <c r="B48" s="2882" t="str">
        <f>估价对象房地状况!C4</f>
        <v>估价对象位于XX商圈，周边商业氛围成熟，人流量大，商业繁华度好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2953</v>
      </c>
      <c r="B49" s="2883" t="str">
        <f>估价对象房地状况!C18</f>
        <v>估价对象周边道路状况、公共交通通达情况、停车便捷程度，综合评价交通便捷度较好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2954</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2955</v>
      </c>
      <c r="B51" s="2884" t="s">
        <v>2956</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2957</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2958</v>
      </c>
      <c r="B53" s="2885" t="s">
        <v>2959</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2960</v>
      </c>
      <c r="B54" s="1728"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2961</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2962</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2963</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2944</v>
      </c>
      <c r="B58" s="1812"/>
      <c r="C58" s="1812" t="s">
        <v>2946</v>
      </c>
      <c r="D58" s="1812" t="s">
        <v>2947</v>
      </c>
      <c r="E58" s="818" t="s">
        <v>2948</v>
      </c>
      <c r="F58" s="2880" t="s">
        <v>2964</v>
      </c>
      <c r="G58" s="1812" t="s">
        <v>754</v>
      </c>
      <c r="H58" s="2881" t="s">
        <v>2950</v>
      </c>
      <c r="I58" s="1812" t="s">
        <v>2951</v>
      </c>
      <c r="J58" s="603" t="s">
        <v>2599</v>
      </c>
      <c r="K58" s="603" t="s">
        <v>2600</v>
      </c>
      <c r="L58" s="603" t="s">
        <v>2601</v>
      </c>
      <c r="M58" s="603" t="s">
        <v>2602</v>
      </c>
      <c r="N58" s="603" t="s">
        <v>2603</v>
      </c>
      <c r="AA58" s="1373"/>
      <c r="AB58" s="1373"/>
      <c r="AC58" s="1373"/>
      <c r="AD58" s="1373"/>
      <c r="AE58" s="1373"/>
      <c r="AF58" s="1373"/>
      <c r="AG58" s="1373"/>
      <c r="AH58" s="1373"/>
      <c r="AI58" s="1373"/>
      <c r="AJ58" s="1373"/>
      <c r="AK58" s="1373"/>
    </row>
    <row r="59" spans="1:37" s="1372" customFormat="1" ht="38.25">
      <c r="A59" s="2879" t="s">
        <v>2965</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2953</v>
      </c>
      <c r="B60" s="2883" t="str">
        <f>估价对象房地状况!C18</f>
        <v>估价对象周边道路状况、公共交通通达情况、停车便捷程度，综合评价交通便捷度较好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2954</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2955</v>
      </c>
      <c r="B62" s="2884" t="s">
        <v>2956</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2957</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2958</v>
      </c>
      <c r="B64" s="2885" t="s">
        <v>2959</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2960</v>
      </c>
      <c r="B65" s="1728"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2961</v>
      </c>
      <c r="B66" s="1728"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2962</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2966</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2944</v>
      </c>
      <c r="B69" s="1812"/>
      <c r="C69" s="1812" t="s">
        <v>2946</v>
      </c>
      <c r="D69" s="1812" t="s">
        <v>2947</v>
      </c>
      <c r="E69" s="818" t="s">
        <v>2948</v>
      </c>
      <c r="F69" s="2880" t="s">
        <v>2964</v>
      </c>
      <c r="G69" s="1812" t="s">
        <v>754</v>
      </c>
      <c r="H69" s="2881" t="s">
        <v>2950</v>
      </c>
      <c r="I69" s="1812" t="s">
        <v>2951</v>
      </c>
      <c r="J69" s="603" t="s">
        <v>2599</v>
      </c>
      <c r="K69" s="603" t="s">
        <v>2600</v>
      </c>
      <c r="L69" s="603" t="s">
        <v>2601</v>
      </c>
      <c r="M69" s="603" t="s">
        <v>2602</v>
      </c>
      <c r="N69" s="603" t="s">
        <v>2603</v>
      </c>
      <c r="AA69" s="1373"/>
      <c r="AB69" s="1373"/>
      <c r="AC69" s="1373"/>
      <c r="AD69" s="1373"/>
      <c r="AE69" s="1373"/>
      <c r="AF69" s="1373"/>
      <c r="AG69" s="1373"/>
      <c r="AH69" s="1373"/>
      <c r="AI69" s="1373"/>
      <c r="AJ69" s="1373"/>
      <c r="AK69" s="1373"/>
    </row>
    <row r="70" spans="1:37" s="1372" customFormat="1" ht="51">
      <c r="A70" s="2879" t="s">
        <v>2967</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2953</v>
      </c>
      <c r="B71" s="2883" t="str">
        <f>估价对象房地状况!C18</f>
        <v>估价对象周边道路状况、公共交通通达情况、停车便捷程度，综合评价交通便捷度较好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2954</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2968</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2960</v>
      </c>
      <c r="B74" s="1728"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2961</v>
      </c>
      <c r="B75" s="1728"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2958</v>
      </c>
      <c r="B76" s="2885" t="s">
        <v>2959</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2962</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2969</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2970</v>
      </c>
      <c r="B79" s="2876">
        <f>1+E81</f>
        <v>1</v>
      </c>
      <c r="C79" s="813"/>
      <c r="D79" s="813"/>
      <c r="E79" s="814"/>
      <c r="F79" s="2878"/>
      <c r="G79" s="6"/>
      <c r="H79" s="6"/>
      <c r="I79" s="6"/>
      <c r="J79" s="7"/>
      <c r="K79" s="7"/>
      <c r="L79" s="7"/>
      <c r="M79" s="7"/>
      <c r="N79" s="7"/>
      <c r="Z79" s="2721"/>
      <c r="AA79" s="2797"/>
      <c r="AG79" s="1374"/>
      <c r="AK79" s="2797"/>
    </row>
    <row r="80" spans="1:37" ht="24.75">
      <c r="A80" s="2879" t="s">
        <v>2944</v>
      </c>
      <c r="B80" s="1812"/>
      <c r="C80" s="1812" t="s">
        <v>2946</v>
      </c>
      <c r="D80" s="1812" t="s">
        <v>2947</v>
      </c>
      <c r="E80" s="818" t="s">
        <v>2948</v>
      </c>
      <c r="F80" s="2880" t="s">
        <v>2964</v>
      </c>
      <c r="G80" s="1812" t="s">
        <v>754</v>
      </c>
      <c r="H80" s="2881" t="s">
        <v>2950</v>
      </c>
      <c r="I80" s="1812" t="s">
        <v>2951</v>
      </c>
      <c r="J80" s="603" t="s">
        <v>2599</v>
      </c>
      <c r="K80" s="603" t="s">
        <v>2600</v>
      </c>
      <c r="L80" s="603" t="s">
        <v>2601</v>
      </c>
      <c r="M80" s="603" t="s">
        <v>2602</v>
      </c>
      <c r="N80" s="603" t="s">
        <v>2603</v>
      </c>
      <c r="Z80" s="2721"/>
      <c r="AA80" s="2797"/>
      <c r="AG80" s="1374"/>
      <c r="AK80" s="2797"/>
    </row>
    <row r="81" spans="1:37" ht="38.25">
      <c r="A81" s="2879" t="s">
        <v>2971</v>
      </c>
      <c r="B81" s="2883" t="str">
        <f>估价对象房地状况!G15</f>
        <v>估价对象属于北京临空经济核心区，园区内以物流企业为主，建设成熟</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102">
      <c r="A82" s="2879" t="s">
        <v>2953</v>
      </c>
      <c r="B82" s="2883" t="str">
        <f>估价对象房地状况!G16</f>
        <v>以估价对象为中心半径2公里内最高级别道路城市高速路—机场北线高速路，临近东六环路、顺平路、顺驰路等城市道路，距离顺义火车站约5公里，距离北京首都国际机场约7公里</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5.5">
      <c r="A83" s="2879" t="s">
        <v>2954</v>
      </c>
      <c r="B83" s="2883" t="str">
        <f>估价对象房地状况!G17</f>
        <v>零星有其他用地，基本不影响本宗地</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2968</v>
      </c>
      <c r="B84" s="2883" t="str">
        <f>估价对象房地状况!G22</f>
        <v>城市支路——顺驰路</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51">
      <c r="A85" s="2879" t="s">
        <v>2960</v>
      </c>
      <c r="B85" s="1728" t="str">
        <f>估价对象房地状况!G19</f>
        <v>以估价对象为中心半径2公里内有银行、超市、学校、医院、邮局等公共配套设施；</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2961</v>
      </c>
      <c r="B86" s="1728" t="str">
        <f>估价对象房地状况!G20</f>
        <v>估价对象所在区域基础设施水平可达到七通一平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2958</v>
      </c>
      <c r="B87" s="2885" t="s">
        <v>2972</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51.75" thickBot="1">
      <c r="A88" s="2887" t="s">
        <v>2973</v>
      </c>
      <c r="B88" s="2892" t="str">
        <f>估价对象房地状况!G18</f>
        <v>估价对象所属区域以物流企业为主，园区内无污染型企业，绿化较好，卫生条件良好</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70" t="s">
        <v>2974</v>
      </c>
      <c r="B90" s="3270"/>
      <c r="C90" s="3270"/>
      <c r="D90" s="3270"/>
      <c r="E90" s="3270"/>
      <c r="F90" s="3270"/>
      <c r="G90" s="3270"/>
      <c r="H90" s="3270"/>
      <c r="I90" s="3270"/>
      <c r="J90" s="3270"/>
      <c r="K90" s="2893"/>
      <c r="L90" s="2893"/>
      <c r="M90" s="2893"/>
      <c r="N90" s="2893"/>
    </row>
    <row r="91" spans="1:37">
      <c r="A91" s="3272" t="s">
        <v>2975</v>
      </c>
      <c r="B91" s="3272" t="s">
        <v>2976</v>
      </c>
      <c r="C91" s="2847" t="s">
        <v>2977</v>
      </c>
      <c r="D91" s="2848"/>
      <c r="E91" s="2848"/>
      <c r="F91" s="2848"/>
      <c r="G91" s="2848"/>
      <c r="H91" s="2848"/>
      <c r="I91" s="2848"/>
      <c r="J91" s="2894"/>
      <c r="K91" s="2895"/>
      <c r="L91" s="2895"/>
      <c r="M91" s="2895"/>
      <c r="N91" s="2895"/>
    </row>
    <row r="92" spans="1:37">
      <c r="A92" s="3272"/>
      <c r="B92" s="3272"/>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273" t="s">
        <v>2978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4"/>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4"/>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4"/>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4"/>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4"/>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4"/>
      <c r="B99" s="2896" t="s">
        <v>2857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75"/>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3" t="s">
        <v>2979</v>
      </c>
      <c r="B101" s="2900" t="s">
        <v>2980</v>
      </c>
      <c r="C101" s="2901">
        <f>$G$3</f>
        <v>1.62</v>
      </c>
      <c r="D101" s="2901">
        <f t="shared" ref="D101:N101" si="31">$G$3</f>
        <v>1.62</v>
      </c>
      <c r="E101" s="2901">
        <f t="shared" si="31"/>
        <v>1.62</v>
      </c>
      <c r="F101" s="2901">
        <f t="shared" si="31"/>
        <v>1.62</v>
      </c>
      <c r="G101" s="2901">
        <f t="shared" si="31"/>
        <v>1.62</v>
      </c>
      <c r="H101" s="2901">
        <f t="shared" si="31"/>
        <v>1.62</v>
      </c>
      <c r="I101" s="2901">
        <f t="shared" si="31"/>
        <v>1.62</v>
      </c>
      <c r="J101" s="2901">
        <f t="shared" si="31"/>
        <v>1.62</v>
      </c>
      <c r="K101" s="2901">
        <f t="shared" si="31"/>
        <v>1.62</v>
      </c>
      <c r="L101" s="2901">
        <f t="shared" si="31"/>
        <v>1.62</v>
      </c>
      <c r="M101" s="2901">
        <f t="shared" si="31"/>
        <v>1.62</v>
      </c>
      <c r="N101" s="2901">
        <f t="shared" si="31"/>
        <v>1.62</v>
      </c>
    </row>
    <row r="102" spans="1:14">
      <c r="A102" s="3274"/>
      <c r="B102" s="2896">
        <v>1</v>
      </c>
      <c r="C102" s="2897">
        <f>1.9362/C101</f>
        <v>1.1951851851851851</v>
      </c>
      <c r="D102" s="2897">
        <f>1.9362/D101</f>
        <v>1.1951851851851851</v>
      </c>
      <c r="E102" s="2897">
        <f>1.8629/E101</f>
        <v>1.1499382716049382</v>
      </c>
      <c r="F102" s="2897">
        <f>1.8629/F101</f>
        <v>1.1499382716049382</v>
      </c>
      <c r="G102" s="2897">
        <f>1.8629/G101</f>
        <v>1.1499382716049382</v>
      </c>
      <c r="H102" s="2897">
        <f>1.8629/H101</f>
        <v>1.1499382716049382</v>
      </c>
      <c r="I102" s="2897">
        <f>1.8629/I101</f>
        <v>1.1499382716049382</v>
      </c>
      <c r="J102" s="2897">
        <f>1.942/J101</f>
        <v>1.1987654320987653</v>
      </c>
      <c r="K102" s="2897">
        <f>1.942/K101</f>
        <v>1.1987654320987653</v>
      </c>
      <c r="L102" s="2897">
        <f>1.942/L101</f>
        <v>1.1987654320987653</v>
      </c>
      <c r="M102" s="2897">
        <f>1.942/M101</f>
        <v>1.1987654320987653</v>
      </c>
      <c r="N102" s="2897">
        <f>1.942/N101</f>
        <v>1.1987654320987653</v>
      </c>
    </row>
    <row r="103" spans="1:14">
      <c r="A103" s="3274"/>
      <c r="B103" s="2896">
        <v>2</v>
      </c>
      <c r="C103" s="2897">
        <f>1.4198/C101</f>
        <v>0.87641975308641962</v>
      </c>
      <c r="D103" s="2897">
        <f>1.4198/D101</f>
        <v>0.87641975308641962</v>
      </c>
      <c r="E103" s="2897">
        <f>1.3372/E101</f>
        <v>0.825432098765432</v>
      </c>
      <c r="F103" s="2897">
        <f>1.3372/F101</f>
        <v>0.825432098765432</v>
      </c>
      <c r="G103" s="2897">
        <f>1.3372/G101</f>
        <v>0.825432098765432</v>
      </c>
      <c r="H103" s="2897">
        <f>1.3372/H101</f>
        <v>0.825432098765432</v>
      </c>
      <c r="I103" s="2897">
        <f>1.3372/I101</f>
        <v>0.825432098765432</v>
      </c>
      <c r="J103" s="2897">
        <f>1.2799/J101</f>
        <v>0.79006172839506172</v>
      </c>
      <c r="K103" s="2897">
        <f>1.2799/K101</f>
        <v>0.79006172839506172</v>
      </c>
      <c r="L103" s="2897">
        <f>1.2799/L101</f>
        <v>0.79006172839506172</v>
      </c>
      <c r="M103" s="2897">
        <f>1.2799/M101</f>
        <v>0.79006172839506172</v>
      </c>
      <c r="N103" s="2897">
        <f>1.2799/N101</f>
        <v>0.79006172839506172</v>
      </c>
    </row>
    <row r="104" spans="1:14">
      <c r="A104" s="3274"/>
      <c r="B104" s="2896">
        <v>3</v>
      </c>
      <c r="C104" s="2897">
        <f>1.1594/C101</f>
        <v>0.71567901234567899</v>
      </c>
      <c r="D104" s="2897">
        <f>1.1594/D101</f>
        <v>0.71567901234567899</v>
      </c>
      <c r="E104" s="2897">
        <f>1.0788/E101</f>
        <v>0.66592592592592592</v>
      </c>
      <c r="F104" s="2897">
        <f>1.0788/F101</f>
        <v>0.66592592592592592</v>
      </c>
      <c r="G104" s="2897">
        <f>1.0788/G101</f>
        <v>0.66592592592592592</v>
      </c>
      <c r="H104" s="2897">
        <f>1.0788/H101</f>
        <v>0.66592592592592592</v>
      </c>
      <c r="I104" s="2897">
        <f>1.0788/I101</f>
        <v>0.66592592592592592</v>
      </c>
      <c r="J104" s="2897">
        <f>1.0072/J101</f>
        <v>0.62172839506172839</v>
      </c>
      <c r="K104" s="2897">
        <f>1.0072/K101</f>
        <v>0.62172839506172839</v>
      </c>
      <c r="L104" s="2897">
        <f>1.0072/L101</f>
        <v>0.62172839506172839</v>
      </c>
      <c r="M104" s="2897">
        <f>1.0072/M101</f>
        <v>0.62172839506172839</v>
      </c>
      <c r="N104" s="2897">
        <f>1.0072/N101</f>
        <v>0.62172839506172839</v>
      </c>
    </row>
    <row r="105" spans="1:14">
      <c r="A105" s="3274"/>
      <c r="B105" s="2896">
        <v>4</v>
      </c>
      <c r="C105" s="2897">
        <f>0.9622/C101</f>
        <v>0.5939506172839506</v>
      </c>
      <c r="D105" s="2897">
        <f>0.9622/D101</f>
        <v>0.5939506172839506</v>
      </c>
      <c r="E105" s="2897">
        <f>0.8656/E101</f>
        <v>0.53432098765432101</v>
      </c>
      <c r="F105" s="2897">
        <f>0.8656/F101</f>
        <v>0.53432098765432101</v>
      </c>
      <c r="G105" s="2897">
        <f>0.8656/G101</f>
        <v>0.53432098765432101</v>
      </c>
      <c r="H105" s="2897">
        <f>0.8656/H101</f>
        <v>0.53432098765432101</v>
      </c>
      <c r="I105" s="2897">
        <f>0.8656/I101</f>
        <v>0.53432098765432101</v>
      </c>
      <c r="J105" s="2897">
        <f>0.7525/J101</f>
        <v>0.46450617283950613</v>
      </c>
      <c r="K105" s="2897">
        <f>0.7525/K101</f>
        <v>0.46450617283950613</v>
      </c>
      <c r="L105" s="2897">
        <f>0.7525/L101</f>
        <v>0.46450617283950613</v>
      </c>
      <c r="M105" s="2897">
        <f>0.7525/M101</f>
        <v>0.46450617283950613</v>
      </c>
      <c r="N105" s="2897">
        <f>0.7525/N101</f>
        <v>0.46450617283950613</v>
      </c>
    </row>
    <row r="106" spans="1:14">
      <c r="A106" s="3274"/>
      <c r="B106" s="2896">
        <v>5</v>
      </c>
      <c r="C106" s="2897">
        <f>0.8417/C101</f>
        <v>0.51956790123456786</v>
      </c>
      <c r="D106" s="2897">
        <f>0.8417/D101</f>
        <v>0.51956790123456786</v>
      </c>
      <c r="E106" s="2897">
        <f>0.7371/E101</f>
        <v>0.45499999999999996</v>
      </c>
      <c r="F106" s="2897">
        <f>0.7371/F101</f>
        <v>0.45499999999999996</v>
      </c>
      <c r="G106" s="2897">
        <f>0.7371/G101</f>
        <v>0.45499999999999996</v>
      </c>
      <c r="H106" s="2897">
        <f>0.7371/H101</f>
        <v>0.45499999999999996</v>
      </c>
      <c r="I106" s="2897">
        <f>0.7371/I101</f>
        <v>0.45499999999999996</v>
      </c>
      <c r="J106" s="2897">
        <f>0.5659/J101</f>
        <v>0.34932098765432096</v>
      </c>
      <c r="K106" s="2897">
        <f>0.5659/K101</f>
        <v>0.34932098765432096</v>
      </c>
      <c r="L106" s="2897">
        <f>0.5659/L101</f>
        <v>0.34932098765432096</v>
      </c>
      <c r="M106" s="2897">
        <f>0.5659/M101</f>
        <v>0.34932098765432096</v>
      </c>
      <c r="N106" s="2897">
        <f>0.5659/N101</f>
        <v>0.34932098765432096</v>
      </c>
    </row>
    <row r="107" spans="1:14">
      <c r="A107" s="3274"/>
      <c r="B107" s="2896">
        <v>6</v>
      </c>
      <c r="C107" s="2897">
        <f>0.7608/C101</f>
        <v>0.46962962962962962</v>
      </c>
      <c r="D107" s="2897">
        <f>0.7608/D101</f>
        <v>0.46962962962962962</v>
      </c>
      <c r="E107" s="2897">
        <f>0.6482/E101</f>
        <v>0.40012345679012346</v>
      </c>
      <c r="F107" s="2897">
        <f>0.6482/F101</f>
        <v>0.40012345679012346</v>
      </c>
      <c r="G107" s="2897">
        <f>0.6482/G101</f>
        <v>0.40012345679012346</v>
      </c>
      <c r="H107" s="2897">
        <f>0.6482/H101</f>
        <v>0.40012345679012346</v>
      </c>
      <c r="I107" s="2897">
        <f>0.6482/I101</f>
        <v>0.40012345679012346</v>
      </c>
      <c r="J107" s="2897">
        <f>0.4525/J101</f>
        <v>0.27932098765432095</v>
      </c>
      <c r="K107" s="2897">
        <f>0.4525/K101</f>
        <v>0.27932098765432095</v>
      </c>
      <c r="L107" s="2897">
        <f>0.4525/L101</f>
        <v>0.27932098765432095</v>
      </c>
      <c r="M107" s="2897">
        <f>0.4525/M101</f>
        <v>0.27932098765432095</v>
      </c>
      <c r="N107" s="2897">
        <f>0.4525/N101</f>
        <v>0.27932098765432095</v>
      </c>
    </row>
    <row r="108" spans="1:14">
      <c r="A108" s="3274"/>
      <c r="B108" s="3126" t="s">
        <v>2981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75"/>
      <c r="B109" s="3127"/>
      <c r="C109" s="2899">
        <f>(-0.163*(C108^2)-0.59*C108+7617)*(10^(-4))/C101</f>
        <v>0.47018518518518521</v>
      </c>
      <c r="D109" s="2899">
        <f>(-0.163*(D108^2)-0.59*D108+7617)*(10^(-4))/D101</f>
        <v>0.47018518518518521</v>
      </c>
      <c r="E109" s="2899">
        <f>(-0.161*(E108^2)-7.509*E108+6533)*(10^(-4))/E101</f>
        <v>0.40327160493827158</v>
      </c>
      <c r="F109" s="2899">
        <f>(-0.161*(F108^2)-7.509*F108+6533)*(10^(-4))/F101</f>
        <v>0.40327160493827158</v>
      </c>
      <c r="G109" s="2899">
        <f>(-0.161*(G108^2)-7.509*G108+6533)*(10^(-4))/G101</f>
        <v>0.40327160493827158</v>
      </c>
      <c r="H109" s="2899">
        <f>(-0.161*(H108^2)-7.509*H108+6533)*(10^(-4))/H101</f>
        <v>0.40327160493827158</v>
      </c>
      <c r="I109" s="2899">
        <f>(-0.161*(I108^2)-7.509*I108+6533)*(10^(-4))/I101</f>
        <v>0.40327160493827158</v>
      </c>
      <c r="J109" s="2899">
        <f>(-0.214*(J108^2)-21.991*J108+4665)*(10^(-4))/J101</f>
        <v>0.28796296296296298</v>
      </c>
      <c r="K109" s="2899">
        <f>(-0.214*(K108^2)-21.991*K108+4665)*(10^(-4))/K101</f>
        <v>0.28796296296296298</v>
      </c>
      <c r="L109" s="2899">
        <f>(-0.214*(L108^2)-21.991*L108+4665)*(10^(-4))/L101</f>
        <v>0.28796296296296298</v>
      </c>
      <c r="M109" s="2899">
        <f>(-0.214*(M108^2)-21.991*M108+4665)*(10^(-4))/M101</f>
        <v>0.28796296296296298</v>
      </c>
      <c r="N109" s="2899">
        <f>(-0.214*(N108^2)-21.991*N108+4665)*(10^(-4))/N101</f>
        <v>0.28796296296296298</v>
      </c>
    </row>
    <row r="110" spans="1:14">
      <c r="A110" s="3271" t="s">
        <v>2982</v>
      </c>
      <c r="B110" s="3271"/>
      <c r="C110" s="3271"/>
      <c r="D110" s="3271"/>
      <c r="E110" s="3271"/>
      <c r="F110" s="3271"/>
      <c r="G110" s="3271"/>
      <c r="H110" s="3271"/>
      <c r="I110" s="3271"/>
      <c r="J110" s="3271"/>
      <c r="K110" s="2902"/>
      <c r="L110" s="2902"/>
      <c r="M110" s="2902"/>
      <c r="N110" s="2902"/>
    </row>
    <row r="112" spans="1:14" ht="13.5" thickBot="1"/>
    <row r="113" spans="1:13" ht="25.5" thickBot="1">
      <c r="A113" s="902" t="s">
        <v>2983</v>
      </c>
      <c r="B113" s="1289">
        <f>G3</f>
        <v>1.62</v>
      </c>
      <c r="C113" s="903" t="s">
        <v>2984</v>
      </c>
      <c r="D113" s="904">
        <f>SUMPRODUCT((A115:A118=F113)*(B114:M114=H113)*B115:M118)</f>
        <v>0</v>
      </c>
      <c r="E113" s="2725" t="s">
        <v>2814</v>
      </c>
      <c r="F113" s="2904">
        <f>E2</f>
        <v>0</v>
      </c>
      <c r="G113" s="2725" t="s">
        <v>2815</v>
      </c>
      <c r="H113" s="2904" t="str">
        <f>G2</f>
        <v>八级</v>
      </c>
      <c r="I113" s="2725"/>
      <c r="J113" s="2905"/>
      <c r="K113" s="2905"/>
      <c r="L113" s="2905"/>
      <c r="M113" s="2905"/>
    </row>
    <row r="114" spans="1:13">
      <c r="A114" s="907"/>
      <c r="B114" s="2906" t="s">
        <v>2985</v>
      </c>
      <c r="C114" s="2906" t="s">
        <v>2986</v>
      </c>
      <c r="D114" s="2906" t="s">
        <v>2987</v>
      </c>
      <c r="E114" s="2907" t="s">
        <v>2988</v>
      </c>
      <c r="F114" s="2907" t="s">
        <v>2989</v>
      </c>
      <c r="G114" s="2907" t="s">
        <v>2990</v>
      </c>
      <c r="H114" s="2908" t="s">
        <v>2991</v>
      </c>
      <c r="I114" s="2908" t="s">
        <v>2992</v>
      </c>
      <c r="J114" s="2909" t="s">
        <v>2993</v>
      </c>
      <c r="K114" s="2909" t="s">
        <v>2994</v>
      </c>
      <c r="L114" s="2909" t="s">
        <v>2995</v>
      </c>
      <c r="M114" s="2910" t="s">
        <v>2996</v>
      </c>
    </row>
    <row r="115" spans="1:13">
      <c r="A115" s="908" t="s">
        <v>2879</v>
      </c>
      <c r="B115" s="909">
        <f>ROUND(0.9335-0.0094*B113,4)</f>
        <v>0.91830000000000001</v>
      </c>
      <c r="C115" s="909">
        <f>B115</f>
        <v>0.91830000000000001</v>
      </c>
      <c r="D115" s="909">
        <f>ROUND(0.8331-0.0109*B113,4)</f>
        <v>0.81540000000000001</v>
      </c>
      <c r="E115" s="909">
        <f>D115</f>
        <v>0.81540000000000001</v>
      </c>
      <c r="F115" s="909">
        <f>E115</f>
        <v>0.81540000000000001</v>
      </c>
      <c r="G115" s="909">
        <f>F115</f>
        <v>0.81540000000000001</v>
      </c>
      <c r="H115" s="909">
        <f>G115</f>
        <v>0.81540000000000001</v>
      </c>
      <c r="I115" s="909">
        <f>ROUND(0.689-0.0155*B113,4)</f>
        <v>0.66390000000000005</v>
      </c>
      <c r="J115" s="909">
        <f t="shared" ref="J115:M118" si="33">I115</f>
        <v>0.66390000000000005</v>
      </c>
      <c r="K115" s="909">
        <f t="shared" si="33"/>
        <v>0.66390000000000005</v>
      </c>
      <c r="L115" s="909">
        <f t="shared" si="33"/>
        <v>0.66390000000000005</v>
      </c>
      <c r="M115" s="910">
        <f t="shared" si="33"/>
        <v>0.66390000000000005</v>
      </c>
    </row>
    <row r="116" spans="1:13">
      <c r="A116" s="908" t="s">
        <v>2880</v>
      </c>
      <c r="B116" s="909">
        <f>ROUND(0.949-0.012*B113,4)</f>
        <v>0.92959999999999998</v>
      </c>
      <c r="C116" s="909">
        <f>B116</f>
        <v>0.92959999999999998</v>
      </c>
      <c r="D116" s="909">
        <f>ROUND(0.8567-0.013*B113,4)</f>
        <v>0.83560000000000001</v>
      </c>
      <c r="E116" s="909">
        <f t="shared" ref="E116:H117" si="34">D116</f>
        <v>0.83560000000000001</v>
      </c>
      <c r="F116" s="909">
        <f t="shared" si="34"/>
        <v>0.83560000000000001</v>
      </c>
      <c r="G116" s="909">
        <f t="shared" si="34"/>
        <v>0.83560000000000001</v>
      </c>
      <c r="H116" s="909">
        <f t="shared" si="34"/>
        <v>0.83560000000000001</v>
      </c>
      <c r="I116" s="909">
        <f>ROUND(0.7694-0.014*B113,4)</f>
        <v>0.74670000000000003</v>
      </c>
      <c r="J116" s="909">
        <f t="shared" si="33"/>
        <v>0.74670000000000003</v>
      </c>
      <c r="K116" s="909">
        <f t="shared" si="33"/>
        <v>0.74670000000000003</v>
      </c>
      <c r="L116" s="909">
        <f t="shared" si="33"/>
        <v>0.74670000000000003</v>
      </c>
      <c r="M116" s="910">
        <f t="shared" si="33"/>
        <v>0.74670000000000003</v>
      </c>
    </row>
    <row r="117" spans="1:13">
      <c r="A117" s="908" t="s">
        <v>2881</v>
      </c>
      <c r="B117" s="909">
        <f>ROUND(0.8808-0.006*B113,4)</f>
        <v>0.87109999999999999</v>
      </c>
      <c r="C117" s="909">
        <f>B117</f>
        <v>0.87109999999999999</v>
      </c>
      <c r="D117" s="909">
        <f>ROUND(0.8748-0.008*B113,4)</f>
        <v>0.86180000000000001</v>
      </c>
      <c r="E117" s="909">
        <f t="shared" si="34"/>
        <v>0.86180000000000001</v>
      </c>
      <c r="F117" s="909">
        <f t="shared" si="34"/>
        <v>0.86180000000000001</v>
      </c>
      <c r="G117" s="909">
        <f t="shared" si="34"/>
        <v>0.86180000000000001</v>
      </c>
      <c r="H117" s="909">
        <f t="shared" si="34"/>
        <v>0.86180000000000001</v>
      </c>
      <c r="I117" s="909">
        <f>ROUND(0.7412-0.0095*B113,4)</f>
        <v>0.7258</v>
      </c>
      <c r="J117" s="909">
        <f t="shared" si="33"/>
        <v>0.7258</v>
      </c>
      <c r="K117" s="909">
        <f t="shared" si="33"/>
        <v>0.7258</v>
      </c>
      <c r="L117" s="909">
        <f t="shared" si="33"/>
        <v>0.7258</v>
      </c>
      <c r="M117" s="910">
        <f t="shared" si="33"/>
        <v>0.7258</v>
      </c>
    </row>
    <row r="118" spans="1:13" ht="13.5" thickBot="1">
      <c r="A118" s="714" t="s">
        <v>2882</v>
      </c>
      <c r="B118" s="911">
        <f>ROUND(0.7275-0.01*B113,4)</f>
        <v>0.71130000000000004</v>
      </c>
      <c r="C118" s="911">
        <f>B118</f>
        <v>0.71130000000000004</v>
      </c>
      <c r="D118" s="911">
        <f>ROUND(0.7043-0.012*B113,4)</f>
        <v>0.68489999999999995</v>
      </c>
      <c r="E118" s="911">
        <f>D118</f>
        <v>0.68489999999999995</v>
      </c>
      <c r="F118" s="911">
        <f>E118</f>
        <v>0.68489999999999995</v>
      </c>
      <c r="G118" s="911">
        <f>ROUND(0.6299-0.0122*B113,4)</f>
        <v>0.61009999999999998</v>
      </c>
      <c r="H118" s="911">
        <f>G118</f>
        <v>0.61009999999999998</v>
      </c>
      <c r="I118" s="911">
        <f>ROUND(0.5667-0.0136*B113,4)</f>
        <v>0.54469999999999996</v>
      </c>
      <c r="J118" s="911">
        <f t="shared" si="33"/>
        <v>0.54469999999999996</v>
      </c>
      <c r="K118" s="911">
        <f t="shared" si="33"/>
        <v>0.54469999999999996</v>
      </c>
      <c r="L118" s="911">
        <f t="shared" si="33"/>
        <v>0.54469999999999996</v>
      </c>
      <c r="M118" s="912">
        <f t="shared" si="33"/>
        <v>0.54469999999999996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9" t="s">
        <v>183</v>
      </c>
      <c r="B18" s="881" t="s">
        <v>560</v>
      </c>
      <c r="C18" s="882" t="s">
        <v>561</v>
      </c>
      <c r="D18" s="883"/>
      <c r="E18" s="881">
        <v>1</v>
      </c>
      <c r="F18" s="884" t="s">
        <v>562</v>
      </c>
      <c r="G18" s="885"/>
      <c r="H18" s="877"/>
      <c r="I18" s="877"/>
    </row>
    <row r="19" spans="1:9" s="886" customFormat="1" ht="19.5" customHeight="1">
      <c r="A19" s="3279"/>
      <c r="B19" s="3279" t="s">
        <v>563</v>
      </c>
      <c r="C19" s="882" t="s">
        <v>564</v>
      </c>
      <c r="D19" s="883"/>
      <c r="E19" s="881">
        <v>0.9</v>
      </c>
      <c r="F19" s="884" t="s">
        <v>565</v>
      </c>
      <c r="G19" s="885"/>
      <c r="H19" s="877"/>
      <c r="I19" s="877"/>
    </row>
    <row r="20" spans="1:9" s="886" customFormat="1" ht="19.5" customHeight="1">
      <c r="A20" s="3279"/>
      <c r="B20" s="3279"/>
      <c r="C20" s="882" t="s">
        <v>566</v>
      </c>
      <c r="D20" s="883"/>
      <c r="E20" s="881">
        <v>1.1000000000000001</v>
      </c>
      <c r="F20" s="884" t="s">
        <v>567</v>
      </c>
      <c r="G20" s="885"/>
      <c r="H20" s="877"/>
      <c r="I20" s="877"/>
    </row>
    <row r="21" spans="1:9" s="886" customFormat="1" ht="19.5" customHeight="1">
      <c r="A21" s="3279"/>
      <c r="B21" s="3279"/>
      <c r="C21" s="882" t="s">
        <v>568</v>
      </c>
      <c r="D21" s="883"/>
      <c r="E21" s="881">
        <v>0.8</v>
      </c>
      <c r="F21" s="884" t="s">
        <v>569</v>
      </c>
      <c r="G21" s="885"/>
      <c r="H21" s="877"/>
      <c r="I21" s="877"/>
    </row>
    <row r="22" spans="1:9" s="886" customFormat="1" ht="19.5" customHeight="1">
      <c r="A22" s="3279"/>
      <c r="B22" s="3279"/>
      <c r="C22" s="882" t="s">
        <v>570</v>
      </c>
      <c r="D22" s="883"/>
      <c r="E22" s="881">
        <v>0.5</v>
      </c>
      <c r="F22" s="884"/>
      <c r="G22" s="885"/>
      <c r="H22" s="877"/>
      <c r="I22" s="877"/>
    </row>
    <row r="23" spans="1:9" s="886" customFormat="1" ht="19.5" customHeight="1">
      <c r="A23" s="3279" t="s">
        <v>184</v>
      </c>
      <c r="B23" s="881" t="s">
        <v>560</v>
      </c>
      <c r="C23" s="882" t="s">
        <v>571</v>
      </c>
      <c r="D23" s="883"/>
      <c r="E23" s="881">
        <v>1</v>
      </c>
      <c r="F23" s="884" t="s">
        <v>572</v>
      </c>
      <c r="G23" s="885"/>
      <c r="H23" s="877"/>
      <c r="I23" s="877"/>
    </row>
    <row r="24" spans="1:9" s="886" customFormat="1" ht="19.5" customHeight="1">
      <c r="A24" s="3279"/>
      <c r="B24" s="3279" t="s">
        <v>563</v>
      </c>
      <c r="C24" s="882" t="s">
        <v>573</v>
      </c>
      <c r="D24" s="883"/>
      <c r="E24" s="881">
        <v>0.5</v>
      </c>
      <c r="F24" s="884"/>
      <c r="G24" s="885"/>
      <c r="H24" s="877"/>
      <c r="I24" s="877"/>
    </row>
    <row r="25" spans="1:9" s="886" customFormat="1" ht="19.5" customHeight="1">
      <c r="A25" s="3279"/>
      <c r="B25" s="3279"/>
      <c r="C25" s="882" t="s">
        <v>574</v>
      </c>
      <c r="D25" s="883"/>
      <c r="E25" s="881">
        <v>1.1000000000000001</v>
      </c>
      <c r="F25" s="884"/>
      <c r="G25" s="885"/>
      <c r="H25" s="877"/>
      <c r="I25" s="877"/>
    </row>
    <row r="26" spans="1:9" s="886" customFormat="1" ht="19.5" customHeight="1">
      <c r="A26" s="3279"/>
      <c r="B26" s="3279"/>
      <c r="C26" s="882" t="s">
        <v>575</v>
      </c>
      <c r="D26" s="883"/>
      <c r="E26" s="881">
        <v>1.1000000000000001</v>
      </c>
      <c r="F26" s="884"/>
      <c r="G26" s="885"/>
      <c r="H26" s="877"/>
      <c r="I26" s="877"/>
    </row>
    <row r="27" spans="1:9" s="886" customFormat="1" ht="19.5" customHeight="1">
      <c r="A27" s="3279"/>
      <c r="B27" s="3279"/>
      <c r="C27" s="882" t="s">
        <v>576</v>
      </c>
      <c r="D27" s="883"/>
      <c r="E27" s="881">
        <v>0.9</v>
      </c>
      <c r="F27" s="884" t="s">
        <v>577</v>
      </c>
      <c r="G27" s="885"/>
      <c r="H27" s="877"/>
      <c r="I27" s="877"/>
    </row>
    <row r="28" spans="1:9" s="886" customFormat="1" ht="19.5" customHeight="1">
      <c r="A28" s="3279"/>
      <c r="B28" s="3279"/>
      <c r="C28" s="882" t="s">
        <v>578</v>
      </c>
      <c r="D28" s="883"/>
      <c r="E28" s="881">
        <v>0.9</v>
      </c>
      <c r="F28" s="884" t="s">
        <v>579</v>
      </c>
      <c r="G28" s="885"/>
      <c r="H28" s="877"/>
      <c r="I28" s="877"/>
    </row>
    <row r="29" spans="1:9" s="886" customFormat="1" ht="19.5" customHeight="1">
      <c r="A29" s="3279"/>
      <c r="B29" s="3279"/>
      <c r="C29" s="882" t="s">
        <v>580</v>
      </c>
      <c r="D29" s="883"/>
      <c r="E29" s="881">
        <v>0.9</v>
      </c>
      <c r="F29" s="884" t="s">
        <v>581</v>
      </c>
      <c r="G29" s="885"/>
      <c r="H29" s="877"/>
      <c r="I29" s="877"/>
    </row>
    <row r="30" spans="1:9" s="886" customFormat="1" ht="19.5" customHeight="1">
      <c r="A30" s="3279"/>
      <c r="B30" s="3279"/>
      <c r="C30" s="882" t="s">
        <v>582</v>
      </c>
      <c r="D30" s="883"/>
      <c r="E30" s="881">
        <v>0.9</v>
      </c>
      <c r="F30" s="884" t="s">
        <v>583</v>
      </c>
      <c r="G30" s="885"/>
      <c r="H30" s="877"/>
      <c r="I30" s="877"/>
    </row>
    <row r="31" spans="1:9" s="886" customFormat="1" ht="19.5" customHeight="1">
      <c r="A31" s="3279"/>
      <c r="B31" s="3279"/>
      <c r="C31" s="882" t="s">
        <v>584</v>
      </c>
      <c r="D31" s="883"/>
      <c r="E31" s="881">
        <v>0.8</v>
      </c>
      <c r="F31" s="884" t="s">
        <v>585</v>
      </c>
      <c r="G31" s="885"/>
      <c r="H31" s="877"/>
      <c r="I31" s="877"/>
    </row>
    <row r="32" spans="1:9" s="886" customFormat="1" ht="19.5" customHeight="1">
      <c r="A32" s="3279"/>
      <c r="B32" s="3279"/>
      <c r="C32" s="882" t="s">
        <v>586</v>
      </c>
      <c r="D32" s="883"/>
      <c r="E32" s="881">
        <v>0.8</v>
      </c>
      <c r="F32" s="884" t="s">
        <v>587</v>
      </c>
      <c r="G32" s="885"/>
      <c r="H32" s="877"/>
      <c r="I32" s="877"/>
    </row>
    <row r="33" spans="1:9" s="886" customFormat="1" ht="19.5" customHeight="1">
      <c r="A33" s="3279" t="s">
        <v>185</v>
      </c>
      <c r="B33" s="881" t="s">
        <v>560</v>
      </c>
      <c r="C33" s="882" t="s">
        <v>588</v>
      </c>
      <c r="D33" s="883"/>
      <c r="E33" s="881">
        <v>1</v>
      </c>
      <c r="F33" s="884" t="s">
        <v>589</v>
      </c>
      <c r="G33" s="885"/>
      <c r="H33" s="877"/>
      <c r="I33" s="877"/>
    </row>
    <row r="34" spans="1:9" s="886" customFormat="1" ht="19.5" customHeight="1">
      <c r="A34" s="3279"/>
      <c r="B34" s="881" t="s">
        <v>563</v>
      </c>
      <c r="C34" s="882" t="s">
        <v>590</v>
      </c>
      <c r="D34" s="883"/>
      <c r="E34" s="881">
        <v>1.5</v>
      </c>
      <c r="F34" s="884" t="s">
        <v>591</v>
      </c>
      <c r="G34" s="885"/>
      <c r="H34" s="877"/>
      <c r="I34" s="877"/>
    </row>
    <row r="35" spans="1:9" s="886" customFormat="1" ht="19.5" customHeight="1">
      <c r="A35" s="3279" t="s">
        <v>186</v>
      </c>
      <c r="B35" s="881" t="s">
        <v>560</v>
      </c>
      <c r="C35" s="882" t="s">
        <v>592</v>
      </c>
      <c r="D35" s="883"/>
      <c r="E35" s="881">
        <v>1</v>
      </c>
      <c r="F35" s="884" t="s">
        <v>593</v>
      </c>
      <c r="G35" s="885"/>
      <c r="H35" s="877"/>
      <c r="I35" s="877"/>
    </row>
    <row r="36" spans="1:9" s="886" customFormat="1" ht="19.5" customHeight="1">
      <c r="A36" s="3279"/>
      <c r="B36" s="3279" t="s">
        <v>563</v>
      </c>
      <c r="C36" s="882" t="s">
        <v>594</v>
      </c>
      <c r="D36" s="883"/>
      <c r="E36" s="881">
        <v>1</v>
      </c>
      <c r="F36" s="884" t="s">
        <v>595</v>
      </c>
      <c r="G36" s="885"/>
      <c r="H36" s="877"/>
      <c r="I36" s="877"/>
    </row>
    <row r="37" spans="1:9" s="886" customFormat="1" ht="19.5" customHeight="1">
      <c r="A37" s="3279"/>
      <c r="B37" s="3279"/>
      <c r="C37" s="882" t="s">
        <v>596</v>
      </c>
      <c r="D37" s="883"/>
      <c r="E37" s="881">
        <v>1.5</v>
      </c>
      <c r="F37" s="884" t="s">
        <v>597</v>
      </c>
      <c r="G37" s="885"/>
      <c r="H37" s="877"/>
      <c r="I37" s="877"/>
    </row>
    <row r="38" spans="1:9" s="886" customFormat="1" ht="19.5" customHeight="1">
      <c r="A38" s="3279"/>
      <c r="B38" s="3279"/>
      <c r="C38" s="882" t="s">
        <v>598</v>
      </c>
      <c r="D38" s="883"/>
      <c r="E38" s="881">
        <v>1</v>
      </c>
      <c r="F38" s="884" t="s">
        <v>599</v>
      </c>
      <c r="G38" s="885"/>
      <c r="H38" s="877"/>
      <c r="I38" s="877"/>
    </row>
    <row r="39" spans="1:9" s="886" customFormat="1" ht="19.5" customHeight="1">
      <c r="A39" s="3279"/>
      <c r="B39" s="327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9" t="s">
        <v>614</v>
      </c>
      <c r="C61" s="817" t="s">
        <v>615</v>
      </c>
      <c r="D61" s="817" t="s">
        <v>616</v>
      </c>
      <c r="E61" s="894">
        <v>0.5</v>
      </c>
      <c r="F61" s="881">
        <v>80</v>
      </c>
    </row>
    <row r="62" spans="1:8" s="877" customFormat="1" ht="24">
      <c r="A62" s="881">
        <v>2</v>
      </c>
      <c r="B62" s="3279"/>
      <c r="C62" s="817" t="s">
        <v>617</v>
      </c>
      <c r="D62" s="817" t="s">
        <v>618</v>
      </c>
      <c r="E62" s="894">
        <v>0.5</v>
      </c>
      <c r="F62" s="881">
        <v>80</v>
      </c>
    </row>
    <row r="63" spans="1:8" s="877" customFormat="1" ht="36">
      <c r="A63" s="881">
        <v>3</v>
      </c>
      <c r="B63" s="3279"/>
      <c r="C63" s="817" t="s">
        <v>619</v>
      </c>
      <c r="D63" s="817" t="s">
        <v>620</v>
      </c>
      <c r="E63" s="894">
        <v>0.5</v>
      </c>
      <c r="F63" s="881">
        <v>80</v>
      </c>
    </row>
    <row r="64" spans="1:8" s="877" customFormat="1" ht="36">
      <c r="A64" s="881">
        <v>4</v>
      </c>
      <c r="B64" s="3279"/>
      <c r="C64" s="817" t="s">
        <v>621</v>
      </c>
      <c r="D64" s="817" t="s">
        <v>622</v>
      </c>
      <c r="E64" s="894">
        <v>0.4</v>
      </c>
      <c r="F64" s="881">
        <v>60</v>
      </c>
    </row>
    <row r="65" spans="1:6" s="877" customFormat="1" ht="36">
      <c r="A65" s="881">
        <v>5</v>
      </c>
      <c r="B65" s="3279"/>
      <c r="C65" s="817" t="s">
        <v>623</v>
      </c>
      <c r="D65" s="817" t="s">
        <v>624</v>
      </c>
      <c r="E65" s="894">
        <v>0.2</v>
      </c>
      <c r="F65" s="881">
        <v>30</v>
      </c>
    </row>
    <row r="66" spans="1:6" s="877" customFormat="1" ht="36">
      <c r="A66" s="881">
        <v>6</v>
      </c>
      <c r="B66" s="3279"/>
      <c r="C66" s="817" t="s">
        <v>625</v>
      </c>
      <c r="D66" s="817" t="s">
        <v>626</v>
      </c>
      <c r="E66" s="894">
        <v>0.3</v>
      </c>
      <c r="F66" s="881">
        <v>50</v>
      </c>
    </row>
    <row r="67" spans="1:6" s="877" customFormat="1" ht="36">
      <c r="A67" s="881">
        <v>7</v>
      </c>
      <c r="B67" s="3279"/>
      <c r="C67" s="817" t="s">
        <v>627</v>
      </c>
      <c r="D67" s="817" t="s">
        <v>628</v>
      </c>
      <c r="E67" s="894">
        <v>0.2</v>
      </c>
      <c r="F67" s="881">
        <v>30</v>
      </c>
    </row>
    <row r="68" spans="1:6" s="877" customFormat="1" ht="36">
      <c r="A68" s="881">
        <v>8</v>
      </c>
      <c r="B68" s="3279"/>
      <c r="C68" s="817" t="s">
        <v>629</v>
      </c>
      <c r="D68" s="817" t="s">
        <v>630</v>
      </c>
      <c r="E68" s="894">
        <v>0.2</v>
      </c>
      <c r="F68" s="881">
        <v>30</v>
      </c>
    </row>
    <row r="69" spans="1:6" s="877" customFormat="1" ht="36">
      <c r="A69" s="881">
        <v>9</v>
      </c>
      <c r="B69" s="3279"/>
      <c r="C69" s="817" t="s">
        <v>631</v>
      </c>
      <c r="D69" s="817" t="s">
        <v>632</v>
      </c>
      <c r="E69" s="894">
        <v>0.2</v>
      </c>
      <c r="F69" s="881">
        <v>30</v>
      </c>
    </row>
    <row r="70" spans="1:6" s="877" customFormat="1" ht="48">
      <c r="A70" s="881">
        <v>10</v>
      </c>
      <c r="B70" s="3279"/>
      <c r="C70" s="817" t="s">
        <v>633</v>
      </c>
      <c r="D70" s="817" t="s">
        <v>634</v>
      </c>
      <c r="E70" s="894">
        <v>0.2</v>
      </c>
      <c r="F70" s="881">
        <v>30</v>
      </c>
    </row>
    <row r="71" spans="1:6" s="877" customFormat="1" ht="48">
      <c r="A71" s="881">
        <v>11</v>
      </c>
      <c r="B71" s="3279"/>
      <c r="C71" s="817" t="s">
        <v>635</v>
      </c>
      <c r="D71" s="817" t="s">
        <v>636</v>
      </c>
      <c r="E71" s="894">
        <v>0.2</v>
      </c>
      <c r="F71" s="881">
        <v>30</v>
      </c>
    </row>
    <row r="72" spans="1:6" s="877" customFormat="1" ht="36">
      <c r="A72" s="881">
        <v>12</v>
      </c>
      <c r="B72" s="3279"/>
      <c r="C72" s="817" t="s">
        <v>637</v>
      </c>
      <c r="D72" s="817" t="s">
        <v>638</v>
      </c>
      <c r="E72" s="894">
        <v>0.5</v>
      </c>
      <c r="F72" s="881">
        <v>80</v>
      </c>
    </row>
    <row r="73" spans="1:6" s="877" customFormat="1" ht="24">
      <c r="A73" s="881">
        <v>13</v>
      </c>
      <c r="B73" s="3279"/>
      <c r="C73" s="817" t="s">
        <v>639</v>
      </c>
      <c r="D73" s="817" t="s">
        <v>640</v>
      </c>
      <c r="E73" s="894">
        <v>0.4</v>
      </c>
      <c r="F73" s="881">
        <v>60</v>
      </c>
    </row>
    <row r="74" spans="1:6" s="877" customFormat="1" ht="24">
      <c r="A74" s="881">
        <v>14</v>
      </c>
      <c r="B74" s="3279"/>
      <c r="C74" s="817" t="s">
        <v>641</v>
      </c>
      <c r="D74" s="817" t="s">
        <v>642</v>
      </c>
      <c r="E74" s="894">
        <v>0.2</v>
      </c>
      <c r="F74" s="881">
        <v>30</v>
      </c>
    </row>
    <row r="75" spans="1:6" s="877" customFormat="1" ht="24">
      <c r="A75" s="881">
        <v>15</v>
      </c>
      <c r="B75" s="3279"/>
      <c r="C75" s="817" t="s">
        <v>643</v>
      </c>
      <c r="D75" s="817" t="s">
        <v>644</v>
      </c>
      <c r="E75" s="894">
        <v>0.2</v>
      </c>
      <c r="F75" s="881">
        <v>30</v>
      </c>
    </row>
    <row r="76" spans="1:6" s="877" customFormat="1" ht="24">
      <c r="A76" s="881">
        <v>16</v>
      </c>
      <c r="B76" s="3279" t="s">
        <v>645</v>
      </c>
      <c r="C76" s="817" t="s">
        <v>646</v>
      </c>
      <c r="D76" s="817" t="s">
        <v>647</v>
      </c>
      <c r="E76" s="894">
        <v>0.5</v>
      </c>
      <c r="F76" s="881">
        <v>80</v>
      </c>
    </row>
    <row r="77" spans="1:6" s="877" customFormat="1" ht="24">
      <c r="A77" s="881">
        <v>17</v>
      </c>
      <c r="B77" s="3279"/>
      <c r="C77" s="817" t="s">
        <v>648</v>
      </c>
      <c r="D77" s="817" t="s">
        <v>649</v>
      </c>
      <c r="E77" s="894">
        <v>0.5</v>
      </c>
      <c r="F77" s="881">
        <v>80</v>
      </c>
    </row>
    <row r="78" spans="1:6" s="877" customFormat="1" ht="24">
      <c r="A78" s="881">
        <v>18</v>
      </c>
      <c r="B78" s="3279"/>
      <c r="C78" s="817" t="s">
        <v>650</v>
      </c>
      <c r="D78" s="817" t="s">
        <v>651</v>
      </c>
      <c r="E78" s="894">
        <v>0.2</v>
      </c>
      <c r="F78" s="881">
        <v>30</v>
      </c>
    </row>
    <row r="79" spans="1:6" s="877" customFormat="1" ht="24">
      <c r="A79" s="881">
        <v>19</v>
      </c>
      <c r="B79" s="3279"/>
      <c r="C79" s="817" t="s">
        <v>652</v>
      </c>
      <c r="D79" s="817" t="s">
        <v>653</v>
      </c>
      <c r="E79" s="894">
        <v>0.5</v>
      </c>
      <c r="F79" s="881">
        <v>80</v>
      </c>
    </row>
    <row r="80" spans="1:6" s="877" customFormat="1" ht="36">
      <c r="A80" s="881">
        <v>20</v>
      </c>
      <c r="B80" s="3279"/>
      <c r="C80" s="817" t="s">
        <v>654</v>
      </c>
      <c r="D80" s="817" t="s">
        <v>655</v>
      </c>
      <c r="E80" s="894">
        <v>0.2</v>
      </c>
      <c r="F80" s="881">
        <v>30</v>
      </c>
    </row>
    <row r="81" spans="1:6" s="877" customFormat="1" ht="36">
      <c r="A81" s="881">
        <v>21</v>
      </c>
      <c r="B81" s="3279"/>
      <c r="C81" s="817" t="s">
        <v>656</v>
      </c>
      <c r="D81" s="817" t="s">
        <v>657</v>
      </c>
      <c r="E81" s="894">
        <v>0.2</v>
      </c>
      <c r="F81" s="881">
        <v>30</v>
      </c>
    </row>
    <row r="82" spans="1:6" s="877" customFormat="1" ht="48">
      <c r="A82" s="881">
        <v>22</v>
      </c>
      <c r="B82" s="3279"/>
      <c r="C82" s="817" t="s">
        <v>658</v>
      </c>
      <c r="D82" s="817" t="s">
        <v>659</v>
      </c>
      <c r="E82" s="894">
        <v>0.2</v>
      </c>
      <c r="F82" s="881">
        <v>30</v>
      </c>
    </row>
    <row r="83" spans="1:6" s="877" customFormat="1" ht="48">
      <c r="A83" s="881">
        <v>23</v>
      </c>
      <c r="B83" s="3279"/>
      <c r="C83" s="817" t="s">
        <v>660</v>
      </c>
      <c r="D83" s="817" t="s">
        <v>661</v>
      </c>
      <c r="E83" s="894">
        <v>0.2</v>
      </c>
      <c r="F83" s="881">
        <v>30</v>
      </c>
    </row>
    <row r="84" spans="1:6" s="877" customFormat="1" ht="36">
      <c r="A84" s="881">
        <v>24</v>
      </c>
      <c r="B84" s="3279"/>
      <c r="C84" s="817" t="s">
        <v>662</v>
      </c>
      <c r="D84" s="817" t="s">
        <v>663</v>
      </c>
      <c r="E84" s="894">
        <v>0.2</v>
      </c>
      <c r="F84" s="881">
        <v>30</v>
      </c>
    </row>
    <row r="85" spans="1:6" s="877" customFormat="1" ht="36">
      <c r="A85" s="881">
        <v>25</v>
      </c>
      <c r="B85" s="3279"/>
      <c r="C85" s="817" t="s">
        <v>664</v>
      </c>
      <c r="D85" s="817" t="s">
        <v>665</v>
      </c>
      <c r="E85" s="894">
        <v>0.5</v>
      </c>
      <c r="F85" s="881">
        <v>80</v>
      </c>
    </row>
    <row r="86" spans="1:6" s="877" customFormat="1" ht="36">
      <c r="A86" s="881">
        <v>26</v>
      </c>
      <c r="B86" s="3279"/>
      <c r="C86" s="817" t="s">
        <v>666</v>
      </c>
      <c r="D86" s="817" t="s">
        <v>667</v>
      </c>
      <c r="E86" s="894">
        <v>0.2</v>
      </c>
      <c r="F86" s="881">
        <v>30</v>
      </c>
    </row>
    <row r="87" spans="1:6" s="877" customFormat="1" ht="36">
      <c r="A87" s="881">
        <v>27</v>
      </c>
      <c r="B87" s="3279"/>
      <c r="C87" s="817" t="s">
        <v>668</v>
      </c>
      <c r="D87" s="817" t="s">
        <v>669</v>
      </c>
      <c r="E87" s="894">
        <v>0.2</v>
      </c>
      <c r="F87" s="881">
        <v>30</v>
      </c>
    </row>
    <row r="88" spans="1:6" s="877" customFormat="1" ht="36">
      <c r="A88" s="881">
        <v>28</v>
      </c>
      <c r="B88" s="3279"/>
      <c r="C88" s="817" t="s">
        <v>670</v>
      </c>
      <c r="D88" s="817" t="s">
        <v>671</v>
      </c>
      <c r="E88" s="894">
        <v>0.2</v>
      </c>
      <c r="F88" s="881">
        <v>30</v>
      </c>
    </row>
    <row r="89" spans="1:6" s="877" customFormat="1" ht="24">
      <c r="A89" s="881">
        <v>29</v>
      </c>
      <c r="B89" s="3279"/>
      <c r="C89" s="817" t="s">
        <v>672</v>
      </c>
      <c r="D89" s="817" t="s">
        <v>673</v>
      </c>
      <c r="E89" s="894">
        <v>0.2</v>
      </c>
      <c r="F89" s="881">
        <v>30</v>
      </c>
    </row>
    <row r="90" spans="1:6" s="877" customFormat="1" ht="24">
      <c r="A90" s="881">
        <v>30</v>
      </c>
      <c r="B90" s="3279"/>
      <c r="C90" s="817" t="s">
        <v>674</v>
      </c>
      <c r="D90" s="817" t="s">
        <v>675</v>
      </c>
      <c r="E90" s="894">
        <v>0.2</v>
      </c>
      <c r="F90" s="881">
        <v>30</v>
      </c>
    </row>
    <row r="91" spans="1:6" s="877" customFormat="1" ht="36">
      <c r="A91" s="881">
        <v>31</v>
      </c>
      <c r="B91" s="3279"/>
      <c r="C91" s="817" t="s">
        <v>676</v>
      </c>
      <c r="D91" s="817" t="s">
        <v>677</v>
      </c>
      <c r="E91" s="894">
        <v>0.2</v>
      </c>
      <c r="F91" s="881">
        <v>30</v>
      </c>
    </row>
    <row r="92" spans="1:6" s="877" customFormat="1" ht="24">
      <c r="A92" s="881">
        <v>32</v>
      </c>
      <c r="B92" s="3279" t="s">
        <v>678</v>
      </c>
      <c r="C92" s="881" t="s">
        <v>679</v>
      </c>
      <c r="D92" s="817" t="s">
        <v>680</v>
      </c>
      <c r="E92" s="894">
        <v>0.2</v>
      </c>
      <c r="F92" s="881">
        <v>30</v>
      </c>
    </row>
    <row r="93" spans="1:6" s="877" customFormat="1" ht="36">
      <c r="A93" s="881">
        <v>33</v>
      </c>
      <c r="B93" s="3279"/>
      <c r="C93" s="881" t="s">
        <v>681</v>
      </c>
      <c r="D93" s="817" t="s">
        <v>682</v>
      </c>
      <c r="E93" s="894">
        <v>0.2</v>
      </c>
      <c r="F93" s="881">
        <v>30</v>
      </c>
    </row>
    <row r="94" spans="1:6" s="877" customFormat="1" ht="48">
      <c r="A94" s="881">
        <v>34</v>
      </c>
      <c r="B94" s="3279"/>
      <c r="C94" s="881" t="s">
        <v>683</v>
      </c>
      <c r="D94" s="817" t="s">
        <v>684</v>
      </c>
      <c r="E94" s="894">
        <v>0.2</v>
      </c>
      <c r="F94" s="881">
        <v>30</v>
      </c>
    </row>
    <row r="95" spans="1:6" s="877" customFormat="1" ht="36">
      <c r="A95" s="881">
        <v>35</v>
      </c>
      <c r="B95" s="3279"/>
      <c r="C95" s="881" t="s">
        <v>685</v>
      </c>
      <c r="D95" s="817" t="s">
        <v>686</v>
      </c>
      <c r="E95" s="894">
        <v>0.2</v>
      </c>
      <c r="F95" s="881">
        <v>30</v>
      </c>
    </row>
    <row r="96" spans="1:6" s="877" customFormat="1" ht="48">
      <c r="A96" s="881">
        <v>36</v>
      </c>
      <c r="B96" s="3279"/>
      <c r="C96" s="817" t="s">
        <v>687</v>
      </c>
      <c r="D96" s="817" t="s">
        <v>688</v>
      </c>
      <c r="E96" s="894">
        <v>0.2</v>
      </c>
      <c r="F96" s="881">
        <v>30</v>
      </c>
    </row>
    <row r="97" spans="1:6" s="877" customFormat="1" ht="36">
      <c r="A97" s="881">
        <v>37</v>
      </c>
      <c r="B97" s="3279"/>
      <c r="C97" s="881" t="s">
        <v>689</v>
      </c>
      <c r="D97" s="817" t="s">
        <v>690</v>
      </c>
      <c r="E97" s="894">
        <v>0.2</v>
      </c>
      <c r="F97" s="881">
        <v>30</v>
      </c>
    </row>
    <row r="98" spans="1:6" s="877" customFormat="1" ht="36">
      <c r="A98" s="881">
        <v>38</v>
      </c>
      <c r="B98" s="3279"/>
      <c r="C98" s="881" t="s">
        <v>691</v>
      </c>
      <c r="D98" s="817" t="s">
        <v>692</v>
      </c>
      <c r="E98" s="894">
        <v>0.2</v>
      </c>
      <c r="F98" s="881">
        <v>30</v>
      </c>
    </row>
    <row r="99" spans="1:6" s="877" customFormat="1" ht="36">
      <c r="A99" s="881">
        <v>39</v>
      </c>
      <c r="B99" s="3279" t="s">
        <v>693</v>
      </c>
      <c r="C99" s="881" t="s">
        <v>694</v>
      </c>
      <c r="D99" s="817" t="s">
        <v>695</v>
      </c>
      <c r="E99" s="894">
        <v>0.3</v>
      </c>
      <c r="F99" s="881">
        <v>50</v>
      </c>
    </row>
    <row r="100" spans="1:6" s="877" customFormat="1" ht="24">
      <c r="A100" s="881">
        <v>40</v>
      </c>
      <c r="B100" s="3279"/>
      <c r="C100" s="881" t="s">
        <v>696</v>
      </c>
      <c r="D100" s="817" t="s">
        <v>697</v>
      </c>
      <c r="E100" s="894">
        <v>0.2</v>
      </c>
      <c r="F100" s="881">
        <v>30</v>
      </c>
    </row>
    <row r="101" spans="1:6" s="877" customFormat="1" ht="36">
      <c r="A101" s="881">
        <v>41</v>
      </c>
      <c r="B101" s="327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9" t="s">
        <v>708</v>
      </c>
      <c r="C105" s="881" t="s">
        <v>709</v>
      </c>
      <c r="D105" s="817" t="s">
        <v>710</v>
      </c>
      <c r="E105" s="894">
        <v>0.2</v>
      </c>
      <c r="F105" s="881">
        <v>30</v>
      </c>
    </row>
    <row r="106" spans="1:6" s="877" customFormat="1" ht="36">
      <c r="A106" s="881">
        <v>46</v>
      </c>
      <c r="B106" s="3279"/>
      <c r="C106" s="881" t="s">
        <v>711</v>
      </c>
      <c r="D106" s="817" t="s">
        <v>712</v>
      </c>
      <c r="E106" s="894">
        <v>0.2</v>
      </c>
      <c r="F106" s="881">
        <v>30</v>
      </c>
    </row>
    <row r="107" spans="1:6" s="877" customFormat="1" ht="36">
      <c r="A107" s="881">
        <v>47</v>
      </c>
      <c r="B107" s="3279" t="s">
        <v>713</v>
      </c>
      <c r="C107" s="881" t="s">
        <v>714</v>
      </c>
      <c r="D107" s="817" t="s">
        <v>715</v>
      </c>
      <c r="E107" s="894">
        <v>0.3</v>
      </c>
      <c r="F107" s="881">
        <v>50</v>
      </c>
    </row>
    <row r="108" spans="1:6" s="877" customFormat="1" ht="36">
      <c r="A108" s="881">
        <v>48</v>
      </c>
      <c r="B108" s="327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9" t="s">
        <v>724</v>
      </c>
      <c r="C111" s="881" t="s">
        <v>725</v>
      </c>
      <c r="D111" s="817" t="s">
        <v>726</v>
      </c>
      <c r="E111" s="894">
        <v>0.2</v>
      </c>
      <c r="F111" s="881">
        <v>30</v>
      </c>
    </row>
    <row r="112" spans="1:6" s="877" customFormat="1" ht="24">
      <c r="A112" s="881">
        <v>52</v>
      </c>
      <c r="B112" s="3279"/>
      <c r="C112" s="881" t="s">
        <v>727</v>
      </c>
      <c r="D112" s="817" t="s">
        <v>728</v>
      </c>
      <c r="E112" s="894">
        <v>0.2</v>
      </c>
      <c r="F112" s="881">
        <v>30</v>
      </c>
    </row>
    <row r="113" spans="1:6" s="877" customFormat="1" ht="24">
      <c r="A113" s="881">
        <v>53</v>
      </c>
      <c r="B113" s="327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9" t="s">
        <v>737</v>
      </c>
      <c r="C116" s="881" t="s">
        <v>738</v>
      </c>
      <c r="D116" s="817" t="s">
        <v>739</v>
      </c>
      <c r="E116" s="894">
        <v>0.2</v>
      </c>
      <c r="F116" s="881">
        <v>30</v>
      </c>
    </row>
    <row r="117" spans="1:6" ht="36">
      <c r="A117" s="881">
        <v>57</v>
      </c>
      <c r="B117" s="327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1.0740000000000001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估价结果一览表（市场价值不需“结果表-1”）</v>
      </c>
      <c r="B3" s="2973"/>
      <c r="C3" s="2973"/>
      <c r="D3" s="2973"/>
      <c r="E3" s="2973"/>
    </row>
    <row r="4" spans="1:5" ht="19.5" thickBot="1">
      <c r="A4" s="1964"/>
      <c r="B4" s="2971" t="s">
        <v>1632</v>
      </c>
      <c r="C4" s="2971"/>
      <c r="D4" s="2971"/>
      <c r="E4" s="1964"/>
    </row>
    <row r="5" spans="1:5" ht="16.5" thickTop="1">
      <c r="A5" s="1962"/>
      <c r="B5" s="2969" t="s">
        <v>1624</v>
      </c>
      <c r="C5" s="1965" t="s">
        <v>1625</v>
      </c>
      <c r="D5" s="1042">
        <f ca="1">结果表!H101</f>
        <v>12626</v>
      </c>
      <c r="E5" s="1962"/>
    </row>
    <row r="6" spans="1:5" ht="15.75">
      <c r="A6" s="1962"/>
      <c r="B6" s="2969"/>
      <c r="C6" s="1965" t="s">
        <v>1626</v>
      </c>
      <c r="D6" s="1042" t="str">
        <f ca="1">NUMBERSTRING(INT(D5*10000),2)&amp;"元整"</f>
        <v>壹亿贰仟陆佰贰拾陆万元整</v>
      </c>
      <c r="E6" s="1962"/>
    </row>
    <row r="7" spans="1:5" ht="15.75">
      <c r="A7" s="1962"/>
      <c r="B7" s="2974"/>
      <c r="C7" s="1966" t="s">
        <v>1627</v>
      </c>
      <c r="D7" s="1043">
        <f ca="1">结果表!H102</f>
        <v>7549</v>
      </c>
      <c r="E7" s="1962"/>
    </row>
    <row r="8" spans="1:5" ht="15.75">
      <c r="A8" s="1962"/>
      <c r="B8" s="2975" t="str">
        <f>结果表!E103</f>
        <v>2.估价师知悉的法定优先受偿款</v>
      </c>
      <c r="C8" s="1967" t="s">
        <v>1628</v>
      </c>
      <c r="D8" s="1043">
        <f>结果表!H103</f>
        <v>0</v>
      </c>
      <c r="E8" s="1962"/>
    </row>
    <row r="9" spans="1:5" ht="15.75">
      <c r="A9" s="1962"/>
      <c r="B9" s="2977"/>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68" t="str">
        <f>结果表!E107</f>
        <v>3.房地产抵押价值</v>
      </c>
      <c r="C13" s="1970" t="s">
        <v>1625</v>
      </c>
      <c r="D13" s="1045">
        <f ca="1">结果表!H107</f>
        <v>12626</v>
      </c>
      <c r="E13" s="1962"/>
    </row>
    <row r="14" spans="1:5" ht="15.75">
      <c r="A14" s="1962"/>
      <c r="B14" s="2969"/>
      <c r="C14" s="1965" t="s">
        <v>1626</v>
      </c>
      <c r="D14" s="1042" t="str">
        <f ca="1">NUMBERSTRING(INT(D13*10000),2)&amp;"元整"</f>
        <v>壹亿贰仟陆佰贰拾陆万元整</v>
      </c>
      <c r="E14" s="1962"/>
    </row>
    <row r="15" spans="1:5" ht="15">
      <c r="A15" s="1962"/>
      <c r="B15" s="2974"/>
      <c r="C15" s="1966" t="s">
        <v>1636</v>
      </c>
      <c r="D15" s="1054">
        <f ca="1">结果表!H108</f>
        <v>7549</v>
      </c>
      <c r="E15" s="1962"/>
    </row>
    <row r="16" spans="1:5" ht="15">
      <c r="A16" s="1962"/>
      <c r="B16" s="2975" t="str">
        <f>结果表!E109</f>
        <v>4.抵押担保权已注销时的房地产抵押价值</v>
      </c>
      <c r="C16" s="1970" t="s">
        <v>1637</v>
      </c>
      <c r="D16" s="1971">
        <f ca="1">结果表!H109</f>
        <v>12626</v>
      </c>
      <c r="E16" s="1962"/>
    </row>
    <row r="17" spans="1:5" ht="15.75">
      <c r="A17" s="1962"/>
      <c r="B17" s="2976"/>
      <c r="C17" s="1965" t="s">
        <v>1638</v>
      </c>
      <c r="D17" s="1042" t="str">
        <f ca="1">NUMBERSTRING(INT(D16*10000),2)&amp;"元整"</f>
        <v>壹亿贰仟陆佰贰拾陆万元整</v>
      </c>
      <c r="E17" s="1962"/>
    </row>
    <row r="18" spans="1:5" ht="15">
      <c r="A18" s="1962"/>
      <c r="B18" s="2977"/>
      <c r="C18" s="1966" t="s">
        <v>1627</v>
      </c>
      <c r="D18" s="1054">
        <f ca="1">结果表!H110</f>
        <v>7549</v>
      </c>
      <c r="E18" s="1962"/>
    </row>
    <row r="19" spans="1:5" ht="15.75">
      <c r="A19" s="1962"/>
      <c r="B19" s="2968" t="str">
        <f>结果表!E111</f>
        <v>——</v>
      </c>
      <c r="C19" s="1970" t="s">
        <v>1625</v>
      </c>
      <c r="D19" s="1043" t="str">
        <f>结果表!H111</f>
        <v>——</v>
      </c>
      <c r="E19" s="1962"/>
    </row>
    <row r="20" spans="1:5" ht="15.75">
      <c r="A20" s="1962"/>
      <c r="B20" s="2969"/>
      <c r="C20" s="1965" t="s">
        <v>1638</v>
      </c>
      <c r="D20" s="1042" t="e">
        <f>NUMBERSTRING(INT(D19*10000),2)&amp;"元整"</f>
        <v>#VALUE!</v>
      </c>
      <c r="E20" s="1962"/>
    </row>
    <row r="21" spans="1:5" ht="15.75" thickBot="1">
      <c r="A21" s="1962"/>
      <c r="B21" s="2970"/>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3005</v>
      </c>
    </row>
    <row r="2" spans="1:5" ht="15.75">
      <c r="A2" s="2911" t="s">
        <v>2997</v>
      </c>
      <c r="B2" s="2912" t="e">
        <f ca="1">SUMIF(B6:B13,"&lt;&gt;#ref!",B6:B13)</f>
        <v>#DIV/0!</v>
      </c>
      <c r="C2" s="2911" t="s">
        <v>2998</v>
      </c>
      <c r="D2" s="2911" t="s">
        <v>2999</v>
      </c>
      <c r="E2" s="2912" t="e">
        <f ca="1">SUM(E6:E13)</f>
        <v>#REF!</v>
      </c>
    </row>
    <row r="3" spans="1:5" ht="15.75">
      <c r="A3" s="2911" t="s">
        <v>3000</v>
      </c>
      <c r="B3" s="2912" t="e">
        <f ca="1">ROUND(B2*10000/E2,0)</f>
        <v>#DIV/0!</v>
      </c>
      <c r="C3" s="2911" t="s">
        <v>3006</v>
      </c>
      <c r="D3" s="2913"/>
      <c r="E3" s="2913"/>
    </row>
    <row r="4" spans="1:5" ht="15.75">
      <c r="A4" s="2914"/>
      <c r="B4" s="2913"/>
      <c r="C4" s="2913"/>
      <c r="D4" s="2913"/>
      <c r="E4" s="2913"/>
    </row>
    <row r="5" spans="1:5" ht="28.5">
      <c r="A5" s="2915" t="s">
        <v>3001</v>
      </c>
      <c r="B5" s="2911" t="s">
        <v>3002</v>
      </c>
      <c r="C5" s="2912"/>
      <c r="D5" s="2913"/>
      <c r="E5" s="2911" t="s">
        <v>3003</v>
      </c>
    </row>
    <row r="6" spans="1:5" ht="15.75">
      <c r="A6" s="2916" t="s">
        <v>3004</v>
      </c>
      <c r="B6" s="2912" t="e">
        <f ca="1">SUMIF(INDIRECT("'"&amp;A6&amp;"'"&amp;"!A:A"),"总价",INDIRECT("'"&amp;A6&amp;"'"&amp;"!B:B"))</f>
        <v>#DIV/0!</v>
      </c>
      <c r="C6" s="2911" t="s">
        <v>2998</v>
      </c>
      <c r="D6" s="2913"/>
      <c r="E6" s="2576">
        <f ca="1">SUMIF(INDIRECT("'"&amp;A6&amp;"'"&amp;"!C:C"),"建筑面积",INDIRECT("'"&amp;A6&amp;"'"&amp;"!D:D"))</f>
        <v>0</v>
      </c>
    </row>
    <row r="7" spans="1:5" ht="15.75">
      <c r="A7" s="2916"/>
      <c r="B7" s="2912" t="e">
        <f ca="1">SUMIF(INDIRECT("'"&amp;A7&amp;"'"&amp;"!A:A"),"总价",INDIRECT("'"&amp;A7&amp;"'"&amp;"!B:B"))</f>
        <v>#REF!</v>
      </c>
      <c r="C7" s="2911" t="s">
        <v>2998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2998</v>
      </c>
      <c r="D8" s="2913"/>
      <c r="E8" s="2576" t="e">
        <f t="shared" ca="1" si="0"/>
        <v>#REF!</v>
      </c>
    </row>
    <row r="9" spans="1:5" ht="15.75">
      <c r="A9" s="2916"/>
      <c r="B9" s="2912" t="e">
        <f t="shared" ca="1" si="1"/>
        <v>#REF!</v>
      </c>
      <c r="C9" s="2911" t="s">
        <v>2998</v>
      </c>
      <c r="D9" s="2913"/>
      <c r="E9" s="2576" t="e">
        <f t="shared" ca="1" si="0"/>
        <v>#REF!</v>
      </c>
    </row>
    <row r="10" spans="1:5" ht="15.75">
      <c r="A10" s="2916"/>
      <c r="B10" s="2912" t="e">
        <f t="shared" ca="1" si="1"/>
        <v>#REF!</v>
      </c>
      <c r="C10" s="2911" t="s">
        <v>2998</v>
      </c>
      <c r="D10" s="2913"/>
      <c r="E10" s="2576" t="e">
        <f t="shared" ca="1" si="0"/>
        <v>#REF!</v>
      </c>
    </row>
    <row r="11" spans="1:5" ht="15.75">
      <c r="A11" s="2916"/>
      <c r="B11" s="2912" t="e">
        <f t="shared" ca="1" si="1"/>
        <v>#REF!</v>
      </c>
      <c r="C11" s="2911" t="s">
        <v>2998</v>
      </c>
      <c r="D11" s="2913"/>
      <c r="E11" s="2576" t="e">
        <f t="shared" ca="1" si="0"/>
        <v>#REF!</v>
      </c>
    </row>
    <row r="12" spans="1:5" ht="15.75">
      <c r="A12" s="2916"/>
      <c r="B12" s="2912" t="e">
        <f t="shared" ca="1" si="1"/>
        <v>#REF!</v>
      </c>
      <c r="C12" s="2911" t="s">
        <v>2998</v>
      </c>
      <c r="D12" s="2913"/>
      <c r="E12" s="2576" t="e">
        <f t="shared" ca="1" si="0"/>
        <v>#REF!</v>
      </c>
    </row>
    <row r="13" spans="1:5" ht="15.75">
      <c r="A13" s="2916"/>
      <c r="B13" s="2912" t="e">
        <f t="shared" ca="1" si="1"/>
        <v>#REF!</v>
      </c>
      <c r="C13" s="2911" t="s">
        <v>2998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85" t="s">
        <v>1150</v>
      </c>
      <c r="C1" s="3285"/>
      <c r="D1" s="3285"/>
      <c r="E1" s="3285"/>
      <c r="F1" s="3285"/>
      <c r="G1" s="3284" t="s">
        <v>1151</v>
      </c>
      <c r="H1" s="3284"/>
      <c r="I1" s="3284"/>
      <c r="J1" s="3284"/>
      <c r="K1" s="3284"/>
      <c r="L1" s="3284"/>
      <c r="N1" s="3284" t="s">
        <v>1152</v>
      </c>
      <c r="O1" s="3284"/>
      <c r="P1" s="3284"/>
      <c r="Q1" s="3284"/>
      <c r="R1" s="1448"/>
      <c r="S1" s="3284" t="s">
        <v>1153</v>
      </c>
      <c r="T1" s="3284"/>
      <c r="U1" s="3284"/>
      <c r="V1" s="3284"/>
      <c r="X1" s="3283" t="s">
        <v>1154</v>
      </c>
      <c r="Y1" s="3284"/>
      <c r="Z1" s="3284"/>
      <c r="AA1" s="3284"/>
      <c r="AB1" s="3284"/>
      <c r="AD1" s="3283" t="s">
        <v>1155</v>
      </c>
      <c r="AE1" s="3284"/>
      <c r="AF1" s="3284"/>
      <c r="AG1" s="3284"/>
      <c r="AH1" s="3284"/>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5"/>
      <c r="J3" s="2925"/>
      <c r="K3" s="2925"/>
      <c r="L3" s="2925"/>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3042</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5">
        <f>ROUND(AVERAGE(I5:I20),2)</f>
        <v>2.4900000000000002</v>
      </c>
      <c r="J4" s="2925">
        <f t="shared" ref="J4:L4" si="7">ROUND(AVERAGE(J5:J20),2)</f>
        <v>1.64</v>
      </c>
      <c r="K4" s="2925">
        <f t="shared" si="7"/>
        <v>2.78</v>
      </c>
      <c r="L4" s="2925">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3040</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3">
        <v>4</v>
      </c>
      <c r="I5" s="2926">
        <f>ROUND(AVERAGE(I6:I20),2)</f>
        <v>2.4900000000000002</v>
      </c>
      <c r="J5" s="2926">
        <f>ROUND(AVERAGE(J6:J20),2)</f>
        <v>1.64</v>
      </c>
      <c r="K5" s="2926">
        <f>ROUND(AVERAGE(K6:K20),2)</f>
        <v>2.78</v>
      </c>
      <c r="L5" s="2926">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3041</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4"/>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3"/>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4"/>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86">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81"/>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81"/>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82"/>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80">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81"/>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81"/>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82"/>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80">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81"/>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81"/>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82"/>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87">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88"/>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88"/>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89"/>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80">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81"/>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81"/>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82"/>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80">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81">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81">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82">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80">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81">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81">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82">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80">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81">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81">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82">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80">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81">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81">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82">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80">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81">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81">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82">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80">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81">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81">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82">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80">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81">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81">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82">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80">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81">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81">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82">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80">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81">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81">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82">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80">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81">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81">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82">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3007</v>
      </c>
      <c r="C1" s="3291" t="s">
        <v>3008</v>
      </c>
      <c r="D1" s="3292"/>
      <c r="E1" s="3292"/>
      <c r="F1" s="3292"/>
      <c r="G1" s="3292"/>
      <c r="H1" s="3292"/>
      <c r="I1" s="3292"/>
      <c r="J1" s="3292"/>
      <c r="K1" s="3292"/>
      <c r="L1" s="3292"/>
      <c r="M1" s="3292"/>
      <c r="N1" s="3292"/>
      <c r="O1" s="3292"/>
      <c r="P1" s="3292"/>
      <c r="Q1" s="3292"/>
      <c r="R1" s="3292"/>
      <c r="S1" s="3293"/>
      <c r="T1" s="1206" t="s">
        <v>3009</v>
      </c>
    </row>
    <row r="2" spans="1:45" s="707" customFormat="1">
      <c r="A2" s="1207"/>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3011</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3012</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3013</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3014</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3015</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3016</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3017</v>
      </c>
      <c r="B17" s="2918"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3019</v>
      </c>
      <c r="E19" s="1795"/>
      <c r="F19" s="1795"/>
      <c r="G19" s="1795"/>
      <c r="H19" s="1282"/>
      <c r="I19" s="168"/>
      <c r="J19" s="168"/>
      <c r="K19" s="168"/>
      <c r="L19" s="168"/>
      <c r="M19" s="168"/>
      <c r="N19" s="168"/>
      <c r="O19" s="168"/>
      <c r="P19" s="168"/>
      <c r="Q19" s="168"/>
      <c r="R19" s="788"/>
      <c r="S19" s="138"/>
    </row>
    <row r="20" spans="1:45" ht="16.5" thickBot="1">
      <c r="A20" s="715" t="s">
        <v>3020</v>
      </c>
      <c r="B20" s="338" t="e">
        <f ca="1">IF(D20="——",S22,S22-F20)</f>
        <v>#REF!</v>
      </c>
      <c r="C20" s="168"/>
      <c r="D20" s="2920" t="s">
        <v>3021</v>
      </c>
      <c r="E20" s="1796"/>
      <c r="F20" s="1206" t="e">
        <f ca="1">SUMIF(INDIRECT("'"&amp;H20&amp;"'"&amp;"!A:A"),"承租人权益价值",INDIRECT("'"&amp;H20&amp;"'"&amp;"!c:c"))</f>
        <v>#REF!</v>
      </c>
      <c r="G20" s="1206" t="s">
        <v>3022</v>
      </c>
      <c r="H20" s="2921"/>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48" t="s">
        <v>33</v>
      </c>
      <c r="D22" s="3149"/>
      <c r="E22" s="3149"/>
      <c r="F22" s="3149"/>
      <c r="G22" s="3149"/>
      <c r="H22" s="3149"/>
      <c r="I22" s="3149"/>
      <c r="J22" s="3149"/>
      <c r="K22" s="3149"/>
      <c r="L22" s="3149"/>
      <c r="M22" s="3149"/>
      <c r="N22" s="3149"/>
      <c r="O22" s="3149"/>
      <c r="P22" s="3149"/>
      <c r="Q22" s="3290"/>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34236</v>
      </c>
      <c r="C2" s="2" t="s">
        <v>133</v>
      </c>
      <c r="D2" s="243"/>
      <c r="E2" s="243"/>
      <c r="F2" s="243"/>
      <c r="G2" s="243"/>
    </row>
    <row r="3" spans="1:7" s="244" customFormat="1" ht="18" customHeight="1" thickBot="1">
      <c r="A3" s="247" t="s">
        <v>85</v>
      </c>
      <c r="B3" s="248">
        <f ca="1">ROUND(B2*10000/'数据-汇总表'!E3,0)</f>
        <v>20471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200</v>
      </c>
      <c r="F9" s="265"/>
      <c r="G9" s="270"/>
    </row>
    <row r="10" spans="1:7" s="258" customFormat="1" ht="13.5" customHeight="1">
      <c r="A10" s="952" t="s">
        <v>801</v>
      </c>
      <c r="B10" s="268" t="s">
        <v>94</v>
      </c>
      <c r="C10" s="269">
        <f>ROUND(D10*E10/10000,0)</f>
        <v>334</v>
      </c>
      <c r="D10" s="1034">
        <f>'数据-汇总表'!E6</f>
        <v>16724.510000000002</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334</v>
      </c>
      <c r="D19" s="1038">
        <f>'数据-汇总表'!E3</f>
        <v>16724.510000000002</v>
      </c>
      <c r="E19" s="255">
        <f>'数据-取费表'!B31</f>
        <v>200</v>
      </c>
      <c r="F19" s="275"/>
      <c r="G19" s="1" t="s">
        <v>1074</v>
      </c>
    </row>
    <row r="20" spans="1:7" s="258" customFormat="1" ht="13.5" customHeight="1">
      <c r="A20" s="950" t="s">
        <v>1057</v>
      </c>
      <c r="B20" s="254" t="s">
        <v>104</v>
      </c>
      <c r="C20" s="276">
        <f>ROUND((C5+C19)*F20,0)</f>
        <v>419</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2056</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32</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3204</v>
      </c>
      <c r="D27" s="279">
        <f>C29</f>
        <v>3.0000000000000001E-3</v>
      </c>
      <c r="E27" s="280" t="s">
        <v>126</v>
      </c>
      <c r="F27" s="290">
        <f>'数据-取费表'!Q16</f>
        <v>0.15</v>
      </c>
      <c r="G27" s="291" t="s">
        <v>1069</v>
      </c>
    </row>
    <row r="28" spans="1:7" s="258" customFormat="1" ht="13.5" customHeight="1">
      <c r="A28" s="953" t="s">
        <v>794</v>
      </c>
      <c r="B28" s="292" t="s">
        <v>1062</v>
      </c>
      <c r="C28" s="293">
        <f>ROUND((C5+C19+C20)*F27*'数据-取费表'!B21/'数据-取费表'!B20,0)</f>
        <v>3204</v>
      </c>
      <c r="D28" s="279"/>
      <c r="E28" s="280"/>
      <c r="F28" s="290"/>
      <c r="G28" s="291"/>
    </row>
    <row r="29" spans="1:7" s="258" customFormat="1" ht="13.5" customHeight="1">
      <c r="A29" s="953" t="s">
        <v>792</v>
      </c>
      <c r="B29" s="292" t="s">
        <v>1063</v>
      </c>
      <c r="C29" s="282">
        <f>ROUND(C21*F27*'数据-取费表'!B21/'数据-取费表'!B20,4)</f>
        <v>3.0000000000000001E-3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28825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4703</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4181</v>
      </c>
      <c r="D34" s="261"/>
      <c r="E34" s="264"/>
      <c r="F34" s="301">
        <f>IF('数据-取费表'!B24=0,1,'数据-取费表'!N16)</f>
        <v>1</v>
      </c>
      <c r="G34" s="263" t="s">
        <v>116</v>
      </c>
    </row>
    <row r="35" spans="1:7" ht="13.5" customHeight="1">
      <c r="A35" s="953" t="s">
        <v>796</v>
      </c>
      <c r="B35" s="259" t="s">
        <v>60</v>
      </c>
      <c r="C35" s="264">
        <f>ROUND(C34*F35,0)</f>
        <v>125</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0.02</v>
      </c>
      <c r="G36" s="304" t="s">
        <v>62</v>
      </c>
    </row>
    <row r="37" spans="1:7" s="302" customFormat="1" ht="13.5" customHeight="1">
      <c r="A37" s="953" t="s">
        <v>798</v>
      </c>
      <c r="B37" s="259" t="s">
        <v>118</v>
      </c>
      <c r="C37" s="293">
        <f>ROUND(E37*D37*F34/10000,0)</f>
        <v>334</v>
      </c>
      <c r="D37" s="261">
        <f>'数据-汇总表'!E3</f>
        <v>16724.510000000002</v>
      </c>
      <c r="E37" s="293">
        <f>'数据-取费表'!B35</f>
        <v>200</v>
      </c>
      <c r="F37" s="303"/>
      <c r="G37" s="305" t="s">
        <v>119</v>
      </c>
    </row>
    <row r="38" spans="1:7" ht="13.5" customHeight="1">
      <c r="A38" s="953" t="s">
        <v>799</v>
      </c>
      <c r="B38" s="259" t="s">
        <v>63</v>
      </c>
      <c r="C38" s="264">
        <f>ROUND(C34*F38,0)</f>
        <v>63</v>
      </c>
      <c r="D38" s="264"/>
      <c r="E38" s="264"/>
      <c r="F38" s="303">
        <f>'数据-取费表'!B36</f>
        <v>1.4999999999999999E-2</v>
      </c>
      <c r="G38" s="263" t="s">
        <v>117</v>
      </c>
    </row>
    <row r="39" spans="1:7" s="258" customFormat="1" ht="13.5" customHeight="1">
      <c r="A39" s="950" t="s">
        <v>783</v>
      </c>
      <c r="B39" s="254" t="s">
        <v>104</v>
      </c>
      <c r="C39" s="276">
        <f>ROUND(C33*F20,0)</f>
        <v>94</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227</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223</v>
      </c>
      <c r="D42" s="282"/>
      <c r="E42" s="282"/>
      <c r="F42" s="283"/>
      <c r="G42" s="3153" t="s">
        <v>121</v>
      </c>
    </row>
    <row r="43" spans="1:7" ht="13.5" customHeight="1">
      <c r="A43" s="953" t="s">
        <v>792</v>
      </c>
      <c r="B43" s="259" t="s">
        <v>1064</v>
      </c>
      <c r="C43" s="282">
        <f ca="1">ROUND(IF('数据-取费表'!B22&lt;=1,C39*F22*'数据-取费表'!B21/2,C39*(POWER((1+F22),'数据-取费表'!B21/2)-1)),0)</f>
        <v>4</v>
      </c>
      <c r="D43" s="282"/>
      <c r="E43" s="282"/>
      <c r="F43" s="283"/>
      <c r="G43" s="3154"/>
    </row>
    <row r="44" spans="1:7" ht="13.5" customHeight="1">
      <c r="A44" s="953" t="s">
        <v>793</v>
      </c>
      <c r="B44" s="259" t="s">
        <v>1066</v>
      </c>
      <c r="C44" s="282">
        <f ca="1">ROUND(IF('数据-取费表'!B22&lt;=1,C40*F22*'数据-取费表'!B21/2,C40*(POWER((1+F22),'数据-取费表'!B21/2)-1)),4)</f>
        <v>1E-3</v>
      </c>
      <c r="D44" s="282"/>
      <c r="E44" s="282"/>
      <c r="F44" s="283"/>
      <c r="G44" s="3155"/>
    </row>
    <row r="45" spans="1:7" s="258" customFormat="1" ht="13.5" customHeight="1">
      <c r="A45" s="950" t="s">
        <v>786</v>
      </c>
      <c r="B45" s="288" t="s">
        <v>112</v>
      </c>
      <c r="C45" s="289">
        <f>C46</f>
        <v>720</v>
      </c>
      <c r="D45" s="279">
        <f>C47</f>
        <v>3.0000000000000001E-3</v>
      </c>
      <c r="E45" s="280" t="s">
        <v>129</v>
      </c>
      <c r="F45" s="290"/>
      <c r="G45" s="291" t="s">
        <v>1072</v>
      </c>
    </row>
    <row r="46" spans="1:7" s="258" customFormat="1" ht="13.5" customHeight="1">
      <c r="A46" s="953" t="s">
        <v>794</v>
      </c>
      <c r="B46" s="292" t="s">
        <v>1065</v>
      </c>
      <c r="C46" s="293">
        <f>ROUND((C33+C39)*F27,0)</f>
        <v>720</v>
      </c>
      <c r="D46" s="307"/>
      <c r="E46" s="280"/>
      <c r="F46" s="290"/>
      <c r="G46" s="291"/>
    </row>
    <row r="47" spans="1:7" s="258" customFormat="1" ht="13.5" customHeight="1">
      <c r="A47" s="953" t="s">
        <v>792</v>
      </c>
      <c r="B47" s="292" t="s">
        <v>1067</v>
      </c>
      <c r="C47" s="282">
        <f>ROUND(C40*F27,4)</f>
        <v>3.0000000000000001E-3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6219</v>
      </c>
      <c r="D49" s="276"/>
      <c r="E49" s="276"/>
      <c r="F49" s="308"/>
      <c r="G49" s="278" t="s">
        <v>1073</v>
      </c>
    </row>
    <row r="50" spans="1:7" s="302" customFormat="1" ht="24">
      <c r="A50" s="950" t="s">
        <v>789</v>
      </c>
      <c r="B50" s="254" t="s">
        <v>124</v>
      </c>
      <c r="C50" s="276"/>
      <c r="D50" s="276"/>
      <c r="E50" s="276"/>
      <c r="F50" s="308">
        <f>IF('数据-取费表'!B24=0,'数据-取费表'!N16,1)</f>
        <v>0.87</v>
      </c>
      <c r="G50" s="291" t="s">
        <v>125</v>
      </c>
    </row>
    <row r="51" spans="1:7" ht="16.5" customHeight="1">
      <c r="A51" s="950" t="s">
        <v>790</v>
      </c>
      <c r="B51" s="254" t="s">
        <v>132</v>
      </c>
      <c r="C51" s="276">
        <f ca="1">ROUND(C49*F50,0)</f>
        <v>5411</v>
      </c>
      <c r="D51" s="276"/>
      <c r="E51" s="276"/>
      <c r="F51" s="308"/>
      <c r="G51" s="278" t="s">
        <v>64</v>
      </c>
    </row>
    <row r="52" spans="1:7" s="252" customFormat="1" ht="16.5" thickBot="1">
      <c r="A52" s="309" t="s">
        <v>65</v>
      </c>
      <c r="B52" s="310"/>
      <c r="C52" s="311">
        <f ca="1">C31+C51</f>
        <v>34236</v>
      </c>
      <c r="D52" s="310"/>
      <c r="E52" s="310"/>
      <c r="F52" s="310"/>
      <c r="G52" s="312"/>
    </row>
    <row r="55" spans="1:7" ht="15">
      <c r="B55" s="314" t="s">
        <v>66</v>
      </c>
      <c r="C55" s="315"/>
    </row>
    <row r="56" spans="1:7">
      <c r="B56" s="317" t="s">
        <v>67</v>
      </c>
      <c r="C56" s="318">
        <f ca="1">ROUND(C51/C52,3)</f>
        <v>0.158</v>
      </c>
    </row>
    <row r="57" spans="1:7">
      <c r="B57" s="317" t="s">
        <v>68</v>
      </c>
      <c r="C57" s="319">
        <f ca="1">1-C56</f>
        <v>0.84199999999999997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4" t="s">
        <v>156</v>
      </c>
      <c r="B1" s="3294"/>
      <c r="C1" s="3294"/>
      <c r="D1" s="3294"/>
      <c r="E1" s="3294"/>
      <c r="F1" s="329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5" t="s">
        <v>169</v>
      </c>
      <c r="B2" s="3295"/>
      <c r="C2" s="3295"/>
      <c r="D2" s="3295"/>
      <c r="E2" s="3295"/>
      <c r="F2" s="329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871</v>
      </c>
      <c r="B1" s="329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43100</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
  <sheetViews>
    <sheetView workbookViewId="0">
      <selection activeCell="E64" sqref="E64"/>
    </sheetView>
  </sheetViews>
  <sheetFormatPr defaultRowHeight="13.5"/>
  <cols>
    <col min="1" max="1" width="46.625" style="1638" customWidth="1"/>
    <col min="2" max="2" width="6.25" style="1638" customWidth="1"/>
    <col min="3" max="3" width="7.875" style="1638" customWidth="1"/>
    <col min="4" max="4" width="11.375" style="1638" customWidth="1"/>
    <col min="5" max="5" width="9" style="1638" customWidth="1"/>
    <col min="6" max="6" width="6.25" style="1638" customWidth="1"/>
    <col min="7" max="7" width="7.875" style="1638" customWidth="1"/>
    <col min="8" max="8" width="10.875" style="1638" customWidth="1"/>
    <col min="9" max="10" width="10.625" style="1638" customWidth="1"/>
    <col min="11" max="11" width="11" style="1638" customWidth="1"/>
    <col min="12" max="12" width="8.25" style="1638" customWidth="1"/>
    <col min="13" max="13" width="6.25" style="1638" hidden="1" customWidth="1"/>
    <col min="14" max="14" width="26.125" style="1638" customWidth="1"/>
    <col min="15" max="257" width="9" style="1638"/>
    <col min="258" max="258" width="46.625" style="1638" customWidth="1"/>
    <col min="259" max="259" width="6.25" style="1638" customWidth="1"/>
    <col min="260" max="260" width="7.875" style="1638" customWidth="1"/>
    <col min="261" max="262" width="13.875" style="1638" customWidth="1"/>
    <col min="263" max="263" width="6.25" style="1638" customWidth="1"/>
    <col min="264" max="264" width="7.875" style="1638" customWidth="1"/>
    <col min="265" max="265" width="9" style="1638" customWidth="1"/>
    <col min="266" max="267" width="10.625" style="1638" customWidth="1"/>
    <col min="268" max="268" width="14.375" style="1638" customWidth="1"/>
    <col min="269" max="269" width="6.25" style="1638" customWidth="1"/>
    <col min="270" max="270" width="26.125" style="1638" customWidth="1"/>
    <col min="271" max="513" width="9" style="1638"/>
    <col min="514" max="514" width="46.625" style="1638" customWidth="1"/>
    <col min="515" max="515" width="6.25" style="1638" customWidth="1"/>
    <col min="516" max="516" width="7.875" style="1638" customWidth="1"/>
    <col min="517" max="518" width="13.875" style="1638" customWidth="1"/>
    <col min="519" max="519" width="6.25" style="1638" customWidth="1"/>
    <col min="520" max="520" width="7.875" style="1638" customWidth="1"/>
    <col min="521" max="521" width="9" style="1638" customWidth="1"/>
    <col min="522" max="523" width="10.625" style="1638" customWidth="1"/>
    <col min="524" max="524" width="14.375" style="1638" customWidth="1"/>
    <col min="525" max="525" width="6.25" style="1638" customWidth="1"/>
    <col min="526" max="526" width="26.125" style="1638" customWidth="1"/>
    <col min="527" max="769" width="9" style="1638"/>
    <col min="770" max="770" width="46.625" style="1638" customWidth="1"/>
    <col min="771" max="771" width="6.25" style="1638" customWidth="1"/>
    <col min="772" max="772" width="7.875" style="1638" customWidth="1"/>
    <col min="773" max="774" width="13.875" style="1638" customWidth="1"/>
    <col min="775" max="775" width="6.25" style="1638" customWidth="1"/>
    <col min="776" max="776" width="7.875" style="1638" customWidth="1"/>
    <col min="777" max="777" width="9" style="1638" customWidth="1"/>
    <col min="778" max="779" width="10.625" style="1638" customWidth="1"/>
    <col min="780" max="780" width="14.375" style="1638" customWidth="1"/>
    <col min="781" max="781" width="6.25" style="1638" customWidth="1"/>
    <col min="782" max="782" width="26.125" style="1638" customWidth="1"/>
    <col min="783" max="1025" width="9" style="1638"/>
    <col min="1026" max="1026" width="46.625" style="1638" customWidth="1"/>
    <col min="1027" max="1027" width="6.25" style="1638" customWidth="1"/>
    <col min="1028" max="1028" width="7.875" style="1638" customWidth="1"/>
    <col min="1029" max="1030" width="13.875" style="1638" customWidth="1"/>
    <col min="1031" max="1031" width="6.25" style="1638" customWidth="1"/>
    <col min="1032" max="1032" width="7.875" style="1638" customWidth="1"/>
    <col min="1033" max="1033" width="9" style="1638" customWidth="1"/>
    <col min="1034" max="1035" width="10.625" style="1638" customWidth="1"/>
    <col min="1036" max="1036" width="14.375" style="1638" customWidth="1"/>
    <col min="1037" max="1037" width="6.25" style="1638" customWidth="1"/>
    <col min="1038" max="1038" width="26.125" style="1638" customWidth="1"/>
    <col min="1039" max="1281" width="9" style="1638"/>
    <col min="1282" max="1282" width="46.625" style="1638" customWidth="1"/>
    <col min="1283" max="1283" width="6.25" style="1638" customWidth="1"/>
    <col min="1284" max="1284" width="7.875" style="1638" customWidth="1"/>
    <col min="1285" max="1286" width="13.875" style="1638" customWidth="1"/>
    <col min="1287" max="1287" width="6.25" style="1638" customWidth="1"/>
    <col min="1288" max="1288" width="7.875" style="1638" customWidth="1"/>
    <col min="1289" max="1289" width="9" style="1638" customWidth="1"/>
    <col min="1290" max="1291" width="10.625" style="1638" customWidth="1"/>
    <col min="1292" max="1292" width="14.375" style="1638" customWidth="1"/>
    <col min="1293" max="1293" width="6.25" style="1638" customWidth="1"/>
    <col min="1294" max="1294" width="26.125" style="1638" customWidth="1"/>
    <col min="1295" max="1537" width="9" style="1638"/>
    <col min="1538" max="1538" width="46.625" style="1638" customWidth="1"/>
    <col min="1539" max="1539" width="6.25" style="1638" customWidth="1"/>
    <col min="1540" max="1540" width="7.875" style="1638" customWidth="1"/>
    <col min="1541" max="1542" width="13.875" style="1638" customWidth="1"/>
    <col min="1543" max="1543" width="6.25" style="1638" customWidth="1"/>
    <col min="1544" max="1544" width="7.875" style="1638" customWidth="1"/>
    <col min="1545" max="1545" width="9" style="1638" customWidth="1"/>
    <col min="1546" max="1547" width="10.625" style="1638" customWidth="1"/>
    <col min="1548" max="1548" width="14.375" style="1638" customWidth="1"/>
    <col min="1549" max="1549" width="6.25" style="1638" customWidth="1"/>
    <col min="1550" max="1550" width="26.125" style="1638" customWidth="1"/>
    <col min="1551" max="1793" width="9" style="1638"/>
    <col min="1794" max="1794" width="46.625" style="1638" customWidth="1"/>
    <col min="1795" max="1795" width="6.25" style="1638" customWidth="1"/>
    <col min="1796" max="1796" width="7.875" style="1638" customWidth="1"/>
    <col min="1797" max="1798" width="13.875" style="1638" customWidth="1"/>
    <col min="1799" max="1799" width="6.25" style="1638" customWidth="1"/>
    <col min="1800" max="1800" width="7.875" style="1638" customWidth="1"/>
    <col min="1801" max="1801" width="9" style="1638" customWidth="1"/>
    <col min="1802" max="1803" width="10.625" style="1638" customWidth="1"/>
    <col min="1804" max="1804" width="14.375" style="1638" customWidth="1"/>
    <col min="1805" max="1805" width="6.25" style="1638" customWidth="1"/>
    <col min="1806" max="1806" width="26.125" style="1638" customWidth="1"/>
    <col min="1807" max="2049" width="9" style="1638"/>
    <col min="2050" max="2050" width="46.625" style="1638" customWidth="1"/>
    <col min="2051" max="2051" width="6.25" style="1638" customWidth="1"/>
    <col min="2052" max="2052" width="7.875" style="1638" customWidth="1"/>
    <col min="2053" max="2054" width="13.875" style="1638" customWidth="1"/>
    <col min="2055" max="2055" width="6.25" style="1638" customWidth="1"/>
    <col min="2056" max="2056" width="7.875" style="1638" customWidth="1"/>
    <col min="2057" max="2057" width="9" style="1638" customWidth="1"/>
    <col min="2058" max="2059" width="10.625" style="1638" customWidth="1"/>
    <col min="2060" max="2060" width="14.375" style="1638" customWidth="1"/>
    <col min="2061" max="2061" width="6.25" style="1638" customWidth="1"/>
    <col min="2062" max="2062" width="26.125" style="1638" customWidth="1"/>
    <col min="2063" max="2305" width="9" style="1638"/>
    <col min="2306" max="2306" width="46.625" style="1638" customWidth="1"/>
    <col min="2307" max="2307" width="6.25" style="1638" customWidth="1"/>
    <col min="2308" max="2308" width="7.875" style="1638" customWidth="1"/>
    <col min="2309" max="2310" width="13.875" style="1638" customWidth="1"/>
    <col min="2311" max="2311" width="6.25" style="1638" customWidth="1"/>
    <col min="2312" max="2312" width="7.875" style="1638" customWidth="1"/>
    <col min="2313" max="2313" width="9" style="1638" customWidth="1"/>
    <col min="2314" max="2315" width="10.625" style="1638" customWidth="1"/>
    <col min="2316" max="2316" width="14.375" style="1638" customWidth="1"/>
    <col min="2317" max="2317" width="6.25" style="1638" customWidth="1"/>
    <col min="2318" max="2318" width="26.125" style="1638" customWidth="1"/>
    <col min="2319" max="2561" width="9" style="1638"/>
    <col min="2562" max="2562" width="46.625" style="1638" customWidth="1"/>
    <col min="2563" max="2563" width="6.25" style="1638" customWidth="1"/>
    <col min="2564" max="2564" width="7.875" style="1638" customWidth="1"/>
    <col min="2565" max="2566" width="13.875" style="1638" customWidth="1"/>
    <col min="2567" max="2567" width="6.25" style="1638" customWidth="1"/>
    <col min="2568" max="2568" width="7.875" style="1638" customWidth="1"/>
    <col min="2569" max="2569" width="9" style="1638" customWidth="1"/>
    <col min="2570" max="2571" width="10.625" style="1638" customWidth="1"/>
    <col min="2572" max="2572" width="14.375" style="1638" customWidth="1"/>
    <col min="2573" max="2573" width="6.25" style="1638" customWidth="1"/>
    <col min="2574" max="2574" width="26.125" style="1638" customWidth="1"/>
    <col min="2575" max="2817" width="9" style="1638"/>
    <col min="2818" max="2818" width="46.625" style="1638" customWidth="1"/>
    <col min="2819" max="2819" width="6.25" style="1638" customWidth="1"/>
    <col min="2820" max="2820" width="7.875" style="1638" customWidth="1"/>
    <col min="2821" max="2822" width="13.875" style="1638" customWidth="1"/>
    <col min="2823" max="2823" width="6.25" style="1638" customWidth="1"/>
    <col min="2824" max="2824" width="7.875" style="1638" customWidth="1"/>
    <col min="2825" max="2825" width="9" style="1638" customWidth="1"/>
    <col min="2826" max="2827" width="10.625" style="1638" customWidth="1"/>
    <col min="2828" max="2828" width="14.375" style="1638" customWidth="1"/>
    <col min="2829" max="2829" width="6.25" style="1638" customWidth="1"/>
    <col min="2830" max="2830" width="26.125" style="1638" customWidth="1"/>
    <col min="2831" max="3073" width="9" style="1638"/>
    <col min="3074" max="3074" width="46.625" style="1638" customWidth="1"/>
    <col min="3075" max="3075" width="6.25" style="1638" customWidth="1"/>
    <col min="3076" max="3076" width="7.875" style="1638" customWidth="1"/>
    <col min="3077" max="3078" width="13.875" style="1638" customWidth="1"/>
    <col min="3079" max="3079" width="6.25" style="1638" customWidth="1"/>
    <col min="3080" max="3080" width="7.875" style="1638" customWidth="1"/>
    <col min="3081" max="3081" width="9" style="1638" customWidth="1"/>
    <col min="3082" max="3083" width="10.625" style="1638" customWidth="1"/>
    <col min="3084" max="3084" width="14.375" style="1638" customWidth="1"/>
    <col min="3085" max="3085" width="6.25" style="1638" customWidth="1"/>
    <col min="3086" max="3086" width="26.125" style="1638" customWidth="1"/>
    <col min="3087" max="3329" width="9" style="1638"/>
    <col min="3330" max="3330" width="46.625" style="1638" customWidth="1"/>
    <col min="3331" max="3331" width="6.25" style="1638" customWidth="1"/>
    <col min="3332" max="3332" width="7.875" style="1638" customWidth="1"/>
    <col min="3333" max="3334" width="13.875" style="1638" customWidth="1"/>
    <col min="3335" max="3335" width="6.25" style="1638" customWidth="1"/>
    <col min="3336" max="3336" width="7.875" style="1638" customWidth="1"/>
    <col min="3337" max="3337" width="9" style="1638" customWidth="1"/>
    <col min="3338" max="3339" width="10.625" style="1638" customWidth="1"/>
    <col min="3340" max="3340" width="14.375" style="1638" customWidth="1"/>
    <col min="3341" max="3341" width="6.25" style="1638" customWidth="1"/>
    <col min="3342" max="3342" width="26.125" style="1638" customWidth="1"/>
    <col min="3343" max="3585" width="9" style="1638"/>
    <col min="3586" max="3586" width="46.625" style="1638" customWidth="1"/>
    <col min="3587" max="3587" width="6.25" style="1638" customWidth="1"/>
    <col min="3588" max="3588" width="7.875" style="1638" customWidth="1"/>
    <col min="3589" max="3590" width="13.875" style="1638" customWidth="1"/>
    <col min="3591" max="3591" width="6.25" style="1638" customWidth="1"/>
    <col min="3592" max="3592" width="7.875" style="1638" customWidth="1"/>
    <col min="3593" max="3593" width="9" style="1638" customWidth="1"/>
    <col min="3594" max="3595" width="10.625" style="1638" customWidth="1"/>
    <col min="3596" max="3596" width="14.375" style="1638" customWidth="1"/>
    <col min="3597" max="3597" width="6.25" style="1638" customWidth="1"/>
    <col min="3598" max="3598" width="26.125" style="1638" customWidth="1"/>
    <col min="3599" max="3841" width="9" style="1638"/>
    <col min="3842" max="3842" width="46.625" style="1638" customWidth="1"/>
    <col min="3843" max="3843" width="6.25" style="1638" customWidth="1"/>
    <col min="3844" max="3844" width="7.875" style="1638" customWidth="1"/>
    <col min="3845" max="3846" width="13.875" style="1638" customWidth="1"/>
    <col min="3847" max="3847" width="6.25" style="1638" customWidth="1"/>
    <col min="3848" max="3848" width="7.875" style="1638" customWidth="1"/>
    <col min="3849" max="3849" width="9" style="1638" customWidth="1"/>
    <col min="3850" max="3851" width="10.625" style="1638" customWidth="1"/>
    <col min="3852" max="3852" width="14.375" style="1638" customWidth="1"/>
    <col min="3853" max="3853" width="6.25" style="1638" customWidth="1"/>
    <col min="3854" max="3854" width="26.125" style="1638" customWidth="1"/>
    <col min="3855" max="4097" width="9" style="1638"/>
    <col min="4098" max="4098" width="46.625" style="1638" customWidth="1"/>
    <col min="4099" max="4099" width="6.25" style="1638" customWidth="1"/>
    <col min="4100" max="4100" width="7.875" style="1638" customWidth="1"/>
    <col min="4101" max="4102" width="13.875" style="1638" customWidth="1"/>
    <col min="4103" max="4103" width="6.25" style="1638" customWidth="1"/>
    <col min="4104" max="4104" width="7.875" style="1638" customWidth="1"/>
    <col min="4105" max="4105" width="9" style="1638" customWidth="1"/>
    <col min="4106" max="4107" width="10.625" style="1638" customWidth="1"/>
    <col min="4108" max="4108" width="14.375" style="1638" customWidth="1"/>
    <col min="4109" max="4109" width="6.25" style="1638" customWidth="1"/>
    <col min="4110" max="4110" width="26.125" style="1638" customWidth="1"/>
    <col min="4111" max="4353" width="9" style="1638"/>
    <col min="4354" max="4354" width="46.625" style="1638" customWidth="1"/>
    <col min="4355" max="4355" width="6.25" style="1638" customWidth="1"/>
    <col min="4356" max="4356" width="7.875" style="1638" customWidth="1"/>
    <col min="4357" max="4358" width="13.875" style="1638" customWidth="1"/>
    <col min="4359" max="4359" width="6.25" style="1638" customWidth="1"/>
    <col min="4360" max="4360" width="7.875" style="1638" customWidth="1"/>
    <col min="4361" max="4361" width="9" style="1638" customWidth="1"/>
    <col min="4362" max="4363" width="10.625" style="1638" customWidth="1"/>
    <col min="4364" max="4364" width="14.375" style="1638" customWidth="1"/>
    <col min="4365" max="4365" width="6.25" style="1638" customWidth="1"/>
    <col min="4366" max="4366" width="26.125" style="1638" customWidth="1"/>
    <col min="4367" max="4609" width="9" style="1638"/>
    <col min="4610" max="4610" width="46.625" style="1638" customWidth="1"/>
    <col min="4611" max="4611" width="6.25" style="1638" customWidth="1"/>
    <col min="4612" max="4612" width="7.875" style="1638" customWidth="1"/>
    <col min="4613" max="4614" width="13.875" style="1638" customWidth="1"/>
    <col min="4615" max="4615" width="6.25" style="1638" customWidth="1"/>
    <col min="4616" max="4616" width="7.875" style="1638" customWidth="1"/>
    <col min="4617" max="4617" width="9" style="1638" customWidth="1"/>
    <col min="4618" max="4619" width="10.625" style="1638" customWidth="1"/>
    <col min="4620" max="4620" width="14.375" style="1638" customWidth="1"/>
    <col min="4621" max="4621" width="6.25" style="1638" customWidth="1"/>
    <col min="4622" max="4622" width="26.125" style="1638" customWidth="1"/>
    <col min="4623" max="4865" width="9" style="1638"/>
    <col min="4866" max="4866" width="46.625" style="1638" customWidth="1"/>
    <col min="4867" max="4867" width="6.25" style="1638" customWidth="1"/>
    <col min="4868" max="4868" width="7.875" style="1638" customWidth="1"/>
    <col min="4869" max="4870" width="13.875" style="1638" customWidth="1"/>
    <col min="4871" max="4871" width="6.25" style="1638" customWidth="1"/>
    <col min="4872" max="4872" width="7.875" style="1638" customWidth="1"/>
    <col min="4873" max="4873" width="9" style="1638" customWidth="1"/>
    <col min="4874" max="4875" width="10.625" style="1638" customWidth="1"/>
    <col min="4876" max="4876" width="14.375" style="1638" customWidth="1"/>
    <col min="4877" max="4877" width="6.25" style="1638" customWidth="1"/>
    <col min="4878" max="4878" width="26.125" style="1638" customWidth="1"/>
    <col min="4879" max="5121" width="9" style="1638"/>
    <col min="5122" max="5122" width="46.625" style="1638" customWidth="1"/>
    <col min="5123" max="5123" width="6.25" style="1638" customWidth="1"/>
    <col min="5124" max="5124" width="7.875" style="1638" customWidth="1"/>
    <col min="5125" max="5126" width="13.875" style="1638" customWidth="1"/>
    <col min="5127" max="5127" width="6.25" style="1638" customWidth="1"/>
    <col min="5128" max="5128" width="7.875" style="1638" customWidth="1"/>
    <col min="5129" max="5129" width="9" style="1638" customWidth="1"/>
    <col min="5130" max="5131" width="10.625" style="1638" customWidth="1"/>
    <col min="5132" max="5132" width="14.375" style="1638" customWidth="1"/>
    <col min="5133" max="5133" width="6.25" style="1638" customWidth="1"/>
    <col min="5134" max="5134" width="26.125" style="1638" customWidth="1"/>
    <col min="5135" max="5377" width="9" style="1638"/>
    <col min="5378" max="5378" width="46.625" style="1638" customWidth="1"/>
    <col min="5379" max="5379" width="6.25" style="1638" customWidth="1"/>
    <col min="5380" max="5380" width="7.875" style="1638" customWidth="1"/>
    <col min="5381" max="5382" width="13.875" style="1638" customWidth="1"/>
    <col min="5383" max="5383" width="6.25" style="1638" customWidth="1"/>
    <col min="5384" max="5384" width="7.875" style="1638" customWidth="1"/>
    <col min="5385" max="5385" width="9" style="1638" customWidth="1"/>
    <col min="5386" max="5387" width="10.625" style="1638" customWidth="1"/>
    <col min="5388" max="5388" width="14.375" style="1638" customWidth="1"/>
    <col min="5389" max="5389" width="6.25" style="1638" customWidth="1"/>
    <col min="5390" max="5390" width="26.125" style="1638" customWidth="1"/>
    <col min="5391" max="5633" width="9" style="1638"/>
    <col min="5634" max="5634" width="46.625" style="1638" customWidth="1"/>
    <col min="5635" max="5635" width="6.25" style="1638" customWidth="1"/>
    <col min="5636" max="5636" width="7.875" style="1638" customWidth="1"/>
    <col min="5637" max="5638" width="13.875" style="1638" customWidth="1"/>
    <col min="5639" max="5639" width="6.25" style="1638" customWidth="1"/>
    <col min="5640" max="5640" width="7.875" style="1638" customWidth="1"/>
    <col min="5641" max="5641" width="9" style="1638" customWidth="1"/>
    <col min="5642" max="5643" width="10.625" style="1638" customWidth="1"/>
    <col min="5644" max="5644" width="14.375" style="1638" customWidth="1"/>
    <col min="5645" max="5645" width="6.25" style="1638" customWidth="1"/>
    <col min="5646" max="5646" width="26.125" style="1638" customWidth="1"/>
    <col min="5647" max="5889" width="9" style="1638"/>
    <col min="5890" max="5890" width="46.625" style="1638" customWidth="1"/>
    <col min="5891" max="5891" width="6.25" style="1638" customWidth="1"/>
    <col min="5892" max="5892" width="7.875" style="1638" customWidth="1"/>
    <col min="5893" max="5894" width="13.875" style="1638" customWidth="1"/>
    <col min="5895" max="5895" width="6.25" style="1638" customWidth="1"/>
    <col min="5896" max="5896" width="7.875" style="1638" customWidth="1"/>
    <col min="5897" max="5897" width="9" style="1638" customWidth="1"/>
    <col min="5898" max="5899" width="10.625" style="1638" customWidth="1"/>
    <col min="5900" max="5900" width="14.375" style="1638" customWidth="1"/>
    <col min="5901" max="5901" width="6.25" style="1638" customWidth="1"/>
    <col min="5902" max="5902" width="26.125" style="1638" customWidth="1"/>
    <col min="5903" max="6145" width="9" style="1638"/>
    <col min="6146" max="6146" width="46.625" style="1638" customWidth="1"/>
    <col min="6147" max="6147" width="6.25" style="1638" customWidth="1"/>
    <col min="6148" max="6148" width="7.875" style="1638" customWidth="1"/>
    <col min="6149" max="6150" width="13.875" style="1638" customWidth="1"/>
    <col min="6151" max="6151" width="6.25" style="1638" customWidth="1"/>
    <col min="6152" max="6152" width="7.875" style="1638" customWidth="1"/>
    <col min="6153" max="6153" width="9" style="1638" customWidth="1"/>
    <col min="6154" max="6155" width="10.625" style="1638" customWidth="1"/>
    <col min="6156" max="6156" width="14.375" style="1638" customWidth="1"/>
    <col min="6157" max="6157" width="6.25" style="1638" customWidth="1"/>
    <col min="6158" max="6158" width="26.125" style="1638" customWidth="1"/>
    <col min="6159" max="6401" width="9" style="1638"/>
    <col min="6402" max="6402" width="46.625" style="1638" customWidth="1"/>
    <col min="6403" max="6403" width="6.25" style="1638" customWidth="1"/>
    <col min="6404" max="6404" width="7.875" style="1638" customWidth="1"/>
    <col min="6405" max="6406" width="13.875" style="1638" customWidth="1"/>
    <col min="6407" max="6407" width="6.25" style="1638" customWidth="1"/>
    <col min="6408" max="6408" width="7.875" style="1638" customWidth="1"/>
    <col min="6409" max="6409" width="9" style="1638" customWidth="1"/>
    <col min="6410" max="6411" width="10.625" style="1638" customWidth="1"/>
    <col min="6412" max="6412" width="14.375" style="1638" customWidth="1"/>
    <col min="6413" max="6413" width="6.25" style="1638" customWidth="1"/>
    <col min="6414" max="6414" width="26.125" style="1638" customWidth="1"/>
    <col min="6415" max="6657" width="9" style="1638"/>
    <col min="6658" max="6658" width="46.625" style="1638" customWidth="1"/>
    <col min="6659" max="6659" width="6.25" style="1638" customWidth="1"/>
    <col min="6660" max="6660" width="7.875" style="1638" customWidth="1"/>
    <col min="6661" max="6662" width="13.875" style="1638" customWidth="1"/>
    <col min="6663" max="6663" width="6.25" style="1638" customWidth="1"/>
    <col min="6664" max="6664" width="7.875" style="1638" customWidth="1"/>
    <col min="6665" max="6665" width="9" style="1638" customWidth="1"/>
    <col min="6666" max="6667" width="10.625" style="1638" customWidth="1"/>
    <col min="6668" max="6668" width="14.375" style="1638" customWidth="1"/>
    <col min="6669" max="6669" width="6.25" style="1638" customWidth="1"/>
    <col min="6670" max="6670" width="26.125" style="1638" customWidth="1"/>
    <col min="6671" max="6913" width="9" style="1638"/>
    <col min="6914" max="6914" width="46.625" style="1638" customWidth="1"/>
    <col min="6915" max="6915" width="6.25" style="1638" customWidth="1"/>
    <col min="6916" max="6916" width="7.875" style="1638" customWidth="1"/>
    <col min="6917" max="6918" width="13.875" style="1638" customWidth="1"/>
    <col min="6919" max="6919" width="6.25" style="1638" customWidth="1"/>
    <col min="6920" max="6920" width="7.875" style="1638" customWidth="1"/>
    <col min="6921" max="6921" width="9" style="1638" customWidth="1"/>
    <col min="6922" max="6923" width="10.625" style="1638" customWidth="1"/>
    <col min="6924" max="6924" width="14.375" style="1638" customWidth="1"/>
    <col min="6925" max="6925" width="6.25" style="1638" customWidth="1"/>
    <col min="6926" max="6926" width="26.125" style="1638" customWidth="1"/>
    <col min="6927" max="7169" width="9" style="1638"/>
    <col min="7170" max="7170" width="46.625" style="1638" customWidth="1"/>
    <col min="7171" max="7171" width="6.25" style="1638" customWidth="1"/>
    <col min="7172" max="7172" width="7.875" style="1638" customWidth="1"/>
    <col min="7173" max="7174" width="13.875" style="1638" customWidth="1"/>
    <col min="7175" max="7175" width="6.25" style="1638" customWidth="1"/>
    <col min="7176" max="7176" width="7.875" style="1638" customWidth="1"/>
    <col min="7177" max="7177" width="9" style="1638" customWidth="1"/>
    <col min="7178" max="7179" width="10.625" style="1638" customWidth="1"/>
    <col min="7180" max="7180" width="14.375" style="1638" customWidth="1"/>
    <col min="7181" max="7181" width="6.25" style="1638" customWidth="1"/>
    <col min="7182" max="7182" width="26.125" style="1638" customWidth="1"/>
    <col min="7183" max="7425" width="9" style="1638"/>
    <col min="7426" max="7426" width="46.625" style="1638" customWidth="1"/>
    <col min="7427" max="7427" width="6.25" style="1638" customWidth="1"/>
    <col min="7428" max="7428" width="7.875" style="1638" customWidth="1"/>
    <col min="7429" max="7430" width="13.875" style="1638" customWidth="1"/>
    <col min="7431" max="7431" width="6.25" style="1638" customWidth="1"/>
    <col min="7432" max="7432" width="7.875" style="1638" customWidth="1"/>
    <col min="7433" max="7433" width="9" style="1638" customWidth="1"/>
    <col min="7434" max="7435" width="10.625" style="1638" customWidth="1"/>
    <col min="7436" max="7436" width="14.375" style="1638" customWidth="1"/>
    <col min="7437" max="7437" width="6.25" style="1638" customWidth="1"/>
    <col min="7438" max="7438" width="26.125" style="1638" customWidth="1"/>
    <col min="7439" max="7681" width="9" style="1638"/>
    <col min="7682" max="7682" width="46.625" style="1638" customWidth="1"/>
    <col min="7683" max="7683" width="6.25" style="1638" customWidth="1"/>
    <col min="7684" max="7684" width="7.875" style="1638" customWidth="1"/>
    <col min="7685" max="7686" width="13.875" style="1638" customWidth="1"/>
    <col min="7687" max="7687" width="6.25" style="1638" customWidth="1"/>
    <col min="7688" max="7688" width="7.875" style="1638" customWidth="1"/>
    <col min="7689" max="7689" width="9" style="1638" customWidth="1"/>
    <col min="7690" max="7691" width="10.625" style="1638" customWidth="1"/>
    <col min="7692" max="7692" width="14.375" style="1638" customWidth="1"/>
    <col min="7693" max="7693" width="6.25" style="1638" customWidth="1"/>
    <col min="7694" max="7694" width="26.125" style="1638" customWidth="1"/>
    <col min="7695" max="7937" width="9" style="1638"/>
    <col min="7938" max="7938" width="46.625" style="1638" customWidth="1"/>
    <col min="7939" max="7939" width="6.25" style="1638" customWidth="1"/>
    <col min="7940" max="7940" width="7.875" style="1638" customWidth="1"/>
    <col min="7941" max="7942" width="13.875" style="1638" customWidth="1"/>
    <col min="7943" max="7943" width="6.25" style="1638" customWidth="1"/>
    <col min="7944" max="7944" width="7.875" style="1638" customWidth="1"/>
    <col min="7945" max="7945" width="9" style="1638" customWidth="1"/>
    <col min="7946" max="7947" width="10.625" style="1638" customWidth="1"/>
    <col min="7948" max="7948" width="14.375" style="1638" customWidth="1"/>
    <col min="7949" max="7949" width="6.25" style="1638" customWidth="1"/>
    <col min="7950" max="7950" width="26.125" style="1638" customWidth="1"/>
    <col min="7951" max="8193" width="9" style="1638"/>
    <col min="8194" max="8194" width="46.625" style="1638" customWidth="1"/>
    <col min="8195" max="8195" width="6.25" style="1638" customWidth="1"/>
    <col min="8196" max="8196" width="7.875" style="1638" customWidth="1"/>
    <col min="8197" max="8198" width="13.875" style="1638" customWidth="1"/>
    <col min="8199" max="8199" width="6.25" style="1638" customWidth="1"/>
    <col min="8200" max="8200" width="7.875" style="1638" customWidth="1"/>
    <col min="8201" max="8201" width="9" style="1638" customWidth="1"/>
    <col min="8202" max="8203" width="10.625" style="1638" customWidth="1"/>
    <col min="8204" max="8204" width="14.375" style="1638" customWidth="1"/>
    <col min="8205" max="8205" width="6.25" style="1638" customWidth="1"/>
    <col min="8206" max="8206" width="26.125" style="1638" customWidth="1"/>
    <col min="8207" max="8449" width="9" style="1638"/>
    <col min="8450" max="8450" width="46.625" style="1638" customWidth="1"/>
    <col min="8451" max="8451" width="6.25" style="1638" customWidth="1"/>
    <col min="8452" max="8452" width="7.875" style="1638" customWidth="1"/>
    <col min="8453" max="8454" width="13.875" style="1638" customWidth="1"/>
    <col min="8455" max="8455" width="6.25" style="1638" customWidth="1"/>
    <col min="8456" max="8456" width="7.875" style="1638" customWidth="1"/>
    <col min="8457" max="8457" width="9" style="1638" customWidth="1"/>
    <col min="8458" max="8459" width="10.625" style="1638" customWidth="1"/>
    <col min="8460" max="8460" width="14.375" style="1638" customWidth="1"/>
    <col min="8461" max="8461" width="6.25" style="1638" customWidth="1"/>
    <col min="8462" max="8462" width="26.125" style="1638" customWidth="1"/>
    <col min="8463" max="8705" width="9" style="1638"/>
    <col min="8706" max="8706" width="46.625" style="1638" customWidth="1"/>
    <col min="8707" max="8707" width="6.25" style="1638" customWidth="1"/>
    <col min="8708" max="8708" width="7.875" style="1638" customWidth="1"/>
    <col min="8709" max="8710" width="13.875" style="1638" customWidth="1"/>
    <col min="8711" max="8711" width="6.25" style="1638" customWidth="1"/>
    <col min="8712" max="8712" width="7.875" style="1638" customWidth="1"/>
    <col min="8713" max="8713" width="9" style="1638" customWidth="1"/>
    <col min="8714" max="8715" width="10.625" style="1638" customWidth="1"/>
    <col min="8716" max="8716" width="14.375" style="1638" customWidth="1"/>
    <col min="8717" max="8717" width="6.25" style="1638" customWidth="1"/>
    <col min="8718" max="8718" width="26.125" style="1638" customWidth="1"/>
    <col min="8719" max="8961" width="9" style="1638"/>
    <col min="8962" max="8962" width="46.625" style="1638" customWidth="1"/>
    <col min="8963" max="8963" width="6.25" style="1638" customWidth="1"/>
    <col min="8964" max="8964" width="7.875" style="1638" customWidth="1"/>
    <col min="8965" max="8966" width="13.875" style="1638" customWidth="1"/>
    <col min="8967" max="8967" width="6.25" style="1638" customWidth="1"/>
    <col min="8968" max="8968" width="7.875" style="1638" customWidth="1"/>
    <col min="8969" max="8969" width="9" style="1638" customWidth="1"/>
    <col min="8970" max="8971" width="10.625" style="1638" customWidth="1"/>
    <col min="8972" max="8972" width="14.375" style="1638" customWidth="1"/>
    <col min="8973" max="8973" width="6.25" style="1638" customWidth="1"/>
    <col min="8974" max="8974" width="26.125" style="1638" customWidth="1"/>
    <col min="8975" max="9217" width="9" style="1638"/>
    <col min="9218" max="9218" width="46.625" style="1638" customWidth="1"/>
    <col min="9219" max="9219" width="6.25" style="1638" customWidth="1"/>
    <col min="9220" max="9220" width="7.875" style="1638" customWidth="1"/>
    <col min="9221" max="9222" width="13.875" style="1638" customWidth="1"/>
    <col min="9223" max="9223" width="6.25" style="1638" customWidth="1"/>
    <col min="9224" max="9224" width="7.875" style="1638" customWidth="1"/>
    <col min="9225" max="9225" width="9" style="1638" customWidth="1"/>
    <col min="9226" max="9227" width="10.625" style="1638" customWidth="1"/>
    <col min="9228" max="9228" width="14.375" style="1638" customWidth="1"/>
    <col min="9229" max="9229" width="6.25" style="1638" customWidth="1"/>
    <col min="9230" max="9230" width="26.125" style="1638" customWidth="1"/>
    <col min="9231" max="9473" width="9" style="1638"/>
    <col min="9474" max="9474" width="46.625" style="1638" customWidth="1"/>
    <col min="9475" max="9475" width="6.25" style="1638" customWidth="1"/>
    <col min="9476" max="9476" width="7.875" style="1638" customWidth="1"/>
    <col min="9477" max="9478" width="13.875" style="1638" customWidth="1"/>
    <col min="9479" max="9479" width="6.25" style="1638" customWidth="1"/>
    <col min="9480" max="9480" width="7.875" style="1638" customWidth="1"/>
    <col min="9481" max="9481" width="9" style="1638" customWidth="1"/>
    <col min="9482" max="9483" width="10.625" style="1638" customWidth="1"/>
    <col min="9484" max="9484" width="14.375" style="1638" customWidth="1"/>
    <col min="9485" max="9485" width="6.25" style="1638" customWidth="1"/>
    <col min="9486" max="9486" width="26.125" style="1638" customWidth="1"/>
    <col min="9487" max="9729" width="9" style="1638"/>
    <col min="9730" max="9730" width="46.625" style="1638" customWidth="1"/>
    <col min="9731" max="9731" width="6.25" style="1638" customWidth="1"/>
    <col min="9732" max="9732" width="7.875" style="1638" customWidth="1"/>
    <col min="9733" max="9734" width="13.875" style="1638" customWidth="1"/>
    <col min="9735" max="9735" width="6.25" style="1638" customWidth="1"/>
    <col min="9736" max="9736" width="7.875" style="1638" customWidth="1"/>
    <col min="9737" max="9737" width="9" style="1638" customWidth="1"/>
    <col min="9738" max="9739" width="10.625" style="1638" customWidth="1"/>
    <col min="9740" max="9740" width="14.375" style="1638" customWidth="1"/>
    <col min="9741" max="9741" width="6.25" style="1638" customWidth="1"/>
    <col min="9742" max="9742" width="26.125" style="1638" customWidth="1"/>
    <col min="9743" max="9985" width="9" style="1638"/>
    <col min="9986" max="9986" width="46.625" style="1638" customWidth="1"/>
    <col min="9987" max="9987" width="6.25" style="1638" customWidth="1"/>
    <col min="9988" max="9988" width="7.875" style="1638" customWidth="1"/>
    <col min="9989" max="9990" width="13.875" style="1638" customWidth="1"/>
    <col min="9991" max="9991" width="6.25" style="1638" customWidth="1"/>
    <col min="9992" max="9992" width="7.875" style="1638" customWidth="1"/>
    <col min="9993" max="9993" width="9" style="1638" customWidth="1"/>
    <col min="9994" max="9995" width="10.625" style="1638" customWidth="1"/>
    <col min="9996" max="9996" width="14.375" style="1638" customWidth="1"/>
    <col min="9997" max="9997" width="6.25" style="1638" customWidth="1"/>
    <col min="9998" max="9998" width="26.125" style="1638" customWidth="1"/>
    <col min="9999" max="10241" width="9" style="1638"/>
    <col min="10242" max="10242" width="46.625" style="1638" customWidth="1"/>
    <col min="10243" max="10243" width="6.25" style="1638" customWidth="1"/>
    <col min="10244" max="10244" width="7.875" style="1638" customWidth="1"/>
    <col min="10245" max="10246" width="13.875" style="1638" customWidth="1"/>
    <col min="10247" max="10247" width="6.25" style="1638" customWidth="1"/>
    <col min="10248" max="10248" width="7.875" style="1638" customWidth="1"/>
    <col min="10249" max="10249" width="9" style="1638" customWidth="1"/>
    <col min="10250" max="10251" width="10.625" style="1638" customWidth="1"/>
    <col min="10252" max="10252" width="14.375" style="1638" customWidth="1"/>
    <col min="10253" max="10253" width="6.25" style="1638" customWidth="1"/>
    <col min="10254" max="10254" width="26.125" style="1638" customWidth="1"/>
    <col min="10255" max="10497" width="9" style="1638"/>
    <col min="10498" max="10498" width="46.625" style="1638" customWidth="1"/>
    <col min="10499" max="10499" width="6.25" style="1638" customWidth="1"/>
    <col min="10500" max="10500" width="7.875" style="1638" customWidth="1"/>
    <col min="10501" max="10502" width="13.875" style="1638" customWidth="1"/>
    <col min="10503" max="10503" width="6.25" style="1638" customWidth="1"/>
    <col min="10504" max="10504" width="7.875" style="1638" customWidth="1"/>
    <col min="10505" max="10505" width="9" style="1638" customWidth="1"/>
    <col min="10506" max="10507" width="10.625" style="1638" customWidth="1"/>
    <col min="10508" max="10508" width="14.375" style="1638" customWidth="1"/>
    <col min="10509" max="10509" width="6.25" style="1638" customWidth="1"/>
    <col min="10510" max="10510" width="26.125" style="1638" customWidth="1"/>
    <col min="10511" max="10753" width="9" style="1638"/>
    <col min="10754" max="10754" width="46.625" style="1638" customWidth="1"/>
    <col min="10755" max="10755" width="6.25" style="1638" customWidth="1"/>
    <col min="10756" max="10756" width="7.875" style="1638" customWidth="1"/>
    <col min="10757" max="10758" width="13.875" style="1638" customWidth="1"/>
    <col min="10759" max="10759" width="6.25" style="1638" customWidth="1"/>
    <col min="10760" max="10760" width="7.875" style="1638" customWidth="1"/>
    <col min="10761" max="10761" width="9" style="1638" customWidth="1"/>
    <col min="10762" max="10763" width="10.625" style="1638" customWidth="1"/>
    <col min="10764" max="10764" width="14.375" style="1638" customWidth="1"/>
    <col min="10765" max="10765" width="6.25" style="1638" customWidth="1"/>
    <col min="10766" max="10766" width="26.125" style="1638" customWidth="1"/>
    <col min="10767" max="11009" width="9" style="1638"/>
    <col min="11010" max="11010" width="46.625" style="1638" customWidth="1"/>
    <col min="11011" max="11011" width="6.25" style="1638" customWidth="1"/>
    <col min="11012" max="11012" width="7.875" style="1638" customWidth="1"/>
    <col min="11013" max="11014" width="13.875" style="1638" customWidth="1"/>
    <col min="11015" max="11015" width="6.25" style="1638" customWidth="1"/>
    <col min="11016" max="11016" width="7.875" style="1638" customWidth="1"/>
    <col min="11017" max="11017" width="9" style="1638" customWidth="1"/>
    <col min="11018" max="11019" width="10.625" style="1638" customWidth="1"/>
    <col min="11020" max="11020" width="14.375" style="1638" customWidth="1"/>
    <col min="11021" max="11021" width="6.25" style="1638" customWidth="1"/>
    <col min="11022" max="11022" width="26.125" style="1638" customWidth="1"/>
    <col min="11023" max="11265" width="9" style="1638"/>
    <col min="11266" max="11266" width="46.625" style="1638" customWidth="1"/>
    <col min="11267" max="11267" width="6.25" style="1638" customWidth="1"/>
    <col min="11268" max="11268" width="7.875" style="1638" customWidth="1"/>
    <col min="11269" max="11270" width="13.875" style="1638" customWidth="1"/>
    <col min="11271" max="11271" width="6.25" style="1638" customWidth="1"/>
    <col min="11272" max="11272" width="7.875" style="1638" customWidth="1"/>
    <col min="11273" max="11273" width="9" style="1638" customWidth="1"/>
    <col min="11274" max="11275" width="10.625" style="1638" customWidth="1"/>
    <col min="11276" max="11276" width="14.375" style="1638" customWidth="1"/>
    <col min="11277" max="11277" width="6.25" style="1638" customWidth="1"/>
    <col min="11278" max="11278" width="26.125" style="1638" customWidth="1"/>
    <col min="11279" max="11521" width="9" style="1638"/>
    <col min="11522" max="11522" width="46.625" style="1638" customWidth="1"/>
    <col min="11523" max="11523" width="6.25" style="1638" customWidth="1"/>
    <col min="11524" max="11524" width="7.875" style="1638" customWidth="1"/>
    <col min="11525" max="11526" width="13.875" style="1638" customWidth="1"/>
    <col min="11527" max="11527" width="6.25" style="1638" customWidth="1"/>
    <col min="11528" max="11528" width="7.875" style="1638" customWidth="1"/>
    <col min="11529" max="11529" width="9" style="1638" customWidth="1"/>
    <col min="11530" max="11531" width="10.625" style="1638" customWidth="1"/>
    <col min="11532" max="11532" width="14.375" style="1638" customWidth="1"/>
    <col min="11533" max="11533" width="6.25" style="1638" customWidth="1"/>
    <col min="11534" max="11534" width="26.125" style="1638" customWidth="1"/>
    <col min="11535" max="11777" width="9" style="1638"/>
    <col min="11778" max="11778" width="46.625" style="1638" customWidth="1"/>
    <col min="11779" max="11779" width="6.25" style="1638" customWidth="1"/>
    <col min="11780" max="11780" width="7.875" style="1638" customWidth="1"/>
    <col min="11781" max="11782" width="13.875" style="1638" customWidth="1"/>
    <col min="11783" max="11783" width="6.25" style="1638" customWidth="1"/>
    <col min="11784" max="11784" width="7.875" style="1638" customWidth="1"/>
    <col min="11785" max="11785" width="9" style="1638" customWidth="1"/>
    <col min="11786" max="11787" width="10.625" style="1638" customWidth="1"/>
    <col min="11788" max="11788" width="14.375" style="1638" customWidth="1"/>
    <col min="11789" max="11789" width="6.25" style="1638" customWidth="1"/>
    <col min="11790" max="11790" width="26.125" style="1638" customWidth="1"/>
    <col min="11791" max="12033" width="9" style="1638"/>
    <col min="12034" max="12034" width="46.625" style="1638" customWidth="1"/>
    <col min="12035" max="12035" width="6.25" style="1638" customWidth="1"/>
    <col min="12036" max="12036" width="7.875" style="1638" customWidth="1"/>
    <col min="12037" max="12038" width="13.875" style="1638" customWidth="1"/>
    <col min="12039" max="12039" width="6.25" style="1638" customWidth="1"/>
    <col min="12040" max="12040" width="7.875" style="1638" customWidth="1"/>
    <col min="12041" max="12041" width="9" style="1638" customWidth="1"/>
    <col min="12042" max="12043" width="10.625" style="1638" customWidth="1"/>
    <col min="12044" max="12044" width="14.375" style="1638" customWidth="1"/>
    <col min="12045" max="12045" width="6.25" style="1638" customWidth="1"/>
    <col min="12046" max="12046" width="26.125" style="1638" customWidth="1"/>
    <col min="12047" max="12289" width="9" style="1638"/>
    <col min="12290" max="12290" width="46.625" style="1638" customWidth="1"/>
    <col min="12291" max="12291" width="6.25" style="1638" customWidth="1"/>
    <col min="12292" max="12292" width="7.875" style="1638" customWidth="1"/>
    <col min="12293" max="12294" width="13.875" style="1638" customWidth="1"/>
    <col min="12295" max="12295" width="6.25" style="1638" customWidth="1"/>
    <col min="12296" max="12296" width="7.875" style="1638" customWidth="1"/>
    <col min="12297" max="12297" width="9" style="1638" customWidth="1"/>
    <col min="12298" max="12299" width="10.625" style="1638" customWidth="1"/>
    <col min="12300" max="12300" width="14.375" style="1638" customWidth="1"/>
    <col min="12301" max="12301" width="6.25" style="1638" customWidth="1"/>
    <col min="12302" max="12302" width="26.125" style="1638" customWidth="1"/>
    <col min="12303" max="12545" width="9" style="1638"/>
    <col min="12546" max="12546" width="46.625" style="1638" customWidth="1"/>
    <col min="12547" max="12547" width="6.25" style="1638" customWidth="1"/>
    <col min="12548" max="12548" width="7.875" style="1638" customWidth="1"/>
    <col min="12549" max="12550" width="13.875" style="1638" customWidth="1"/>
    <col min="12551" max="12551" width="6.25" style="1638" customWidth="1"/>
    <col min="12552" max="12552" width="7.875" style="1638" customWidth="1"/>
    <col min="12553" max="12553" width="9" style="1638" customWidth="1"/>
    <col min="12554" max="12555" width="10.625" style="1638" customWidth="1"/>
    <col min="12556" max="12556" width="14.375" style="1638" customWidth="1"/>
    <col min="12557" max="12557" width="6.25" style="1638" customWidth="1"/>
    <col min="12558" max="12558" width="26.125" style="1638" customWidth="1"/>
    <col min="12559" max="12801" width="9" style="1638"/>
    <col min="12802" max="12802" width="46.625" style="1638" customWidth="1"/>
    <col min="12803" max="12803" width="6.25" style="1638" customWidth="1"/>
    <col min="12804" max="12804" width="7.875" style="1638" customWidth="1"/>
    <col min="12805" max="12806" width="13.875" style="1638" customWidth="1"/>
    <col min="12807" max="12807" width="6.25" style="1638" customWidth="1"/>
    <col min="12808" max="12808" width="7.875" style="1638" customWidth="1"/>
    <col min="12809" max="12809" width="9" style="1638" customWidth="1"/>
    <col min="12810" max="12811" width="10.625" style="1638" customWidth="1"/>
    <col min="12812" max="12812" width="14.375" style="1638" customWidth="1"/>
    <col min="12813" max="12813" width="6.25" style="1638" customWidth="1"/>
    <col min="12814" max="12814" width="26.125" style="1638" customWidth="1"/>
    <col min="12815" max="13057" width="9" style="1638"/>
    <col min="13058" max="13058" width="46.625" style="1638" customWidth="1"/>
    <col min="13059" max="13059" width="6.25" style="1638" customWidth="1"/>
    <col min="13060" max="13060" width="7.875" style="1638" customWidth="1"/>
    <col min="13061" max="13062" width="13.875" style="1638" customWidth="1"/>
    <col min="13063" max="13063" width="6.25" style="1638" customWidth="1"/>
    <col min="13064" max="13064" width="7.875" style="1638" customWidth="1"/>
    <col min="13065" max="13065" width="9" style="1638" customWidth="1"/>
    <col min="13066" max="13067" width="10.625" style="1638" customWidth="1"/>
    <col min="13068" max="13068" width="14.375" style="1638" customWidth="1"/>
    <col min="13069" max="13069" width="6.25" style="1638" customWidth="1"/>
    <col min="13070" max="13070" width="26.125" style="1638" customWidth="1"/>
    <col min="13071" max="13313" width="9" style="1638"/>
    <col min="13314" max="13314" width="46.625" style="1638" customWidth="1"/>
    <col min="13315" max="13315" width="6.25" style="1638" customWidth="1"/>
    <col min="13316" max="13316" width="7.875" style="1638" customWidth="1"/>
    <col min="13317" max="13318" width="13.875" style="1638" customWidth="1"/>
    <col min="13319" max="13319" width="6.25" style="1638" customWidth="1"/>
    <col min="13320" max="13320" width="7.875" style="1638" customWidth="1"/>
    <col min="13321" max="13321" width="9" style="1638" customWidth="1"/>
    <col min="13322" max="13323" width="10.625" style="1638" customWidth="1"/>
    <col min="13324" max="13324" width="14.375" style="1638" customWidth="1"/>
    <col min="13325" max="13325" width="6.25" style="1638" customWidth="1"/>
    <col min="13326" max="13326" width="26.125" style="1638" customWidth="1"/>
    <col min="13327" max="13569" width="9" style="1638"/>
    <col min="13570" max="13570" width="46.625" style="1638" customWidth="1"/>
    <col min="13571" max="13571" width="6.25" style="1638" customWidth="1"/>
    <col min="13572" max="13572" width="7.875" style="1638" customWidth="1"/>
    <col min="13573" max="13574" width="13.875" style="1638" customWidth="1"/>
    <col min="13575" max="13575" width="6.25" style="1638" customWidth="1"/>
    <col min="13576" max="13576" width="7.875" style="1638" customWidth="1"/>
    <col min="13577" max="13577" width="9" style="1638" customWidth="1"/>
    <col min="13578" max="13579" width="10.625" style="1638" customWidth="1"/>
    <col min="13580" max="13580" width="14.375" style="1638" customWidth="1"/>
    <col min="13581" max="13581" width="6.25" style="1638" customWidth="1"/>
    <col min="13582" max="13582" width="26.125" style="1638" customWidth="1"/>
    <col min="13583" max="13825" width="9" style="1638"/>
    <col min="13826" max="13826" width="46.625" style="1638" customWidth="1"/>
    <col min="13827" max="13827" width="6.25" style="1638" customWidth="1"/>
    <col min="13828" max="13828" width="7.875" style="1638" customWidth="1"/>
    <col min="13829" max="13830" width="13.875" style="1638" customWidth="1"/>
    <col min="13831" max="13831" width="6.25" style="1638" customWidth="1"/>
    <col min="13832" max="13832" width="7.875" style="1638" customWidth="1"/>
    <col min="13833" max="13833" width="9" style="1638" customWidth="1"/>
    <col min="13834" max="13835" width="10.625" style="1638" customWidth="1"/>
    <col min="13836" max="13836" width="14.375" style="1638" customWidth="1"/>
    <col min="13837" max="13837" width="6.25" style="1638" customWidth="1"/>
    <col min="13838" max="13838" width="26.125" style="1638" customWidth="1"/>
    <col min="13839" max="14081" width="9" style="1638"/>
    <col min="14082" max="14082" width="46.625" style="1638" customWidth="1"/>
    <col min="14083" max="14083" width="6.25" style="1638" customWidth="1"/>
    <col min="14084" max="14084" width="7.875" style="1638" customWidth="1"/>
    <col min="14085" max="14086" width="13.875" style="1638" customWidth="1"/>
    <col min="14087" max="14087" width="6.25" style="1638" customWidth="1"/>
    <col min="14088" max="14088" width="7.875" style="1638" customWidth="1"/>
    <col min="14089" max="14089" width="9" style="1638" customWidth="1"/>
    <col min="14090" max="14091" width="10.625" style="1638" customWidth="1"/>
    <col min="14092" max="14092" width="14.375" style="1638" customWidth="1"/>
    <col min="14093" max="14093" width="6.25" style="1638" customWidth="1"/>
    <col min="14094" max="14094" width="26.125" style="1638" customWidth="1"/>
    <col min="14095" max="14337" width="9" style="1638"/>
    <col min="14338" max="14338" width="46.625" style="1638" customWidth="1"/>
    <col min="14339" max="14339" width="6.25" style="1638" customWidth="1"/>
    <col min="14340" max="14340" width="7.875" style="1638" customWidth="1"/>
    <col min="14341" max="14342" width="13.875" style="1638" customWidth="1"/>
    <col min="14343" max="14343" width="6.25" style="1638" customWidth="1"/>
    <col min="14344" max="14344" width="7.875" style="1638" customWidth="1"/>
    <col min="14345" max="14345" width="9" style="1638" customWidth="1"/>
    <col min="14346" max="14347" width="10.625" style="1638" customWidth="1"/>
    <col min="14348" max="14348" width="14.375" style="1638" customWidth="1"/>
    <col min="14349" max="14349" width="6.25" style="1638" customWidth="1"/>
    <col min="14350" max="14350" width="26.125" style="1638" customWidth="1"/>
    <col min="14351" max="14593" width="9" style="1638"/>
    <col min="14594" max="14594" width="46.625" style="1638" customWidth="1"/>
    <col min="14595" max="14595" width="6.25" style="1638" customWidth="1"/>
    <col min="14596" max="14596" width="7.875" style="1638" customWidth="1"/>
    <col min="14597" max="14598" width="13.875" style="1638" customWidth="1"/>
    <col min="14599" max="14599" width="6.25" style="1638" customWidth="1"/>
    <col min="14600" max="14600" width="7.875" style="1638" customWidth="1"/>
    <col min="14601" max="14601" width="9" style="1638" customWidth="1"/>
    <col min="14602" max="14603" width="10.625" style="1638" customWidth="1"/>
    <col min="14604" max="14604" width="14.375" style="1638" customWidth="1"/>
    <col min="14605" max="14605" width="6.25" style="1638" customWidth="1"/>
    <col min="14606" max="14606" width="26.125" style="1638" customWidth="1"/>
    <col min="14607" max="14849" width="9" style="1638"/>
    <col min="14850" max="14850" width="46.625" style="1638" customWidth="1"/>
    <col min="14851" max="14851" width="6.25" style="1638" customWidth="1"/>
    <col min="14852" max="14852" width="7.875" style="1638" customWidth="1"/>
    <col min="14853" max="14854" width="13.875" style="1638" customWidth="1"/>
    <col min="14855" max="14855" width="6.25" style="1638" customWidth="1"/>
    <col min="14856" max="14856" width="7.875" style="1638" customWidth="1"/>
    <col min="14857" max="14857" width="9" style="1638" customWidth="1"/>
    <col min="14858" max="14859" width="10.625" style="1638" customWidth="1"/>
    <col min="14860" max="14860" width="14.375" style="1638" customWidth="1"/>
    <col min="14861" max="14861" width="6.25" style="1638" customWidth="1"/>
    <col min="14862" max="14862" width="26.125" style="1638" customWidth="1"/>
    <col min="14863" max="15105" width="9" style="1638"/>
    <col min="15106" max="15106" width="46.625" style="1638" customWidth="1"/>
    <col min="15107" max="15107" width="6.25" style="1638" customWidth="1"/>
    <col min="15108" max="15108" width="7.875" style="1638" customWidth="1"/>
    <col min="15109" max="15110" width="13.875" style="1638" customWidth="1"/>
    <col min="15111" max="15111" width="6.25" style="1638" customWidth="1"/>
    <col min="15112" max="15112" width="7.875" style="1638" customWidth="1"/>
    <col min="15113" max="15113" width="9" style="1638" customWidth="1"/>
    <col min="15114" max="15115" width="10.625" style="1638" customWidth="1"/>
    <col min="15116" max="15116" width="14.375" style="1638" customWidth="1"/>
    <col min="15117" max="15117" width="6.25" style="1638" customWidth="1"/>
    <col min="15118" max="15118" width="26.125" style="1638" customWidth="1"/>
    <col min="15119" max="15361" width="9" style="1638"/>
    <col min="15362" max="15362" width="46.625" style="1638" customWidth="1"/>
    <col min="15363" max="15363" width="6.25" style="1638" customWidth="1"/>
    <col min="15364" max="15364" width="7.875" style="1638" customWidth="1"/>
    <col min="15365" max="15366" width="13.875" style="1638" customWidth="1"/>
    <col min="15367" max="15367" width="6.25" style="1638" customWidth="1"/>
    <col min="15368" max="15368" width="7.875" style="1638" customWidth="1"/>
    <col min="15369" max="15369" width="9" style="1638" customWidth="1"/>
    <col min="15370" max="15371" width="10.625" style="1638" customWidth="1"/>
    <col min="15372" max="15372" width="14.375" style="1638" customWidth="1"/>
    <col min="15373" max="15373" width="6.25" style="1638" customWidth="1"/>
    <col min="15374" max="15374" width="26.125" style="1638" customWidth="1"/>
    <col min="15375" max="15617" width="9" style="1638"/>
    <col min="15618" max="15618" width="46.625" style="1638" customWidth="1"/>
    <col min="15619" max="15619" width="6.25" style="1638" customWidth="1"/>
    <col min="15620" max="15620" width="7.875" style="1638" customWidth="1"/>
    <col min="15621" max="15622" width="13.875" style="1638" customWidth="1"/>
    <col min="15623" max="15623" width="6.25" style="1638" customWidth="1"/>
    <col min="15624" max="15624" width="7.875" style="1638" customWidth="1"/>
    <col min="15625" max="15625" width="9" style="1638" customWidth="1"/>
    <col min="15626" max="15627" width="10.625" style="1638" customWidth="1"/>
    <col min="15628" max="15628" width="14.375" style="1638" customWidth="1"/>
    <col min="15629" max="15629" width="6.25" style="1638" customWidth="1"/>
    <col min="15630" max="15630" width="26.125" style="1638" customWidth="1"/>
    <col min="15631" max="15873" width="9" style="1638"/>
    <col min="15874" max="15874" width="46.625" style="1638" customWidth="1"/>
    <col min="15875" max="15875" width="6.25" style="1638" customWidth="1"/>
    <col min="15876" max="15876" width="7.875" style="1638" customWidth="1"/>
    <col min="15877" max="15878" width="13.875" style="1638" customWidth="1"/>
    <col min="15879" max="15879" width="6.25" style="1638" customWidth="1"/>
    <col min="15880" max="15880" width="7.875" style="1638" customWidth="1"/>
    <col min="15881" max="15881" width="9" style="1638" customWidth="1"/>
    <col min="15882" max="15883" width="10.625" style="1638" customWidth="1"/>
    <col min="15884" max="15884" width="14.375" style="1638" customWidth="1"/>
    <col min="15885" max="15885" width="6.25" style="1638" customWidth="1"/>
    <col min="15886" max="15886" width="26.125" style="1638" customWidth="1"/>
    <col min="15887" max="16129" width="9" style="1638"/>
    <col min="16130" max="16130" width="46.625" style="1638" customWidth="1"/>
    <col min="16131" max="16131" width="6.25" style="1638" customWidth="1"/>
    <col min="16132" max="16132" width="7.875" style="1638" customWidth="1"/>
    <col min="16133" max="16134" width="13.875" style="1638" customWidth="1"/>
    <col min="16135" max="16135" width="6.25" style="1638" customWidth="1"/>
    <col min="16136" max="16136" width="7.875" style="1638" customWidth="1"/>
    <col min="16137" max="16137" width="9" style="1638" customWidth="1"/>
    <col min="16138" max="16139" width="10.625" style="1638" customWidth="1"/>
    <col min="16140" max="16140" width="14.375" style="1638" customWidth="1"/>
    <col min="16141" max="16141" width="6.25" style="1638" customWidth="1"/>
    <col min="16142" max="16142" width="26.125" style="1638" customWidth="1"/>
    <col min="16143" max="16384" width="9" style="1638"/>
  </cols>
  <sheetData>
    <row r="1" spans="1:14">
      <c r="A1" s="1638" t="s">
        <v>3132</v>
      </c>
      <c r="B1" s="1638" t="s">
        <v>3133</v>
      </c>
      <c r="C1" s="1638" t="s">
        <v>3134</v>
      </c>
      <c r="D1" s="1638" t="s">
        <v>3135</v>
      </c>
      <c r="E1" s="1638" t="s">
        <v>3136</v>
      </c>
      <c r="F1" s="1638" t="s">
        <v>3137</v>
      </c>
      <c r="G1" s="1638" t="s">
        <v>3138</v>
      </c>
      <c r="H1" s="1638" t="s">
        <v>3139</v>
      </c>
      <c r="I1" s="1638" t="s">
        <v>3140</v>
      </c>
      <c r="J1" s="1638" t="s">
        <v>3141</v>
      </c>
      <c r="K1" s="1638" t="s">
        <v>3142</v>
      </c>
      <c r="L1" s="2963" t="s">
        <v>3187</v>
      </c>
      <c r="M1" s="1638" t="s">
        <v>3143</v>
      </c>
      <c r="N1" s="1638" t="s">
        <v>3144</v>
      </c>
    </row>
    <row r="2" spans="1:14" s="2964" customFormat="1">
      <c r="A2" s="2964" t="s">
        <v>3196</v>
      </c>
      <c r="B2" s="2964" t="s">
        <v>3056</v>
      </c>
      <c r="C2" s="2964" t="s">
        <v>3146</v>
      </c>
      <c r="D2" s="2964">
        <v>4280.58</v>
      </c>
      <c r="E2" s="2964">
        <v>3424</v>
      </c>
      <c r="F2" s="2964">
        <v>0.8</v>
      </c>
      <c r="G2" s="2964" t="s">
        <v>3147</v>
      </c>
      <c r="H2" s="2964" t="s">
        <v>3197</v>
      </c>
      <c r="I2" s="2964">
        <v>642.09</v>
      </c>
      <c r="J2" s="2964">
        <v>642.09</v>
      </c>
      <c r="K2" s="2964">
        <v>1875.25</v>
      </c>
      <c r="L2" s="2964">
        <f>ROUND(J2*10000/D2,0)</f>
        <v>1500</v>
      </c>
      <c r="M2" s="2964">
        <v>0</v>
      </c>
      <c r="N2" s="2964" t="s">
        <v>3198</v>
      </c>
    </row>
    <row r="3" spans="1:14">
      <c r="A3" s="1638" t="s">
        <v>3145</v>
      </c>
      <c r="B3" s="1638" t="s">
        <v>3056</v>
      </c>
      <c r="C3" s="1638" t="s">
        <v>3146</v>
      </c>
      <c r="D3" s="1638">
        <v>31386.9</v>
      </c>
      <c r="E3" s="1638">
        <v>25110</v>
      </c>
      <c r="F3" s="1638">
        <v>0.8</v>
      </c>
      <c r="G3" s="1638" t="s">
        <v>3147</v>
      </c>
      <c r="H3" s="1638" t="s">
        <v>3148</v>
      </c>
      <c r="I3" s="1638">
        <v>11547.52</v>
      </c>
      <c r="J3" s="1638">
        <v>11547.52</v>
      </c>
      <c r="K3" s="1638">
        <v>4598.7700000000004</v>
      </c>
      <c r="L3" s="1638">
        <f>ROUND(J3*10000/D3,0)</f>
        <v>3679</v>
      </c>
      <c r="M3" s="1638">
        <v>0</v>
      </c>
      <c r="N3" s="1638" t="s">
        <v>3149</v>
      </c>
    </row>
    <row r="4" spans="1:14">
      <c r="A4" s="1638" t="s">
        <v>3150</v>
      </c>
      <c r="B4" s="1638" t="s">
        <v>3056</v>
      </c>
      <c r="C4" s="1638" t="s">
        <v>3146</v>
      </c>
      <c r="D4" s="1638">
        <v>45231.1</v>
      </c>
      <c r="E4" s="1638">
        <v>36185</v>
      </c>
      <c r="F4" s="1638">
        <v>0.8</v>
      </c>
      <c r="G4" s="1638" t="s">
        <v>3147</v>
      </c>
      <c r="H4" s="1638" t="s">
        <v>3151</v>
      </c>
      <c r="I4" s="1638">
        <v>13943.25</v>
      </c>
      <c r="J4" s="1638">
        <v>13943.25</v>
      </c>
      <c r="K4" s="1638">
        <v>3853.32</v>
      </c>
      <c r="L4" s="1638">
        <f t="shared" ref="L4:L17" si="0">ROUND(J4*10000/D4,0)</f>
        <v>3083</v>
      </c>
      <c r="M4" s="1638">
        <v>0</v>
      </c>
      <c r="N4" s="1638" t="s">
        <v>3152</v>
      </c>
    </row>
    <row r="5" spans="1:14">
      <c r="A5" s="1638" t="s">
        <v>3153</v>
      </c>
      <c r="B5" s="1638" t="s">
        <v>3056</v>
      </c>
      <c r="C5" s="1638" t="s">
        <v>3146</v>
      </c>
      <c r="D5" s="1638">
        <v>401615.3</v>
      </c>
      <c r="E5" s="1638">
        <v>401615</v>
      </c>
      <c r="F5" s="1638">
        <v>1</v>
      </c>
      <c r="G5" s="1638" t="s">
        <v>3147</v>
      </c>
      <c r="H5" s="1638" t="s">
        <v>3151</v>
      </c>
      <c r="I5" s="1638">
        <v>109378.8</v>
      </c>
      <c r="J5" s="1638">
        <v>109378.8</v>
      </c>
      <c r="K5" s="1638">
        <v>2723.46</v>
      </c>
      <c r="L5" s="1638">
        <f t="shared" si="0"/>
        <v>2723</v>
      </c>
      <c r="M5" s="1638">
        <v>0</v>
      </c>
      <c r="N5" s="1638" t="s">
        <v>3154</v>
      </c>
    </row>
    <row r="6" spans="1:14" s="2964" customFormat="1">
      <c r="A6" s="2964" t="s">
        <v>3155</v>
      </c>
      <c r="B6" s="2964" t="s">
        <v>3056</v>
      </c>
      <c r="C6" s="2964" t="s">
        <v>3146</v>
      </c>
      <c r="D6" s="2964">
        <v>11912.8</v>
      </c>
      <c r="E6" s="2964">
        <v>9530</v>
      </c>
      <c r="F6" s="2964">
        <v>0.8</v>
      </c>
      <c r="G6" s="2964" t="s">
        <v>3147</v>
      </c>
      <c r="H6" s="2964" t="s">
        <v>3156</v>
      </c>
      <c r="I6" s="2964">
        <v>1798</v>
      </c>
      <c r="J6" s="2964">
        <v>1798</v>
      </c>
      <c r="K6" s="2964">
        <v>1886.67</v>
      </c>
      <c r="L6" s="2964">
        <f t="shared" si="0"/>
        <v>1509</v>
      </c>
      <c r="M6" s="2964">
        <v>0</v>
      </c>
      <c r="N6" s="2964" t="s">
        <v>3157</v>
      </c>
    </row>
    <row r="7" spans="1:14" s="2965" customFormat="1">
      <c r="A7" s="2965" t="s">
        <v>3158</v>
      </c>
      <c r="B7" s="2965" t="s">
        <v>3056</v>
      </c>
      <c r="C7" s="2965" t="s">
        <v>3146</v>
      </c>
      <c r="D7" s="2965">
        <v>13289.21</v>
      </c>
      <c r="E7" s="2965">
        <v>10631</v>
      </c>
      <c r="F7" s="2965">
        <v>0.8</v>
      </c>
      <c r="G7" s="2965" t="s">
        <v>3147</v>
      </c>
      <c r="H7" s="2965" t="s">
        <v>3159</v>
      </c>
      <c r="I7" s="2965">
        <v>1597.44</v>
      </c>
      <c r="J7" s="2965">
        <v>1597.44</v>
      </c>
      <c r="K7" s="2965">
        <v>1502.61</v>
      </c>
      <c r="L7" s="2965">
        <f t="shared" si="0"/>
        <v>1202</v>
      </c>
      <c r="M7" s="2965">
        <v>0</v>
      </c>
      <c r="N7" s="2965" t="s">
        <v>3160</v>
      </c>
    </row>
    <row r="8" spans="1:14" s="2964" customFormat="1">
      <c r="A8" s="2964" t="s">
        <v>3161</v>
      </c>
      <c r="B8" s="2964" t="s">
        <v>3056</v>
      </c>
      <c r="C8" s="2964" t="s">
        <v>3146</v>
      </c>
      <c r="D8" s="2964">
        <v>56802.68</v>
      </c>
      <c r="E8" s="2964">
        <v>45442</v>
      </c>
      <c r="F8" s="2964">
        <v>0.8</v>
      </c>
      <c r="G8" s="2964" t="s">
        <v>3147</v>
      </c>
      <c r="H8" s="2964" t="s">
        <v>3159</v>
      </c>
      <c r="I8" s="2964">
        <v>7121.07</v>
      </c>
      <c r="J8" s="2964">
        <v>7121.07</v>
      </c>
      <c r="K8" s="2964">
        <v>1567.06</v>
      </c>
      <c r="L8" s="2964">
        <f t="shared" si="0"/>
        <v>1254</v>
      </c>
      <c r="M8" s="2964">
        <v>0</v>
      </c>
      <c r="N8" s="2964" t="s">
        <v>3162</v>
      </c>
    </row>
    <row r="9" spans="1:14" s="2965" customFormat="1">
      <c r="A9" s="2965" t="s">
        <v>3163</v>
      </c>
      <c r="B9" s="2965" t="s">
        <v>3056</v>
      </c>
      <c r="C9" s="2965" t="s">
        <v>3146</v>
      </c>
      <c r="D9" s="2965">
        <v>71328.36</v>
      </c>
      <c r="E9" s="2965">
        <v>57063</v>
      </c>
      <c r="F9" s="2965">
        <v>0.8</v>
      </c>
      <c r="G9" s="2965" t="s">
        <v>3147</v>
      </c>
      <c r="H9" s="2965" t="s">
        <v>3164</v>
      </c>
      <c r="I9" s="2965">
        <v>8967.77</v>
      </c>
      <c r="J9" s="2965">
        <v>8967.77</v>
      </c>
      <c r="K9" s="2965">
        <v>1571.55</v>
      </c>
      <c r="L9" s="2965">
        <f t="shared" si="0"/>
        <v>1257</v>
      </c>
      <c r="M9" s="2965">
        <v>0</v>
      </c>
      <c r="N9" s="2965" t="s">
        <v>3165</v>
      </c>
    </row>
    <row r="10" spans="1:14">
      <c r="A10" s="1638" t="s">
        <v>3166</v>
      </c>
      <c r="B10" s="1638" t="s">
        <v>3056</v>
      </c>
      <c r="C10" s="1638" t="s">
        <v>3146</v>
      </c>
      <c r="D10" s="1638">
        <v>41930.26</v>
      </c>
      <c r="E10" s="1638">
        <v>33544</v>
      </c>
      <c r="F10" s="1638">
        <v>0.8</v>
      </c>
      <c r="G10" s="1638" t="s">
        <v>3147</v>
      </c>
      <c r="H10" s="1638" t="s">
        <v>3167</v>
      </c>
      <c r="I10" s="1638">
        <v>5256.6</v>
      </c>
      <c r="J10" s="1638">
        <v>5256.6</v>
      </c>
      <c r="K10" s="1638">
        <v>1567.07</v>
      </c>
      <c r="L10" s="1638">
        <f t="shared" si="0"/>
        <v>1254</v>
      </c>
      <c r="M10" s="1638">
        <v>0</v>
      </c>
      <c r="N10" s="1638" t="s">
        <v>3168</v>
      </c>
    </row>
    <row r="11" spans="1:14">
      <c r="A11" s="1638" t="s">
        <v>3169</v>
      </c>
      <c r="B11" s="1638" t="s">
        <v>3056</v>
      </c>
      <c r="C11" s="1638" t="s">
        <v>3146</v>
      </c>
      <c r="D11" s="1638">
        <v>58598.03</v>
      </c>
      <c r="E11" s="1638">
        <v>46878</v>
      </c>
      <c r="F11" s="1638">
        <v>0.8</v>
      </c>
      <c r="G11" s="1638" t="s">
        <v>3147</v>
      </c>
      <c r="H11" s="1638" t="s">
        <v>3170</v>
      </c>
      <c r="I11" s="1638">
        <v>6769.31</v>
      </c>
      <c r="J11" s="1638">
        <v>6769.31</v>
      </c>
      <c r="K11" s="1638">
        <v>1444.02</v>
      </c>
      <c r="L11" s="1638">
        <f t="shared" si="0"/>
        <v>1155</v>
      </c>
      <c r="M11" s="1638">
        <v>0</v>
      </c>
      <c r="N11" s="1638" t="s">
        <v>3171</v>
      </c>
    </row>
    <row r="12" spans="1:14">
      <c r="A12" s="1638" t="s">
        <v>3172</v>
      </c>
      <c r="B12" s="1638" t="s">
        <v>3056</v>
      </c>
      <c r="C12" s="1638" t="s">
        <v>3146</v>
      </c>
      <c r="D12" s="1638">
        <v>30396.400000000001</v>
      </c>
      <c r="E12" s="1638">
        <v>24317</v>
      </c>
      <c r="F12" s="1638">
        <v>0.8</v>
      </c>
      <c r="G12" s="1638" t="s">
        <v>3147</v>
      </c>
      <c r="H12" s="1638" t="s">
        <v>3173</v>
      </c>
      <c r="I12" s="1638">
        <v>2215.0100000000002</v>
      </c>
      <c r="J12" s="1638">
        <v>2235.0100000000002</v>
      </c>
      <c r="K12" s="1638">
        <v>919.11</v>
      </c>
      <c r="L12" s="1638">
        <f t="shared" si="0"/>
        <v>735</v>
      </c>
      <c r="M12" s="1638">
        <v>0.9</v>
      </c>
      <c r="N12" s="1638" t="s">
        <v>3174</v>
      </c>
    </row>
    <row r="13" spans="1:14">
      <c r="A13" s="1638" t="s">
        <v>3175</v>
      </c>
      <c r="B13" s="1638" t="s">
        <v>3056</v>
      </c>
      <c r="C13" s="1638" t="s">
        <v>3146</v>
      </c>
      <c r="D13" s="1638">
        <v>17200</v>
      </c>
      <c r="E13" s="1638">
        <v>13760</v>
      </c>
      <c r="F13" s="1638">
        <v>0.8</v>
      </c>
      <c r="G13" s="1638" t="s">
        <v>3147</v>
      </c>
      <c r="H13" s="1638" t="s">
        <v>3176</v>
      </c>
      <c r="I13" s="1638">
        <v>1255.0899999999999</v>
      </c>
      <c r="J13" s="1638">
        <v>3700</v>
      </c>
      <c r="K13" s="1638">
        <v>2688.94</v>
      </c>
      <c r="L13" s="1638">
        <f t="shared" si="0"/>
        <v>2151</v>
      </c>
      <c r="M13" s="1638">
        <v>194.8</v>
      </c>
      <c r="N13" s="1638" t="s">
        <v>3177</v>
      </c>
    </row>
    <row r="14" spans="1:14">
      <c r="A14" s="1638" t="s">
        <v>3178</v>
      </c>
      <c r="B14" s="1638" t="s">
        <v>3056</v>
      </c>
      <c r="C14" s="1638" t="s">
        <v>3146</v>
      </c>
      <c r="D14" s="1638">
        <v>2837.45</v>
      </c>
      <c r="E14" s="1638">
        <v>2270</v>
      </c>
      <c r="F14" s="1638">
        <v>0.8</v>
      </c>
      <c r="G14" s="1638" t="s">
        <v>3147</v>
      </c>
      <c r="H14" s="1638" t="s">
        <v>3176</v>
      </c>
      <c r="I14" s="1638">
        <v>325.85000000000002</v>
      </c>
      <c r="J14" s="1638">
        <v>325.85000000000002</v>
      </c>
      <c r="K14" s="1638">
        <v>1435.46</v>
      </c>
      <c r="L14" s="1638">
        <f t="shared" si="0"/>
        <v>1148</v>
      </c>
      <c r="M14" s="1638">
        <v>0</v>
      </c>
      <c r="N14" s="1638" t="s">
        <v>3179</v>
      </c>
    </row>
    <row r="15" spans="1:14">
      <c r="A15" s="1638" t="s">
        <v>3180</v>
      </c>
      <c r="B15" s="1638" t="s">
        <v>3056</v>
      </c>
      <c r="C15" s="1638" t="s">
        <v>3146</v>
      </c>
      <c r="D15" s="1638">
        <v>64911.83</v>
      </c>
      <c r="E15" s="1638">
        <v>51929</v>
      </c>
      <c r="F15" s="1638">
        <v>0.8</v>
      </c>
      <c r="G15" s="1638" t="s">
        <v>3147</v>
      </c>
      <c r="H15" s="1638" t="s">
        <v>3176</v>
      </c>
      <c r="I15" s="1638">
        <v>12025.15</v>
      </c>
      <c r="J15" s="1638">
        <v>12025.15</v>
      </c>
      <c r="K15" s="1638">
        <v>2315.69</v>
      </c>
      <c r="L15" s="1638">
        <f t="shared" si="0"/>
        <v>1853</v>
      </c>
      <c r="M15" s="1638">
        <v>0</v>
      </c>
      <c r="N15" s="1638" t="s">
        <v>3181</v>
      </c>
    </row>
    <row r="16" spans="1:14">
      <c r="A16" s="1638" t="s">
        <v>3182</v>
      </c>
      <c r="B16" s="1638" t="s">
        <v>3056</v>
      </c>
      <c r="C16" s="1638" t="s">
        <v>3146</v>
      </c>
      <c r="D16" s="1638">
        <v>28089.599999999999</v>
      </c>
      <c r="E16" s="1638">
        <v>22472</v>
      </c>
      <c r="F16" s="1638">
        <v>0.8</v>
      </c>
      <c r="G16" s="1638" t="s">
        <v>3147</v>
      </c>
      <c r="H16" s="1638" t="s">
        <v>3176</v>
      </c>
      <c r="I16" s="1638">
        <v>3231.53</v>
      </c>
      <c r="J16" s="1638">
        <v>3231.53</v>
      </c>
      <c r="K16" s="1638">
        <v>1438.02</v>
      </c>
      <c r="L16" s="1638">
        <f t="shared" si="0"/>
        <v>1150</v>
      </c>
      <c r="M16" s="1638">
        <v>0</v>
      </c>
      <c r="N16" s="1638" t="s">
        <v>3183</v>
      </c>
    </row>
    <row r="17" spans="1:14">
      <c r="A17" s="1638" t="s">
        <v>3184</v>
      </c>
      <c r="B17" s="1638" t="s">
        <v>3056</v>
      </c>
      <c r="C17" s="1638" t="s">
        <v>3146</v>
      </c>
      <c r="D17" s="1638">
        <v>18801.849999999999</v>
      </c>
      <c r="E17" s="1638">
        <v>15041</v>
      </c>
      <c r="F17" s="1638">
        <v>0.8</v>
      </c>
      <c r="G17" s="1638" t="s">
        <v>3147</v>
      </c>
      <c r="H17" s="1638" t="s">
        <v>3185</v>
      </c>
      <c r="I17" s="1638">
        <v>3483.03</v>
      </c>
      <c r="J17" s="1638">
        <v>6950</v>
      </c>
      <c r="K17" s="1638">
        <v>4620.6899999999996</v>
      </c>
      <c r="L17" s="1638">
        <f t="shared" si="0"/>
        <v>3696</v>
      </c>
      <c r="M17" s="1638">
        <v>99.54</v>
      </c>
      <c r="N17" s="1638" t="s">
        <v>3186</v>
      </c>
    </row>
  </sheetData>
  <phoneticPr fontId="143" type="noConversion"/>
  <pageMargins left="0.25" right="0.25" top="0.75" bottom="0.75" header="0.3" footer="0.3"/>
  <pageSetup paperSize="9"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7" t="str">
        <f>IF(项目基本情况!B9="房地产市场价值","估价结果一览表","结果表-2")</f>
        <v>估价结果一览表</v>
      </c>
      <c r="B1" s="2987"/>
      <c r="C1" s="2987"/>
      <c r="D1" s="2987"/>
      <c r="E1" s="2987"/>
      <c r="F1" s="2987"/>
      <c r="G1" s="2987"/>
      <c r="H1" s="2987"/>
      <c r="I1" s="2987"/>
    </row>
    <row r="2" spans="1:9" ht="30" customHeight="1" thickTop="1">
      <c r="A2" s="2988" t="s">
        <v>1643</v>
      </c>
      <c r="B2" s="2988" t="s">
        <v>1644</v>
      </c>
      <c r="C2" s="2988" t="s">
        <v>1645</v>
      </c>
      <c r="D2" s="2988" t="str">
        <f>结果表!D116</f>
        <v>出让国有建设用地使用权价值</v>
      </c>
      <c r="E2" s="2988"/>
      <c r="F2" s="2988" t="str">
        <f>结果表!F116</f>
        <v>在建建筑物价值</v>
      </c>
      <c r="G2" s="2988"/>
      <c r="H2" s="2988" t="str">
        <f>IF(项目基本情况!B9="房地产市场价值","房地产市场价值","房地产价值")</f>
        <v>房地产市场价值</v>
      </c>
      <c r="I2" s="2988"/>
    </row>
    <row r="3" spans="1:9" ht="15">
      <c r="A3" s="2982"/>
      <c r="B3" s="2982"/>
      <c r="C3" s="2982"/>
      <c r="D3" s="1046" t="s">
        <v>1640</v>
      </c>
      <c r="E3" s="1046" t="s">
        <v>1646</v>
      </c>
      <c r="F3" s="1046" t="s">
        <v>1640</v>
      </c>
      <c r="G3" s="1046" t="s">
        <v>1641</v>
      </c>
      <c r="H3" s="1046" t="s">
        <v>1640</v>
      </c>
      <c r="I3" s="1046" t="s">
        <v>1641</v>
      </c>
    </row>
    <row r="4" spans="1:9" ht="15">
      <c r="A4" s="1976" t="str">
        <f>项目基本情况!S2</f>
        <v>北京市房地产</v>
      </c>
      <c r="B4" s="1046">
        <f>项目基本情况!C17</f>
        <v>16724.510000000002</v>
      </c>
      <c r="C4" s="1046">
        <f>项目基本情况!C18</f>
        <v>9999.1</v>
      </c>
      <c r="D4" s="1046" t="e">
        <f ca="1">结果表!D118</f>
        <v>#REF!</v>
      </c>
      <c r="E4" s="1046" t="e">
        <f ca="1">结果表!E118</f>
        <v>#REF!</v>
      </c>
      <c r="F4" s="1046" t="e">
        <f ca="1">结果表!F118</f>
        <v>#REF!</v>
      </c>
      <c r="G4" s="1046" t="e">
        <f ca="1">结果表!G118</f>
        <v>#REF!</v>
      </c>
      <c r="H4" s="1046">
        <f ca="1">结果表!H118</f>
        <v>12626</v>
      </c>
      <c r="I4" s="1046">
        <f ca="1">结果表!I118</f>
        <v>7549</v>
      </c>
    </row>
    <row r="5" spans="1:9" ht="30" customHeight="1">
      <c r="A5" s="2982" t="s">
        <v>1642</v>
      </c>
      <c r="B5" s="2982"/>
      <c r="C5" s="2982"/>
      <c r="D5" s="2983" t="e">
        <f ca="1">结果表!D119</f>
        <v>#REF!</v>
      </c>
      <c r="E5" s="2983"/>
      <c r="F5" s="2983" t="e">
        <f ca="1">结果表!F119</f>
        <v>#REF!</v>
      </c>
      <c r="G5" s="2983"/>
      <c r="H5" s="2983" t="str">
        <f ca="1">结果表!H119</f>
        <v>壹亿贰仟陆佰贰拾陆万元整</v>
      </c>
      <c r="I5" s="2983"/>
    </row>
    <row r="6" spans="1:9" ht="15.75">
      <c r="A6" s="2981" t="str">
        <f>结果表!A120</f>
        <v/>
      </c>
      <c r="B6" s="2981"/>
      <c r="C6" s="2981"/>
      <c r="D6" s="2981">
        <f>结果表!D120</f>
        <v>0</v>
      </c>
      <c r="E6" s="2981"/>
      <c r="F6" s="2981"/>
      <c r="G6" s="2981"/>
      <c r="H6" s="2981"/>
      <c r="I6" s="2981"/>
    </row>
    <row r="7" spans="1:9" ht="15">
      <c r="A7" s="2982" t="s">
        <v>1642</v>
      </c>
      <c r="B7" s="2982"/>
      <c r="C7" s="2982"/>
      <c r="D7" s="2984" t="str">
        <f>结果表!D121</f>
        <v>零元整</v>
      </c>
      <c r="E7" s="2985"/>
      <c r="F7" s="2985"/>
      <c r="G7" s="2985"/>
      <c r="H7" s="2985"/>
      <c r="I7" s="2986"/>
    </row>
    <row r="8" spans="1:9" ht="15.75">
      <c r="A8" s="2981" t="str">
        <f>结果表!A122</f>
        <v/>
      </c>
      <c r="B8" s="2981"/>
      <c r="C8" s="2981"/>
      <c r="D8" s="2981">
        <f ca="1">结果表!D122</f>
        <v>12626</v>
      </c>
      <c r="E8" s="2981"/>
      <c r="F8" s="2981"/>
      <c r="G8" s="2981"/>
      <c r="H8" s="2981"/>
      <c r="I8" s="2981"/>
    </row>
    <row r="9" spans="1:9" ht="15">
      <c r="A9" s="2982" t="s">
        <v>1642</v>
      </c>
      <c r="B9" s="2982"/>
      <c r="C9" s="2982"/>
      <c r="D9" s="2983" t="str">
        <f ca="1">结果表!D123</f>
        <v>壹亿贰仟陆佰贰拾陆万元整</v>
      </c>
      <c r="E9" s="2983"/>
      <c r="F9" s="2983"/>
      <c r="G9" s="2983"/>
      <c r="H9" s="2983"/>
      <c r="I9" s="2983"/>
    </row>
    <row r="10" spans="1:9" ht="15.75">
      <c r="A10" s="2981" t="str">
        <f>结果表!A124</f>
        <v/>
      </c>
      <c r="B10" s="2981"/>
      <c r="C10" s="2981"/>
      <c r="D10" s="2981">
        <f ca="1">结果表!D124</f>
        <v>12626</v>
      </c>
      <c r="E10" s="2981"/>
      <c r="F10" s="2981"/>
      <c r="G10" s="2981"/>
      <c r="H10" s="2981"/>
      <c r="I10" s="2981"/>
    </row>
    <row r="11" spans="1:9" ht="15">
      <c r="A11" s="2982" t="s">
        <v>1642</v>
      </c>
      <c r="B11" s="2982"/>
      <c r="C11" s="2982"/>
      <c r="D11" s="2983" t="str">
        <f ca="1">结果表!D125</f>
        <v>壹亿贰仟陆佰贰拾陆万元整</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1642</v>
      </c>
      <c r="B13" s="2978"/>
      <c r="C13" s="2978"/>
      <c r="D13" s="2979" t="e">
        <f>结果表!D127</f>
        <v>#VALUE!</v>
      </c>
      <c r="E13" s="2979"/>
      <c r="F13" s="2979"/>
      <c r="G13" s="2979"/>
      <c r="H13" s="2979"/>
      <c r="I13" s="2979"/>
    </row>
    <row r="14" spans="1:9" ht="15" thickTop="1">
      <c r="A14" s="2980" t="s">
        <v>1647</v>
      </c>
      <c r="B14" s="2980"/>
      <c r="C14" s="2980"/>
      <c r="D14" s="2980"/>
      <c r="E14" s="2980"/>
      <c r="F14" s="2980"/>
      <c r="G14" s="2980"/>
      <c r="H14" s="2980"/>
      <c r="I14" s="2980"/>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5" t="s">
        <v>1664</v>
      </c>
      <c r="B1" s="2995"/>
      <c r="C1" s="2995"/>
      <c r="D1" s="2995"/>
    </row>
    <row r="2" spans="1:4" ht="18">
      <c r="A2" s="2996" t="s">
        <v>1648</v>
      </c>
      <c r="B2" s="2996"/>
      <c r="C2" s="2996"/>
      <c r="D2" s="2996"/>
    </row>
    <row r="3" spans="1:4" ht="18.75">
      <c r="A3" s="1980" t="s">
        <v>1649</v>
      </c>
      <c r="B3" s="1980" t="s">
        <v>1650</v>
      </c>
      <c r="C3" s="1980" t="s">
        <v>1651</v>
      </c>
      <c r="D3" s="1980" t="s">
        <v>1652</v>
      </c>
    </row>
    <row r="4" spans="1:4" ht="56.25" customHeight="1">
      <c r="A4" s="1981" t="str">
        <f>项目基本情况!B4</f>
        <v>刘梅</v>
      </c>
      <c r="B4" s="1982">
        <f ca="1">项目基本情况!C4</f>
        <v>1120140022</v>
      </c>
      <c r="C4" s="1983"/>
      <c r="D4" s="1984" t="s">
        <v>1653</v>
      </c>
    </row>
    <row r="5" spans="1:4" ht="56.25" customHeight="1">
      <c r="A5" s="1981" t="str">
        <f>项目基本情况!D4</f>
        <v>吴薇</v>
      </c>
      <c r="B5" s="1982">
        <f ca="1">项目基本情况!E4</f>
        <v>1419970001</v>
      </c>
      <c r="C5" s="1985"/>
      <c r="D5" s="1984" t="s">
        <v>1653</v>
      </c>
    </row>
    <row r="6" spans="1:4" ht="18">
      <c r="A6" s="2996" t="s">
        <v>1654</v>
      </c>
      <c r="B6" s="2996"/>
      <c r="C6" s="2996"/>
      <c r="D6" s="2996"/>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97" t="s">
        <v>1657</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4"/>
      <c r="C12" s="2994"/>
      <c r="D12" s="2994"/>
    </row>
    <row r="13" spans="1:4" ht="30" customHeight="1">
      <c r="A13" s="2989" t="str">
        <f>IF(项目基本情况!B8="抵押","3.抵押双方在办理抵押登记手续时，应使用本公司出具的正式《房地产评估报告》，特提醒报告使用者注意。","——")</f>
        <v>——</v>
      </c>
      <c r="B13" s="2994"/>
      <c r="C13" s="2994"/>
      <c r="D13" s="2994"/>
    </row>
    <row r="14" spans="1:4" ht="15.75" customHeight="1">
      <c r="A14" s="2989" t="str">
        <f>IF(项目基本情况!B8="抵押","4.本次评估估价师所知悉的法定优先受偿款情况说明如下：","——")</f>
        <v>——</v>
      </c>
      <c r="B14" s="2994"/>
      <c r="C14" s="2994"/>
      <c r="D14" s="2994"/>
    </row>
    <row r="15" spans="1:4" ht="42" customHeight="1">
      <c r="A15" s="2989" t="str">
        <f>IF(项目基本情况!B8="抵押","（1）"&amp;CONCATENATE(项目基本情况!L20,项目基本情况!L21,项目基本情况!L22),"——")</f>
        <v>——</v>
      </c>
      <c r="B15" s="2989"/>
      <c r="C15" s="2989"/>
      <c r="D15" s="2989"/>
    </row>
    <row r="16" spans="1:4" ht="30" customHeight="1">
      <c r="A16" s="2991" t="s">
        <v>1658</v>
      </c>
      <c r="B16" s="2991"/>
      <c r="C16" s="2991"/>
      <c r="D16" s="2991"/>
    </row>
    <row r="17" spans="1:4" ht="144" customHeight="1">
      <c r="A17" s="2991" t="s">
        <v>1659</v>
      </c>
      <c r="B17" s="2991"/>
      <c r="C17" s="2991"/>
      <c r="D17" s="2991"/>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1660</v>
      </c>
      <c r="B22" s="2993"/>
      <c r="C22" s="2993"/>
      <c r="D22" s="2993"/>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03" t="s">
        <v>1671</v>
      </c>
      <c r="B15" s="2998" t="s">
        <v>136</v>
      </c>
      <c r="C15" s="2999"/>
    </row>
    <row r="16" spans="1:7" ht="13.5">
      <c r="A16" s="3004"/>
      <c r="B16" s="2998" t="s">
        <v>69</v>
      </c>
      <c r="C16" s="2999"/>
    </row>
    <row r="17" spans="1:3" ht="13.5">
      <c r="A17" s="3004"/>
      <c r="B17" s="3001" t="s">
        <v>1672</v>
      </c>
      <c r="C17" s="2003" t="s">
        <v>1671</v>
      </c>
    </row>
    <row r="18" spans="1:3" ht="13.5">
      <c r="A18" s="3004"/>
      <c r="B18" s="3001"/>
      <c r="C18" s="2003" t="s">
        <v>1673</v>
      </c>
    </row>
    <row r="19" spans="1:3" ht="13.5">
      <c r="A19" s="3004"/>
      <c r="B19" s="3001"/>
      <c r="C19" s="2003" t="s">
        <v>1674</v>
      </c>
    </row>
    <row r="20" spans="1:3" ht="13.5">
      <c r="A20" s="3005"/>
      <c r="B20" s="3000" t="s">
        <v>1675</v>
      </c>
      <c r="C20" s="2999"/>
    </row>
    <row r="21" spans="1:3" ht="13.5">
      <c r="A21" s="2004" t="s">
        <v>1676</v>
      </c>
      <c r="B21" s="2005"/>
      <c r="C21" s="2006"/>
    </row>
    <row r="22" spans="1:3" ht="13.5">
      <c r="A22" s="3002" t="s">
        <v>1677</v>
      </c>
      <c r="B22" s="3000" t="s">
        <v>1678</v>
      </c>
      <c r="C22" s="2999"/>
    </row>
    <row r="23" spans="1:3" ht="13.5">
      <c r="A23" s="3002"/>
      <c r="B23" s="3000" t="s">
        <v>1679</v>
      </c>
      <c r="C23" s="2999"/>
    </row>
    <row r="24" spans="1:3" ht="13.5">
      <c r="A24" s="3002"/>
      <c r="B24" s="3000" t="s">
        <v>1680</v>
      </c>
      <c r="C24" s="2999"/>
    </row>
    <row r="25" spans="1:3" ht="13.5">
      <c r="A25" s="3002"/>
      <c r="B25" s="3001" t="s">
        <v>1681</v>
      </c>
      <c r="C25" s="2003" t="s">
        <v>1682</v>
      </c>
    </row>
    <row r="26" spans="1:3" ht="13.5">
      <c r="A26" s="3002"/>
      <c r="B26" s="3001"/>
      <c r="C26" s="2003" t="s">
        <v>1683</v>
      </c>
    </row>
    <row r="27" spans="1:3" ht="13.5">
      <c r="A27" s="3002"/>
      <c r="B27" s="3001"/>
      <c r="C27" s="2003" t="s">
        <v>1684</v>
      </c>
    </row>
    <row r="28" spans="1:3" ht="13.5">
      <c r="A28" s="3002"/>
      <c r="B28" s="3001"/>
      <c r="C28" s="2003" t="s">
        <v>1685</v>
      </c>
    </row>
    <row r="29" spans="1:3" ht="13.5">
      <c r="A29" s="3002"/>
      <c r="B29" s="3001"/>
      <c r="C29" s="2003" t="s">
        <v>1686</v>
      </c>
    </row>
    <row r="30" spans="1:3" ht="13.5">
      <c r="A30" s="3002"/>
      <c r="B30" s="3001"/>
      <c r="C30" s="2003" t="s">
        <v>1687</v>
      </c>
    </row>
    <row r="31" spans="1:3" ht="13.5">
      <c r="A31" s="3002"/>
      <c r="B31" s="3001"/>
      <c r="C31" s="2003" t="s">
        <v>1688</v>
      </c>
    </row>
    <row r="32" spans="1:3" ht="13.5">
      <c r="A32" s="3002"/>
      <c r="B32" s="3001"/>
      <c r="C32" s="2003" t="s">
        <v>1689</v>
      </c>
    </row>
    <row r="33" spans="1:3" ht="13.5">
      <c r="A33" s="3002"/>
      <c r="B33" s="3001"/>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43117</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3006" t="s">
        <v>846</v>
      </c>
      <c r="B25" s="3006"/>
      <c r="C25" s="3006"/>
      <c r="D25" s="3006"/>
      <c r="E25" s="3006"/>
      <c r="F25" s="3006"/>
      <c r="G25" s="3006"/>
    </row>
    <row r="26" spans="1:7" s="1027" customFormat="1" ht="24" customHeight="1">
      <c r="A26" s="3007" t="s">
        <v>847</v>
      </c>
      <c r="B26" s="3007"/>
      <c r="C26" s="3008"/>
      <c r="D26" s="3009" t="s">
        <v>848</v>
      </c>
      <c r="E26" s="3007"/>
      <c r="F26" s="3007"/>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土地比较法-工业</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2018-01-04T05:57:26Z</cp:lastPrinted>
  <dcterms:created xsi:type="dcterms:W3CDTF">2015-07-13T07:17:23Z</dcterms:created>
  <dcterms:modified xsi:type="dcterms:W3CDTF">2018-01-17T07:03:30Z</dcterms:modified>
</cp:coreProperties>
</file>