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state="hidden" r:id="rId45"/>
    <sheet name="租赁情况" sheetId="78" state="hidden" r:id="rId46"/>
    <sheet name="剩余年限" sheetId="79" state="hidden" r:id="rId47"/>
    <sheet name="Sheet1" sheetId="80" state="hidden" r:id="rId48"/>
    <sheet name="Sheet2" sheetId="81" r:id="rId49"/>
    <sheet name="住宅单套"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P12" i="82" l="1"/>
  <c r="K33" i="9" l="1"/>
  <c r="B26" i="3"/>
  <c r="B27" i="3"/>
  <c r="B25" i="3"/>
  <c r="N6" i="77" l="1"/>
  <c r="L6" i="77"/>
  <c r="M4" i="77" s="1"/>
  <c r="K12" i="80"/>
  <c r="K14" i="80"/>
  <c r="K15" i="80"/>
  <c r="K16" i="80"/>
  <c r="K17" i="80"/>
  <c r="K18" i="80"/>
  <c r="K19" i="80"/>
  <c r="K20" i="80"/>
  <c r="K21" i="80"/>
  <c r="K22" i="80"/>
  <c r="K23" i="80"/>
  <c r="E14" i="80"/>
  <c r="E25" i="80"/>
  <c r="C12" i="80"/>
  <c r="C14" i="80"/>
  <c r="C25" i="80"/>
  <c r="D3" i="4"/>
  <c r="B2" i="1" s="1"/>
  <c r="D5" i="43"/>
  <c r="O4" i="77"/>
  <c r="BB15" i="3"/>
  <c r="BC16" i="3"/>
  <c r="BB16" i="3"/>
  <c r="R6" i="78"/>
  <c r="R3" i="78"/>
  <c r="C4" i="79"/>
  <c r="N3" i="78"/>
  <c r="N4" i="78"/>
  <c r="N5" i="78"/>
  <c r="N6" i="78"/>
  <c r="N7" i="78"/>
  <c r="N8" i="78"/>
  <c r="N9" i="78"/>
  <c r="N10" i="78"/>
  <c r="N11" i="78"/>
  <c r="N13" i="78"/>
  <c r="N24" i="78"/>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C15" i="3"/>
  <c r="BD15" i="3"/>
  <c r="BE15" i="3"/>
  <c r="BF15" i="3"/>
  <c r="BG15" i="3"/>
  <c r="BH15" i="3"/>
  <c r="BI15" i="3"/>
  <c r="BJ15" i="3"/>
  <c r="BK15" i="3"/>
  <c r="BM15" i="3"/>
  <c r="BN15" i="3"/>
  <c r="BO15" i="3"/>
  <c r="BP15" i="3"/>
  <c r="BQ15" i="3"/>
  <c r="BR15" i="3"/>
  <c r="BS15" i="3"/>
  <c r="BT15"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A60" i="3" s="1"/>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A64" i="3" s="1"/>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A72" i="3" s="1"/>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A80" i="3" s="1"/>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A96" i="3" s="1"/>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A100" i="3" s="1"/>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A104" i="3" s="1"/>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A112" i="3" s="1"/>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A116" i="3" s="1"/>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A120" i="3" s="1"/>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A124" i="3" s="1"/>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A132" i="3" s="1"/>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A147" i="3" s="1"/>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s="1"/>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A253" i="3" s="1"/>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L264" i="3" s="1"/>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A279" i="3" s="1"/>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A291" i="3" s="1"/>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A307" i="3" s="1"/>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A341" i="3" s="1"/>
  <c r="BM341" i="3"/>
  <c r="BN341" i="3"/>
  <c r="BO341" i="3"/>
  <c r="BP341" i="3"/>
  <c r="BQ341" i="3"/>
  <c r="BR341" i="3"/>
  <c r="BS341" i="3"/>
  <c r="BT341" i="3"/>
  <c r="BB342" i="3"/>
  <c r="BC342" i="3"/>
  <c r="BA342" i="3" s="1"/>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D345" i="3"/>
  <c r="BE345" i="3"/>
  <c r="BF345" i="3"/>
  <c r="BG345" i="3"/>
  <c r="BH345" i="3"/>
  <c r="BI345" i="3"/>
  <c r="BJ345" i="3"/>
  <c r="BK345" i="3"/>
  <c r="BM345" i="3"/>
  <c r="BN345" i="3"/>
  <c r="BO345" i="3"/>
  <c r="BP345" i="3"/>
  <c r="BQ345" i="3"/>
  <c r="BR345" i="3"/>
  <c r="BS345" i="3"/>
  <c r="BT345" i="3"/>
  <c r="BB346" i="3"/>
  <c r="BC346" i="3"/>
  <c r="BA346" i="3" s="1"/>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M351" i="3"/>
  <c r="BN351" i="3"/>
  <c r="BO351" i="3"/>
  <c r="BP351" i="3"/>
  <c r="BQ351" i="3"/>
  <c r="BR351" i="3"/>
  <c r="BS351" i="3"/>
  <c r="BT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M355" i="3"/>
  <c r="BN355" i="3"/>
  <c r="BO355" i="3"/>
  <c r="BP355" i="3"/>
  <c r="BQ355" i="3"/>
  <c r="BR355" i="3"/>
  <c r="BS355" i="3"/>
  <c r="BT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s="1"/>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M363" i="3"/>
  <c r="BN363" i="3"/>
  <c r="BO363" i="3"/>
  <c r="BP363" i="3"/>
  <c r="BQ363" i="3"/>
  <c r="BR363" i="3"/>
  <c r="BS363" i="3"/>
  <c r="BT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A380" i="3" s="1"/>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A386" i="3" s="1"/>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M388" i="3"/>
  <c r="BN388" i="3"/>
  <c r="BO388" i="3"/>
  <c r="BP388" i="3"/>
  <c r="BQ388" i="3"/>
  <c r="BR388" i="3"/>
  <c r="BS388" i="3"/>
  <c r="BT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A391" i="3" s="1"/>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A396" i="3" s="1"/>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A412" i="3" s="1"/>
  <c r="BM412" i="3"/>
  <c r="BN412" i="3"/>
  <c r="BO412" i="3"/>
  <c r="BP412" i="3"/>
  <c r="BQ412" i="3"/>
  <c r="BR412" i="3"/>
  <c r="BS412" i="3"/>
  <c r="BT412" i="3"/>
  <c r="BB413" i="3"/>
  <c r="BC413" i="3"/>
  <c r="BA413" i="3" s="1"/>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A420" i="3" s="1"/>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A423" i="3" s="1"/>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s="1"/>
  <c r="BM429" i="3"/>
  <c r="BN429" i="3"/>
  <c r="BO429" i="3"/>
  <c r="BP429" i="3"/>
  <c r="BQ429" i="3"/>
  <c r="BR429" i="3"/>
  <c r="BS429" i="3"/>
  <c r="BT429" i="3"/>
  <c r="BB430" i="3"/>
  <c r="BC430" i="3"/>
  <c r="BA430" i="3" s="1"/>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A471" i="3" s="1"/>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A487" i="3" s="1"/>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A503" i="3" s="1"/>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A507" i="3" s="1"/>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A515" i="3" s="1"/>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A519" i="3" s="1"/>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A531" i="3" s="1"/>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A535" i="3" s="1"/>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A539" i="3" s="1"/>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A547" i="3" s="1"/>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A551" i="3" s="1"/>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A555" i="3" s="1"/>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A567" i="3" s="1"/>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A575" i="3" s="1"/>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A579" i="3" s="1"/>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A583" i="3" s="1"/>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B5" i="3" s="1"/>
  <c r="F19" i="6" s="1"/>
  <c r="BC587" i="3"/>
  <c r="BD587" i="3"/>
  <c r="BE587" i="3"/>
  <c r="BF587" i="3"/>
  <c r="BG587" i="3"/>
  <c r="BH587" i="3"/>
  <c r="BI587" i="3"/>
  <c r="BJ587" i="3"/>
  <c r="BK587" i="3"/>
  <c r="BA587" i="3"/>
  <c r="BM587" i="3"/>
  <c r="BN587" i="3"/>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E24" i="78"/>
  <c r="E13" i="78"/>
  <c r="N15" i="77"/>
  <c r="N14" i="77"/>
  <c r="N13" i="77"/>
  <c r="N12" i="77"/>
  <c r="N11" i="77"/>
  <c r="O11" i="77" s="1"/>
  <c r="N9" i="77"/>
  <c r="N8" i="77"/>
  <c r="O8" i="77"/>
  <c r="L9" i="77"/>
  <c r="L8" i="77"/>
  <c r="M8" i="77" s="1"/>
  <c r="F10" i="79"/>
  <c r="F9" i="79"/>
  <c r="B16" i="79" s="1"/>
  <c r="C5" i="79"/>
  <c r="D5" i="79" s="1"/>
  <c r="D4" i="79"/>
  <c r="C3" i="79"/>
  <c r="D3" i="79" s="1"/>
  <c r="F25" i="78"/>
  <c r="C25" i="78"/>
  <c r="M23" i="78"/>
  <c r="M22" i="78"/>
  <c r="M21" i="78"/>
  <c r="M20" i="78"/>
  <c r="M19" i="78"/>
  <c r="M18" i="78"/>
  <c r="M17" i="78"/>
  <c r="M16" i="78"/>
  <c r="M15" i="78"/>
  <c r="M25" i="78" s="1"/>
  <c r="M14" i="78"/>
  <c r="F14" i="78"/>
  <c r="F28" i="78" s="1"/>
  <c r="C14" i="78"/>
  <c r="M12" i="78"/>
  <c r="M28" i="78" s="1"/>
  <c r="C12" i="78"/>
  <c r="C29" i="78" s="1"/>
  <c r="R30" i="78" s="1"/>
  <c r="G6" i="77"/>
  <c r="L15" i="77"/>
  <c r="L14" i="77"/>
  <c r="L13" i="77"/>
  <c r="L12" i="77"/>
  <c r="L11" i="77"/>
  <c r="M11" i="77" s="1"/>
  <c r="I16" i="77"/>
  <c r="H16" i="77"/>
  <c r="G15" i="77"/>
  <c r="G14" i="77"/>
  <c r="G13" i="77"/>
  <c r="G12" i="77"/>
  <c r="G11" i="77"/>
  <c r="G16" i="77" s="1"/>
  <c r="I10" i="77"/>
  <c r="H10" i="77"/>
  <c r="G10" i="77"/>
  <c r="I7" i="77"/>
  <c r="H7" i="77"/>
  <c r="H17" i="77" s="1"/>
  <c r="G5" i="77"/>
  <c r="G4" i="77"/>
  <c r="B7" i="4"/>
  <c r="C11" i="4" s="1"/>
  <c r="I17" i="77"/>
  <c r="D25" i="78"/>
  <c r="C28" i="78"/>
  <c r="E10" i="78"/>
  <c r="E8" i="78"/>
  <c r="E6" i="78"/>
  <c r="E4" i="78"/>
  <c r="E7" i="78"/>
  <c r="E5" i="78"/>
  <c r="E9" i="78"/>
  <c r="E3" i="78"/>
  <c r="B13" i="79"/>
  <c r="C16" i="79"/>
  <c r="L3" i="71"/>
  <c r="K3" i="71"/>
  <c r="I3" i="71"/>
  <c r="J3" i="71"/>
  <c r="AD5" i="71"/>
  <c r="AG5" i="71"/>
  <c r="AH5" i="71"/>
  <c r="AE5" i="71"/>
  <c r="AF5" i="71" s="1"/>
  <c r="N5" i="71"/>
  <c r="Q5" i="71"/>
  <c r="P5" i="71"/>
  <c r="O5" i="71"/>
  <c r="Q6" i="71"/>
  <c r="P6" i="71"/>
  <c r="O6" i="71"/>
  <c r="N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8" i="71"/>
  <c r="Y6" i="71" s="1"/>
  <c r="Z6" i="71" s="1"/>
  <c r="P8" i="71"/>
  <c r="Q8" i="71"/>
  <c r="AB7" i="71" s="1"/>
  <c r="N8" i="71"/>
  <c r="AE3" i="71"/>
  <c r="AF3" i="71" s="1"/>
  <c r="AG3" i="71"/>
  <c r="AH3"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T49" i="71" s="1"/>
  <c r="B49" i="71"/>
  <c r="S49" i="71"/>
  <c r="B48" i="7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C36" i="71" s="1"/>
  <c r="N34" i="71"/>
  <c r="B35" i="71" s="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E28" i="71" s="1"/>
  <c r="E29" i="71" s="1"/>
  <c r="U29" i="71" s="1"/>
  <c r="O26" i="71"/>
  <c r="C27" i="71"/>
  <c r="C28" i="71" s="1"/>
  <c r="D28" i="71" s="1"/>
  <c r="N26" i="71"/>
  <c r="B27" i="71"/>
  <c r="D26" i="71"/>
  <c r="Q25" i="71"/>
  <c r="P25" i="71"/>
  <c r="O25" i="71"/>
  <c r="N25" i="71"/>
  <c r="Q24" i="71"/>
  <c r="P24" i="71"/>
  <c r="O24" i="71"/>
  <c r="N24" i="71"/>
  <c r="Q23" i="71"/>
  <c r="P23" i="71"/>
  <c r="O23" i="71"/>
  <c r="N23" i="71"/>
  <c r="Q22" i="71"/>
  <c r="F23" i="71" s="1"/>
  <c r="F24" i="71" s="1"/>
  <c r="F25" i="71" s="1"/>
  <c r="V25" i="71" s="1"/>
  <c r="P22" i="71"/>
  <c r="E23" i="71"/>
  <c r="E24" i="71" s="1"/>
  <c r="E25" i="71" s="1"/>
  <c r="U25" i="71" s="1"/>
  <c r="O22" i="71"/>
  <c r="C23" i="71"/>
  <c r="C24" i="71" s="1"/>
  <c r="N22" i="71"/>
  <c r="B23" i="71"/>
  <c r="B24" i="71" s="1"/>
  <c r="B25" i="71" s="1"/>
  <c r="S25" i="71" s="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C19" i="71" s="1"/>
  <c r="N18" i="71"/>
  <c r="D18" i="71"/>
  <c r="Q17" i="71"/>
  <c r="P17" i="71"/>
  <c r="AA14" i="71" s="1"/>
  <c r="O17" i="71"/>
  <c r="Y17" i="71"/>
  <c r="Z17" i="71" s="1"/>
  <c r="N17" i="71"/>
  <c r="Q16" i="71"/>
  <c r="AB16" i="71" s="1"/>
  <c r="P16" i="71"/>
  <c r="O16" i="71"/>
  <c r="N16" i="71"/>
  <c r="Q15" i="71"/>
  <c r="P15" i="71"/>
  <c r="O15" i="71"/>
  <c r="N15" i="71"/>
  <c r="Q14" i="71"/>
  <c r="F15" i="71" s="1"/>
  <c r="F16" i="71" s="1"/>
  <c r="P14" i="71"/>
  <c r="E15" i="71" s="1"/>
  <c r="E16" i="71" s="1"/>
  <c r="E17" i="71" s="1"/>
  <c r="U17" i="71" s="1"/>
  <c r="O14" i="71"/>
  <c r="Y14" i="71" s="1"/>
  <c r="Z14" i="71" s="1"/>
  <c r="N14" i="71"/>
  <c r="B15" i="71" s="1"/>
  <c r="B16" i="71" s="1"/>
  <c r="B17" i="71" s="1"/>
  <c r="S17" i="71" s="1"/>
  <c r="D14" i="71"/>
  <c r="Q13" i="71"/>
  <c r="P13" i="71"/>
  <c r="AA13" i="71" s="1"/>
  <c r="O13" i="71"/>
  <c r="N13" i="71"/>
  <c r="Q12" i="71"/>
  <c r="P12" i="71"/>
  <c r="AA12" i="71" s="1"/>
  <c r="O12" i="71"/>
  <c r="N12" i="71"/>
  <c r="Q11" i="71"/>
  <c r="P11" i="71"/>
  <c r="AA11" i="71" s="1"/>
  <c r="O11" i="71"/>
  <c r="N11" i="71"/>
  <c r="X10" i="71" s="1"/>
  <c r="Q10" i="71"/>
  <c r="F11" i="71"/>
  <c r="F12" i="71" s="1"/>
  <c r="F13" i="71" s="1"/>
  <c r="V13" i="71" s="1"/>
  <c r="P10" i="71"/>
  <c r="O10" i="71"/>
  <c r="C11" i="71" s="1"/>
  <c r="N10" i="71"/>
  <c r="D10" i="71"/>
  <c r="O9" i="71"/>
  <c r="N9" i="71"/>
  <c r="X5" i="71" s="1"/>
  <c r="B28" i="71"/>
  <c r="B29" i="71" s="1"/>
  <c r="S29" i="71" s="1"/>
  <c r="B11" i="71"/>
  <c r="B12" i="71" s="1"/>
  <c r="B13" i="71" s="1"/>
  <c r="S13" i="71" s="1"/>
  <c r="E11" i="71"/>
  <c r="AA10" i="71"/>
  <c r="B19" i="71"/>
  <c r="B20" i="71"/>
  <c r="B21" i="71" s="1"/>
  <c r="S21" i="71" s="1"/>
  <c r="X18" i="71"/>
  <c r="E19" i="71"/>
  <c r="E20" i="71" s="1"/>
  <c r="E21" i="71" s="1"/>
  <c r="U21" i="71" s="1"/>
  <c r="AA18" i="71"/>
  <c r="N49" i="71"/>
  <c r="X11" i="71"/>
  <c r="X12" i="71"/>
  <c r="X13" i="71"/>
  <c r="C15" i="71"/>
  <c r="C16" i="71" s="1"/>
  <c r="C17" i="71" s="1"/>
  <c r="T17" i="71" s="1"/>
  <c r="AB14" i="71"/>
  <c r="X15" i="71"/>
  <c r="AA15" i="71"/>
  <c r="X16" i="71"/>
  <c r="AA16" i="71"/>
  <c r="X17" i="71"/>
  <c r="AA17" i="71"/>
  <c r="X19" i="71"/>
  <c r="AA19" i="71"/>
  <c r="F32" i="71"/>
  <c r="F33" i="71" s="1"/>
  <c r="V33" i="71" s="1"/>
  <c r="C9" i="71"/>
  <c r="Y3" i="71"/>
  <c r="Z3" i="71" s="1"/>
  <c r="Y7" i="71"/>
  <c r="Z7" i="71" s="1"/>
  <c r="Y9" i="71"/>
  <c r="Z9" i="71" s="1"/>
  <c r="X6" i="71"/>
  <c r="X8" i="71"/>
  <c r="X9" i="71"/>
  <c r="D23" i="71"/>
  <c r="D27" i="71"/>
  <c r="P9" i="71"/>
  <c r="E36" i="71"/>
  <c r="E37" i="71" s="1"/>
  <c r="U37" i="71" s="1"/>
  <c r="U49" i="71"/>
  <c r="E48" i="71"/>
  <c r="Q9" i="71"/>
  <c r="AB5" i="71" s="1"/>
  <c r="D35" i="71"/>
  <c r="C44" i="71"/>
  <c r="D44" i="71" s="1"/>
  <c r="D43" i="71"/>
  <c r="N48" i="71"/>
  <c r="B47" i="71"/>
  <c r="N47" i="71" s="1"/>
  <c r="O49" i="71"/>
  <c r="C48" i="71"/>
  <c r="C47" i="71" s="1"/>
  <c r="D47" i="71" s="1"/>
  <c r="C52" i="71"/>
  <c r="C51" i="71" s="1"/>
  <c r="D51" i="71" s="1"/>
  <c r="E52" i="71"/>
  <c r="E51" i="71"/>
  <c r="D53" i="71"/>
  <c r="C56" i="71"/>
  <c r="D56" i="71" s="1"/>
  <c r="E56" i="71"/>
  <c r="E55" i="71"/>
  <c r="C60" i="71"/>
  <c r="D60" i="71" s="1"/>
  <c r="E60" i="71"/>
  <c r="E59" i="71"/>
  <c r="D61" i="71"/>
  <c r="C64" i="71"/>
  <c r="C63" i="71" s="1"/>
  <c r="C68" i="71"/>
  <c r="T9" i="71"/>
  <c r="AA3" i="71"/>
  <c r="AA9" i="71"/>
  <c r="D9" i="71"/>
  <c r="U9" i="71"/>
  <c r="C45" i="71"/>
  <c r="T45" i="71" s="1"/>
  <c r="D63" i="71"/>
  <c r="D68" i="71"/>
  <c r="C67" i="71"/>
  <c r="D67" i="71"/>
  <c r="P48" i="71"/>
  <c r="E47" i="71"/>
  <c r="P47" i="71" s="1"/>
  <c r="O47" i="71"/>
  <c r="O27" i="6"/>
  <c r="N27" i="6"/>
  <c r="P20" i="6"/>
  <c r="P27" i="6" s="1"/>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s="1"/>
  <c r="C22" i="20"/>
  <c r="B75" i="43" s="1"/>
  <c r="B55" i="43"/>
  <c r="S25" i="40"/>
  <c r="S29" i="39"/>
  <c r="S18" i="36"/>
  <c r="U18" i="36"/>
  <c r="S21" i="34"/>
  <c r="H25" i="40"/>
  <c r="J25" i="40"/>
  <c r="H29" i="39"/>
  <c r="J29" i="39"/>
  <c r="J18" i="36"/>
  <c r="AC18" i="36" s="1"/>
  <c r="H18" i="35"/>
  <c r="AB18" i="35" s="1"/>
  <c r="S18" i="35"/>
  <c r="J18" i="35"/>
  <c r="H21" i="37"/>
  <c r="F21" i="37"/>
  <c r="AA21" i="37" s="1"/>
  <c r="H21" i="34"/>
  <c r="AB21" i="34" s="1"/>
  <c r="F83" i="33"/>
  <c r="H21" i="33"/>
  <c r="U21" i="33" s="1"/>
  <c r="F21" i="33"/>
  <c r="S21" i="33" s="1"/>
  <c r="E83" i="21"/>
  <c r="F83" i="21" s="1"/>
  <c r="G83" i="21" s="1"/>
  <c r="S21" i="21"/>
  <c r="H1" i="69"/>
  <c r="AC25" i="40"/>
  <c r="W25" i="40"/>
  <c r="AB25" i="40"/>
  <c r="U25" i="40"/>
  <c r="AB29" i="39"/>
  <c r="U29" i="39"/>
  <c r="AC29" i="39"/>
  <c r="W29" i="39"/>
  <c r="W18" i="36"/>
  <c r="AB21" i="37"/>
  <c r="U21" i="37"/>
  <c r="S21" i="37"/>
  <c r="U21" i="34"/>
  <c r="AB21" i="33"/>
  <c r="AA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D100" i="43"/>
  <c r="B48" i="43"/>
  <c r="B84" i="43"/>
  <c r="B83" i="43"/>
  <c r="B72" i="43"/>
  <c r="B61" i="43"/>
  <c r="B50" i="43"/>
  <c r="K82" i="43"/>
  <c r="D82" i="43" s="1"/>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AX111" i="3"/>
  <c r="AW111" i="3"/>
  <c r="AV111" i="3"/>
  <c r="AC111" i="3"/>
  <c r="H111" i="3"/>
  <c r="AX110" i="3"/>
  <c r="AW110" i="3"/>
  <c r="AV110" i="3"/>
  <c r="AC110" i="3"/>
  <c r="H110" i="3"/>
  <c r="AX109" i="3"/>
  <c r="AW109" i="3"/>
  <c r="AV109" i="3"/>
  <c r="AC109" i="3"/>
  <c r="H109" i="3"/>
  <c r="AX108" i="3"/>
  <c r="AW108" i="3"/>
  <c r="AV108" i="3"/>
  <c r="AC108" i="3"/>
  <c r="H108" i="3"/>
  <c r="G108" i="3" s="1"/>
  <c r="AX107" i="3"/>
  <c r="AW107" i="3"/>
  <c r="AV107" i="3"/>
  <c r="AC107" i="3"/>
  <c r="H107" i="3"/>
  <c r="AX106" i="3"/>
  <c r="AW106" i="3"/>
  <c r="AV106" i="3"/>
  <c r="AC106" i="3"/>
  <c r="H106" i="3"/>
  <c r="AX105" i="3"/>
  <c r="AW105" i="3"/>
  <c r="AV105" i="3"/>
  <c r="AC105" i="3"/>
  <c r="H105" i="3"/>
  <c r="AX104" i="3"/>
  <c r="AW104" i="3"/>
  <c r="AV104" i="3"/>
  <c r="AC104" i="3"/>
  <c r="H104" i="3"/>
  <c r="AX103" i="3"/>
  <c r="AW103" i="3"/>
  <c r="AV103" i="3"/>
  <c r="AC103" i="3"/>
  <c r="H103" i="3"/>
  <c r="AX102" i="3"/>
  <c r="AW102" i="3"/>
  <c r="AV102" i="3"/>
  <c r="AC102" i="3"/>
  <c r="H102" i="3"/>
  <c r="G102" i="3" s="1"/>
  <c r="AX101" i="3"/>
  <c r="AW101" i="3"/>
  <c r="AV101" i="3"/>
  <c r="AC101" i="3"/>
  <c r="H101" i="3"/>
  <c r="AX100" i="3"/>
  <c r="AW100" i="3"/>
  <c r="AV100" i="3"/>
  <c r="AC100" i="3"/>
  <c r="H100" i="3"/>
  <c r="G100" i="3" s="1"/>
  <c r="AX99" i="3"/>
  <c r="AW99" i="3"/>
  <c r="AV99" i="3"/>
  <c r="AC99" i="3"/>
  <c r="H99" i="3"/>
  <c r="AX98" i="3"/>
  <c r="AW98" i="3"/>
  <c r="AV98" i="3"/>
  <c r="AC98" i="3"/>
  <c r="H98" i="3"/>
  <c r="AX97" i="3"/>
  <c r="AW97" i="3"/>
  <c r="AV97" i="3"/>
  <c r="AC97" i="3"/>
  <c r="H97" i="3"/>
  <c r="AX96" i="3"/>
  <c r="AW96" i="3"/>
  <c r="AV96" i="3"/>
  <c r="AC96" i="3"/>
  <c r="H96" i="3"/>
  <c r="AX95" i="3"/>
  <c r="AW95" i="3"/>
  <c r="AV95" i="3"/>
  <c r="AC95" i="3"/>
  <c r="H95" i="3"/>
  <c r="AX94" i="3"/>
  <c r="AW94" i="3"/>
  <c r="AV94" i="3"/>
  <c r="AC94" i="3"/>
  <c r="H94" i="3"/>
  <c r="G94" i="3" s="1"/>
  <c r="AX93" i="3"/>
  <c r="AW93" i="3"/>
  <c r="AV93" i="3"/>
  <c r="AC93" i="3"/>
  <c r="H93" i="3"/>
  <c r="AX92" i="3"/>
  <c r="AW92" i="3"/>
  <c r="AV92" i="3"/>
  <c r="AC92" i="3"/>
  <c r="H92" i="3"/>
  <c r="AX91" i="3"/>
  <c r="AW91" i="3"/>
  <c r="AV91" i="3"/>
  <c r="AC91" i="3"/>
  <c r="H91" i="3"/>
  <c r="AX90" i="3"/>
  <c r="AW90" i="3"/>
  <c r="AV90" i="3"/>
  <c r="AC90" i="3"/>
  <c r="H90" i="3"/>
  <c r="AX89" i="3"/>
  <c r="AW89" i="3"/>
  <c r="AV89" i="3"/>
  <c r="AC89" i="3"/>
  <c r="H89" i="3"/>
  <c r="G89" i="3" s="1"/>
  <c r="AX88" i="3"/>
  <c r="AW88" i="3"/>
  <c r="AV88" i="3"/>
  <c r="AC88" i="3"/>
  <c r="H88" i="3"/>
  <c r="AX87" i="3"/>
  <c r="AW87" i="3"/>
  <c r="AV87" i="3"/>
  <c r="AC87" i="3"/>
  <c r="H87" i="3"/>
  <c r="AX86" i="3"/>
  <c r="AW86" i="3"/>
  <c r="AV86" i="3"/>
  <c r="AC86" i="3"/>
  <c r="H86" i="3"/>
  <c r="AX85" i="3"/>
  <c r="AW85" i="3"/>
  <c r="AV85" i="3"/>
  <c r="AC85" i="3"/>
  <c r="H85" i="3"/>
  <c r="AX84" i="3"/>
  <c r="AW84" i="3"/>
  <c r="AV84" i="3"/>
  <c r="AC84" i="3"/>
  <c r="H84" i="3"/>
  <c r="AX83" i="3"/>
  <c r="AW83" i="3"/>
  <c r="AV83" i="3"/>
  <c r="AC83" i="3"/>
  <c r="H83" i="3"/>
  <c r="AX82" i="3"/>
  <c r="AW82" i="3"/>
  <c r="AV82" i="3"/>
  <c r="AC82" i="3"/>
  <c r="H82" i="3"/>
  <c r="AX81" i="3"/>
  <c r="AW81" i="3"/>
  <c r="AV81" i="3"/>
  <c r="AC81" i="3"/>
  <c r="H81" i="3"/>
  <c r="G81" i="3" s="1"/>
  <c r="AX80" i="3"/>
  <c r="AW80" i="3"/>
  <c r="AV80" i="3"/>
  <c r="AC80" i="3"/>
  <c r="H80" i="3"/>
  <c r="AX79" i="3"/>
  <c r="AW79" i="3"/>
  <c r="AV79" i="3"/>
  <c r="AC79" i="3"/>
  <c r="H79" i="3"/>
  <c r="AX78" i="3"/>
  <c r="AW78" i="3"/>
  <c r="AV78" i="3"/>
  <c r="AC78" i="3"/>
  <c r="H78" i="3"/>
  <c r="G78" i="3" s="1"/>
  <c r="AX77" i="3"/>
  <c r="AW77" i="3"/>
  <c r="AV77" i="3"/>
  <c r="AC77" i="3"/>
  <c r="H77" i="3"/>
  <c r="G77" i="3" s="1"/>
  <c r="AX76" i="3"/>
  <c r="AW76" i="3"/>
  <c r="AV76" i="3"/>
  <c r="AC76" i="3"/>
  <c r="H76" i="3"/>
  <c r="G76" i="3" s="1"/>
  <c r="AX75" i="3"/>
  <c r="AW75" i="3"/>
  <c r="AV75" i="3"/>
  <c r="AC75" i="3"/>
  <c r="H75" i="3"/>
  <c r="AX74" i="3"/>
  <c r="AW74" i="3"/>
  <c r="AV74" i="3"/>
  <c r="AC74" i="3"/>
  <c r="H74" i="3"/>
  <c r="AX73" i="3"/>
  <c r="AW73" i="3"/>
  <c r="AV73" i="3"/>
  <c r="AC73" i="3"/>
  <c r="H73" i="3"/>
  <c r="AX72" i="3"/>
  <c r="AW72" i="3"/>
  <c r="AV72" i="3"/>
  <c r="AC72" i="3"/>
  <c r="H72" i="3"/>
  <c r="AX71" i="3"/>
  <c r="AW71" i="3"/>
  <c r="AV71" i="3"/>
  <c r="AC71" i="3"/>
  <c r="H71" i="3"/>
  <c r="AX70" i="3"/>
  <c r="AW70" i="3"/>
  <c r="AV70" i="3"/>
  <c r="AC70" i="3"/>
  <c r="H70" i="3"/>
  <c r="AX69" i="3"/>
  <c r="AW69" i="3"/>
  <c r="AV69" i="3"/>
  <c r="AC69" i="3"/>
  <c r="H69" i="3"/>
  <c r="AX68" i="3"/>
  <c r="AW68" i="3"/>
  <c r="AV68" i="3"/>
  <c r="AC68" i="3"/>
  <c r="H68" i="3"/>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s="1"/>
  <c r="AX59" i="3"/>
  <c r="AW59" i="3"/>
  <c r="AV59" i="3"/>
  <c r="AC59" i="3"/>
  <c r="H59" i="3"/>
  <c r="AX58" i="3"/>
  <c r="AW58" i="3"/>
  <c r="AV58" i="3"/>
  <c r="AC58" i="3"/>
  <c r="H58" i="3"/>
  <c r="AX57" i="3"/>
  <c r="AW57" i="3"/>
  <c r="AV57" i="3"/>
  <c r="AC57" i="3"/>
  <c r="H57" i="3"/>
  <c r="AX56" i="3"/>
  <c r="AW56" i="3"/>
  <c r="AV56" i="3"/>
  <c r="AC56" i="3"/>
  <c r="H56" i="3"/>
  <c r="G56" i="3" s="1"/>
  <c r="AX55" i="3"/>
  <c r="AW55" i="3"/>
  <c r="AV55" i="3"/>
  <c r="AC55" i="3"/>
  <c r="H55" i="3"/>
  <c r="G55" i="3" s="1"/>
  <c r="AX54" i="3"/>
  <c r="AW54" i="3"/>
  <c r="AV54" i="3"/>
  <c r="AC54" i="3"/>
  <c r="H54" i="3"/>
  <c r="G54" i="3" s="1"/>
  <c r="AX53" i="3"/>
  <c r="AW53" i="3"/>
  <c r="AV53" i="3"/>
  <c r="AC53" i="3"/>
  <c r="H53" i="3"/>
  <c r="AX52" i="3"/>
  <c r="AW52" i="3"/>
  <c r="AV52" i="3"/>
  <c r="AC52" i="3"/>
  <c r="H52" i="3"/>
  <c r="AX51" i="3"/>
  <c r="AW51" i="3"/>
  <c r="AV51" i="3"/>
  <c r="AC51" i="3"/>
  <c r="H51" i="3"/>
  <c r="AX50" i="3"/>
  <c r="AW50" i="3"/>
  <c r="AV50" i="3"/>
  <c r="AC50" i="3"/>
  <c r="H50" i="3"/>
  <c r="AX49" i="3"/>
  <c r="AW49" i="3"/>
  <c r="AV49" i="3"/>
  <c r="AC49" i="3"/>
  <c r="H49" i="3"/>
  <c r="AX48" i="3"/>
  <c r="AW48" i="3"/>
  <c r="AV48" i="3"/>
  <c r="AC48" i="3"/>
  <c r="H48" i="3"/>
  <c r="AX47" i="3"/>
  <c r="AW47" i="3"/>
  <c r="AV47" i="3"/>
  <c r="AC47" i="3"/>
  <c r="H47" i="3"/>
  <c r="G47" i="3" s="1"/>
  <c r="AX46" i="3"/>
  <c r="AW46" i="3"/>
  <c r="AV46" i="3"/>
  <c r="AC46" i="3"/>
  <c r="H46" i="3"/>
  <c r="AX45" i="3"/>
  <c r="AW45" i="3"/>
  <c r="AV45" i="3"/>
  <c r="AC45" i="3"/>
  <c r="H45" i="3"/>
  <c r="AX44" i="3"/>
  <c r="AW44" i="3"/>
  <c r="AV44" i="3"/>
  <c r="AC44" i="3"/>
  <c r="H44" i="3"/>
  <c r="AX43" i="3"/>
  <c r="AW43" i="3"/>
  <c r="AV43" i="3"/>
  <c r="AC43" i="3"/>
  <c r="H43" i="3"/>
  <c r="G43" i="3" s="1"/>
  <c r="AX42" i="3"/>
  <c r="AW42" i="3"/>
  <c r="AV42" i="3"/>
  <c r="AC42" i="3"/>
  <c r="H42" i="3"/>
  <c r="AX41" i="3"/>
  <c r="AW41" i="3"/>
  <c r="AV41" i="3"/>
  <c r="AC41" i="3"/>
  <c r="H41" i="3"/>
  <c r="G41" i="3" s="1"/>
  <c r="AX40" i="3"/>
  <c r="AW40" i="3"/>
  <c r="AV40" i="3"/>
  <c r="AC40" i="3"/>
  <c r="H40" i="3"/>
  <c r="AX39" i="3"/>
  <c r="AW39" i="3"/>
  <c r="AV39" i="3"/>
  <c r="AC39" i="3"/>
  <c r="H39" i="3"/>
  <c r="AX38" i="3"/>
  <c r="AW38" i="3"/>
  <c r="AV38" i="3"/>
  <c r="AC38" i="3"/>
  <c r="H38" i="3"/>
  <c r="AX37" i="3"/>
  <c r="AW37" i="3"/>
  <c r="AV37" i="3"/>
  <c r="AC37" i="3"/>
  <c r="H37" i="3"/>
  <c r="G37" i="3" s="1"/>
  <c r="AX36" i="3"/>
  <c r="AW36" i="3"/>
  <c r="AV36" i="3"/>
  <c r="AC36" i="3"/>
  <c r="H36" i="3"/>
  <c r="G36" i="3" s="1"/>
  <c r="AX35" i="3"/>
  <c r="AW35" i="3"/>
  <c r="AV35" i="3"/>
  <c r="AC35" i="3"/>
  <c r="H35" i="3"/>
  <c r="AX34" i="3"/>
  <c r="AW34" i="3"/>
  <c r="AV34" i="3"/>
  <c r="AC34" i="3"/>
  <c r="H34" i="3"/>
  <c r="AX33" i="3"/>
  <c r="AW33" i="3"/>
  <c r="AV33" i="3"/>
  <c r="AC33" i="3"/>
  <c r="H33" i="3"/>
  <c r="AX32" i="3"/>
  <c r="AW32" i="3"/>
  <c r="AV32" i="3"/>
  <c r="AC32" i="3"/>
  <c r="H32" i="3"/>
  <c r="AX31" i="3"/>
  <c r="AW31" i="3"/>
  <c r="AV31" i="3"/>
  <c r="AC31" i="3"/>
  <c r="H31" i="3"/>
  <c r="AX30" i="3"/>
  <c r="AW30" i="3"/>
  <c r="AV30" i="3"/>
  <c r="AC30" i="3"/>
  <c r="H30" i="3"/>
  <c r="AX29" i="3"/>
  <c r="AW29" i="3"/>
  <c r="AV29" i="3"/>
  <c r="AC29" i="3"/>
  <c r="H29" i="3"/>
  <c r="AX28" i="3"/>
  <c r="AV28" i="3"/>
  <c r="AC28" i="3"/>
  <c r="H28" i="3"/>
  <c r="AX27" i="3"/>
  <c r="AW27" i="3"/>
  <c r="AV27" i="3"/>
  <c r="AC27" i="3"/>
  <c r="H27" i="3"/>
  <c r="G27" i="3" s="1"/>
  <c r="AX26" i="3"/>
  <c r="AW26" i="3"/>
  <c r="AV26" i="3"/>
  <c r="AC26" i="3"/>
  <c r="H26" i="3"/>
  <c r="G26" i="3" s="1"/>
  <c r="AX25" i="3"/>
  <c r="AW25" i="3"/>
  <c r="AV25" i="3"/>
  <c r="AC25" i="3"/>
  <c r="H25" i="3"/>
  <c r="AX24" i="3"/>
  <c r="AW24" i="3"/>
  <c r="AV24" i="3"/>
  <c r="AC24" i="3"/>
  <c r="H24" i="3"/>
  <c r="AX23" i="3"/>
  <c r="AW23" i="3"/>
  <c r="AV23" i="3"/>
  <c r="AC23" i="3"/>
  <c r="H23" i="3"/>
  <c r="AX22" i="3"/>
  <c r="AW22" i="3"/>
  <c r="AV22" i="3"/>
  <c r="AC22" i="3"/>
  <c r="H22" i="3"/>
  <c r="AX21" i="3"/>
  <c r="AW21" i="3"/>
  <c r="AV21" i="3"/>
  <c r="AC21" i="3"/>
  <c r="H21" i="3"/>
  <c r="AX20" i="3"/>
  <c r="AW20" i="3"/>
  <c r="AV20" i="3"/>
  <c r="AC20" i="3"/>
  <c r="H20" i="3"/>
  <c r="AX19" i="3"/>
  <c r="AW19" i="3"/>
  <c r="AV19" i="3"/>
  <c r="AC19" i="3"/>
  <c r="H19" i="3"/>
  <c r="AX18" i="3"/>
  <c r="AW18" i="3"/>
  <c r="AV18" i="3"/>
  <c r="AC18" i="3"/>
  <c r="H18" i="3"/>
  <c r="AX207" i="3"/>
  <c r="AW207" i="3"/>
  <c r="AV207" i="3"/>
  <c r="AC207" i="3"/>
  <c r="H207" i="3"/>
  <c r="G207" i="3" s="1"/>
  <c r="AX206" i="3"/>
  <c r="AW206" i="3"/>
  <c r="AV206" i="3"/>
  <c r="AC206" i="3"/>
  <c r="H206" i="3"/>
  <c r="AX205" i="3"/>
  <c r="AW205" i="3"/>
  <c r="AV205" i="3"/>
  <c r="AC205" i="3"/>
  <c r="H205" i="3"/>
  <c r="AX204" i="3"/>
  <c r="AW204" i="3"/>
  <c r="AV204" i="3"/>
  <c r="AC204" i="3"/>
  <c r="H204" i="3"/>
  <c r="AX203" i="3"/>
  <c r="AW203" i="3"/>
  <c r="AV203" i="3"/>
  <c r="AC203" i="3"/>
  <c r="H203" i="3"/>
  <c r="G203" i="3" s="1"/>
  <c r="AX202" i="3"/>
  <c r="AW202" i="3"/>
  <c r="AV202" i="3"/>
  <c r="AC202" i="3"/>
  <c r="H202" i="3"/>
  <c r="G202" i="3" s="1"/>
  <c r="AX201" i="3"/>
  <c r="AW201" i="3"/>
  <c r="AV201" i="3"/>
  <c r="AC201" i="3"/>
  <c r="H201" i="3"/>
  <c r="AX200" i="3"/>
  <c r="AW200" i="3"/>
  <c r="AV200" i="3"/>
  <c r="AC200" i="3"/>
  <c r="H200" i="3"/>
  <c r="AX199" i="3"/>
  <c r="AW199" i="3"/>
  <c r="AV199" i="3"/>
  <c r="AC199" i="3"/>
  <c r="H199" i="3"/>
  <c r="G199" i="3" s="1"/>
  <c r="AX198" i="3"/>
  <c r="AW198" i="3"/>
  <c r="AV198" i="3"/>
  <c r="AC198" i="3"/>
  <c r="H198" i="3"/>
  <c r="G198" i="3" s="1"/>
  <c r="AX197" i="3"/>
  <c r="AW197" i="3"/>
  <c r="AV197" i="3"/>
  <c r="AC197" i="3"/>
  <c r="H197" i="3"/>
  <c r="AX196" i="3"/>
  <c r="AW196" i="3"/>
  <c r="AV196" i="3"/>
  <c r="AC196" i="3"/>
  <c r="H196" i="3"/>
  <c r="AX195" i="3"/>
  <c r="AW195" i="3"/>
  <c r="AV195" i="3"/>
  <c r="AC195" i="3"/>
  <c r="H195" i="3"/>
  <c r="G195" i="3" s="1"/>
  <c r="AX194" i="3"/>
  <c r="AW194" i="3"/>
  <c r="AV194" i="3"/>
  <c r="AC194" i="3"/>
  <c r="H194" i="3"/>
  <c r="AX193" i="3"/>
  <c r="AW193" i="3"/>
  <c r="AV193" i="3"/>
  <c r="AC193" i="3"/>
  <c r="H193" i="3"/>
  <c r="AX192" i="3"/>
  <c r="AW192" i="3"/>
  <c r="AV192" i="3"/>
  <c r="AC192" i="3"/>
  <c r="H192" i="3"/>
  <c r="G192" i="3" s="1"/>
  <c r="AX191" i="3"/>
  <c r="AW191" i="3"/>
  <c r="AV191" i="3"/>
  <c r="AC191" i="3"/>
  <c r="H191" i="3"/>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AX184" i="3"/>
  <c r="AW184" i="3"/>
  <c r="AV184" i="3"/>
  <c r="AC184" i="3"/>
  <c r="H184" i="3"/>
  <c r="AX183" i="3"/>
  <c r="AW183" i="3"/>
  <c r="AV183" i="3"/>
  <c r="AC183" i="3"/>
  <c r="H183" i="3"/>
  <c r="AX182" i="3"/>
  <c r="AW182" i="3"/>
  <c r="AV182" i="3"/>
  <c r="AC182" i="3"/>
  <c r="H182" i="3"/>
  <c r="AX181" i="3"/>
  <c r="AW181" i="3"/>
  <c r="AV181" i="3"/>
  <c r="AC181" i="3"/>
  <c r="H181" i="3"/>
  <c r="AX180" i="3"/>
  <c r="AW180" i="3"/>
  <c r="AV180" i="3"/>
  <c r="AC180" i="3"/>
  <c r="H180" i="3"/>
  <c r="AX179" i="3"/>
  <c r="AW179" i="3"/>
  <c r="AV179" i="3"/>
  <c r="AC179" i="3"/>
  <c r="H179" i="3"/>
  <c r="AX178" i="3"/>
  <c r="AW178" i="3"/>
  <c r="AV178" i="3"/>
  <c r="AC178" i="3"/>
  <c r="H178" i="3"/>
  <c r="AX177" i="3"/>
  <c r="AW177" i="3"/>
  <c r="AV177" i="3"/>
  <c r="AC177" i="3"/>
  <c r="H177" i="3"/>
  <c r="AX176" i="3"/>
  <c r="AW176" i="3"/>
  <c r="AV176" i="3"/>
  <c r="AC176" i="3"/>
  <c r="H176" i="3"/>
  <c r="AX175" i="3"/>
  <c r="AW175" i="3"/>
  <c r="AV175" i="3"/>
  <c r="AC175" i="3"/>
  <c r="H175" i="3"/>
  <c r="AX174" i="3"/>
  <c r="AW174" i="3"/>
  <c r="AV174" i="3"/>
  <c r="AC174" i="3"/>
  <c r="H174" i="3"/>
  <c r="AX173" i="3"/>
  <c r="AW173" i="3"/>
  <c r="AV173" i="3"/>
  <c r="AC173" i="3"/>
  <c r="H173" i="3"/>
  <c r="AX172" i="3"/>
  <c r="AW172" i="3"/>
  <c r="AV172" i="3"/>
  <c r="AC172" i="3"/>
  <c r="H172" i="3"/>
  <c r="AX171" i="3"/>
  <c r="AW171" i="3"/>
  <c r="AV171" i="3"/>
  <c r="AC171" i="3"/>
  <c r="H171" i="3"/>
  <c r="G171" i="3" s="1"/>
  <c r="AX170" i="3"/>
  <c r="AW170" i="3"/>
  <c r="AV170" i="3"/>
  <c r="AC170" i="3"/>
  <c r="H170" i="3"/>
  <c r="AX169" i="3"/>
  <c r="AW169" i="3"/>
  <c r="AV169" i="3"/>
  <c r="AC169" i="3"/>
  <c r="H169" i="3"/>
  <c r="AX168" i="3"/>
  <c r="AW168" i="3"/>
  <c r="AV168" i="3"/>
  <c r="AC168" i="3"/>
  <c r="H168" i="3"/>
  <c r="AX167" i="3"/>
  <c r="AW167" i="3"/>
  <c r="AV167" i="3"/>
  <c r="AC167" i="3"/>
  <c r="H167" i="3"/>
  <c r="G167" i="3" s="1"/>
  <c r="AX166" i="3"/>
  <c r="AW166" i="3"/>
  <c r="AV166" i="3"/>
  <c r="AC166" i="3"/>
  <c r="H166" i="3"/>
  <c r="AX165" i="3"/>
  <c r="AW165" i="3"/>
  <c r="AV165" i="3"/>
  <c r="AC165" i="3"/>
  <c r="H165" i="3"/>
  <c r="AX164" i="3"/>
  <c r="AW164" i="3"/>
  <c r="AV164" i="3"/>
  <c r="AC164" i="3"/>
  <c r="H164" i="3"/>
  <c r="AX163" i="3"/>
  <c r="AW163" i="3"/>
  <c r="AV163" i="3"/>
  <c r="AC163" i="3"/>
  <c r="H163" i="3"/>
  <c r="G163" i="3" s="1"/>
  <c r="AX162" i="3"/>
  <c r="AW162" i="3"/>
  <c r="AV162" i="3"/>
  <c r="AC162" i="3"/>
  <c r="H162" i="3"/>
  <c r="AX161" i="3"/>
  <c r="AW161" i="3"/>
  <c r="AV161" i="3"/>
  <c r="AC161" i="3"/>
  <c r="H161" i="3"/>
  <c r="AX160" i="3"/>
  <c r="AW160" i="3"/>
  <c r="AV160" i="3"/>
  <c r="AC160" i="3"/>
  <c r="H160" i="3"/>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G155" i="3" s="1"/>
  <c r="AX154" i="3"/>
  <c r="AW154" i="3"/>
  <c r="AV154" i="3"/>
  <c r="AC154" i="3"/>
  <c r="H154" i="3"/>
  <c r="AX153" i="3"/>
  <c r="AW153" i="3"/>
  <c r="AV153" i="3"/>
  <c r="AC153" i="3"/>
  <c r="H153" i="3"/>
  <c r="AX152" i="3"/>
  <c r="AW152" i="3"/>
  <c r="AV152" i="3"/>
  <c r="AC152" i="3"/>
  <c r="H152" i="3"/>
  <c r="AX151" i="3"/>
  <c r="AW151" i="3"/>
  <c r="AV151" i="3"/>
  <c r="AC151" i="3"/>
  <c r="H151" i="3"/>
  <c r="G151" i="3" s="1"/>
  <c r="AX150" i="3"/>
  <c r="AW150" i="3"/>
  <c r="AV150" i="3"/>
  <c r="AC150" i="3"/>
  <c r="H150" i="3"/>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s="1"/>
  <c r="AX135" i="3"/>
  <c r="AW135" i="3"/>
  <c r="AV135" i="3"/>
  <c r="AC135" i="3"/>
  <c r="H135" i="3"/>
  <c r="AX134" i="3"/>
  <c r="AW134" i="3"/>
  <c r="AV134" i="3"/>
  <c r="AC134" i="3"/>
  <c r="H134" i="3"/>
  <c r="AX133" i="3"/>
  <c r="AW133" i="3"/>
  <c r="AV133" i="3"/>
  <c r="AC133" i="3"/>
  <c r="H133" i="3"/>
  <c r="AX132" i="3"/>
  <c r="AW132" i="3"/>
  <c r="AV132" i="3"/>
  <c r="AC132" i="3"/>
  <c r="H132" i="3"/>
  <c r="G132" i="3" s="1"/>
  <c r="AX131" i="3"/>
  <c r="AW131" i="3"/>
  <c r="AV131" i="3"/>
  <c r="AC131" i="3"/>
  <c r="H131" i="3"/>
  <c r="AX130" i="3"/>
  <c r="AW130" i="3"/>
  <c r="AV130" i="3"/>
  <c r="AC130" i="3"/>
  <c r="H130" i="3"/>
  <c r="AX129" i="3"/>
  <c r="AW129" i="3"/>
  <c r="AV129" i="3"/>
  <c r="AC129" i="3"/>
  <c r="H129" i="3"/>
  <c r="AX128" i="3"/>
  <c r="AW128" i="3"/>
  <c r="AV128" i="3"/>
  <c r="AC128" i="3"/>
  <c r="H128" i="3"/>
  <c r="AX127" i="3"/>
  <c r="AW127" i="3"/>
  <c r="AV127" i="3"/>
  <c r="AC127" i="3"/>
  <c r="H127" i="3"/>
  <c r="AX126" i="3"/>
  <c r="AW126" i="3"/>
  <c r="AV126" i="3"/>
  <c r="AC126" i="3"/>
  <c r="H126" i="3"/>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G297" i="3" s="1"/>
  <c r="AX296" i="3"/>
  <c r="AW296" i="3"/>
  <c r="AV296" i="3"/>
  <c r="AC296" i="3"/>
  <c r="H296" i="3"/>
  <c r="AX295" i="3"/>
  <c r="AW295" i="3"/>
  <c r="AV295" i="3"/>
  <c r="AC295" i="3"/>
  <c r="H295" i="3"/>
  <c r="G295" i="3" s="1"/>
  <c r="AX294" i="3"/>
  <c r="AW294" i="3"/>
  <c r="AV294" i="3"/>
  <c r="AC294" i="3"/>
  <c r="H294" i="3"/>
  <c r="AX293" i="3"/>
  <c r="AW293" i="3"/>
  <c r="AV293" i="3"/>
  <c r="AC293" i="3"/>
  <c r="H293" i="3"/>
  <c r="AX292" i="3"/>
  <c r="AW292" i="3"/>
  <c r="AV292" i="3"/>
  <c r="AC292" i="3"/>
  <c r="H292" i="3"/>
  <c r="AX291" i="3"/>
  <c r="AW291" i="3"/>
  <c r="AV291" i="3"/>
  <c r="AC291" i="3"/>
  <c r="H291" i="3"/>
  <c r="AX290" i="3"/>
  <c r="AW290" i="3"/>
  <c r="AV290" i="3"/>
  <c r="AC290" i="3"/>
  <c r="H290" i="3"/>
  <c r="AX289" i="3"/>
  <c r="AW289" i="3"/>
  <c r="AV289" i="3"/>
  <c r="AC289" i="3"/>
  <c r="H289" i="3"/>
  <c r="G289" i="3" s="1"/>
  <c r="AX288" i="3"/>
  <c r="AW288" i="3"/>
  <c r="AV288" i="3"/>
  <c r="AC288" i="3"/>
  <c r="H288" i="3"/>
  <c r="AX287" i="3"/>
  <c r="AW287" i="3"/>
  <c r="AV287" i="3"/>
  <c r="AC287" i="3"/>
  <c r="H287" i="3"/>
  <c r="AX286" i="3"/>
  <c r="AW286" i="3"/>
  <c r="AV286" i="3"/>
  <c r="AC286" i="3"/>
  <c r="H286" i="3"/>
  <c r="AX285" i="3"/>
  <c r="AW285" i="3"/>
  <c r="AV285" i="3"/>
  <c r="AC285" i="3"/>
  <c r="H285" i="3"/>
  <c r="G285" i="3" s="1"/>
  <c r="AX284" i="3"/>
  <c r="AW284" i="3"/>
  <c r="AV284" i="3"/>
  <c r="AC284" i="3"/>
  <c r="H284" i="3"/>
  <c r="AX283" i="3"/>
  <c r="AW283" i="3"/>
  <c r="AV283" i="3"/>
  <c r="AC283" i="3"/>
  <c r="H283" i="3"/>
  <c r="AX282" i="3"/>
  <c r="AW282" i="3"/>
  <c r="AV282" i="3"/>
  <c r="AC282" i="3"/>
  <c r="H282" i="3"/>
  <c r="G282" i="3" s="1"/>
  <c r="AX281" i="3"/>
  <c r="AW281" i="3"/>
  <c r="AV281" i="3"/>
  <c r="AC281" i="3"/>
  <c r="H281" i="3"/>
  <c r="G281" i="3" s="1"/>
  <c r="AX280" i="3"/>
  <c r="AW280" i="3"/>
  <c r="AV280" i="3"/>
  <c r="AC280" i="3"/>
  <c r="H280" i="3"/>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s="1"/>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s="1"/>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AX261" i="3"/>
  <c r="AW261" i="3"/>
  <c r="AV261" i="3"/>
  <c r="AC261" i="3"/>
  <c r="H261" i="3"/>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s="1"/>
  <c r="AX254" i="3"/>
  <c r="AW254" i="3"/>
  <c r="AV254" i="3"/>
  <c r="AC254" i="3"/>
  <c r="H254" i="3"/>
  <c r="AX253" i="3"/>
  <c r="AW253" i="3"/>
  <c r="AV253" i="3"/>
  <c r="AC253" i="3"/>
  <c r="H253" i="3"/>
  <c r="AX252" i="3"/>
  <c r="AW252" i="3"/>
  <c r="AV252" i="3"/>
  <c r="AC252" i="3"/>
  <c r="H252" i="3"/>
  <c r="AX251" i="3"/>
  <c r="AW251" i="3"/>
  <c r="AV251" i="3"/>
  <c r="AC251" i="3"/>
  <c r="H251" i="3"/>
  <c r="G251" i="3" s="1"/>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AX245" i="3"/>
  <c r="AW245" i="3"/>
  <c r="AV245" i="3"/>
  <c r="AC245" i="3"/>
  <c r="H245" i="3"/>
  <c r="AX244" i="3"/>
  <c r="AW244" i="3"/>
  <c r="AV244" i="3"/>
  <c r="AC244" i="3"/>
  <c r="H244" i="3"/>
  <c r="AX243" i="3"/>
  <c r="AW243" i="3"/>
  <c r="AV243" i="3"/>
  <c r="AC243" i="3"/>
  <c r="H243" i="3"/>
  <c r="G243" i="3" s="1"/>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s="1"/>
  <c r="AX226" i="3"/>
  <c r="AW226" i="3"/>
  <c r="AV226" i="3"/>
  <c r="AC226" i="3"/>
  <c r="H226" i="3"/>
  <c r="AX225" i="3"/>
  <c r="AW225" i="3"/>
  <c r="AV225" i="3"/>
  <c r="AC225" i="3"/>
  <c r="H225" i="3"/>
  <c r="AX224" i="3"/>
  <c r="AW224" i="3"/>
  <c r="AV224" i="3"/>
  <c r="AC224" i="3"/>
  <c r="H224" i="3"/>
  <c r="AX223" i="3"/>
  <c r="AW223" i="3"/>
  <c r="AV223" i="3"/>
  <c r="AC223" i="3"/>
  <c r="H223" i="3"/>
  <c r="AX222" i="3"/>
  <c r="AW222" i="3"/>
  <c r="AV222" i="3"/>
  <c r="AC222" i="3"/>
  <c r="H222" i="3"/>
  <c r="AX221" i="3"/>
  <c r="AW221" i="3"/>
  <c r="AV221" i="3"/>
  <c r="AC221" i="3"/>
  <c r="H221" i="3"/>
  <c r="G221" i="3" s="1"/>
  <c r="AX220" i="3"/>
  <c r="AW220" i="3"/>
  <c r="AV220" i="3"/>
  <c r="AC220" i="3"/>
  <c r="H220" i="3"/>
  <c r="G220" i="3" s="1"/>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s="1"/>
  <c r="AX214" i="3"/>
  <c r="AW214" i="3"/>
  <c r="AV214" i="3"/>
  <c r="AC214" i="3"/>
  <c r="H214" i="3"/>
  <c r="AX213" i="3"/>
  <c r="AW213" i="3"/>
  <c r="AV213" i="3"/>
  <c r="AC213" i="3"/>
  <c r="H213" i="3"/>
  <c r="AX212" i="3"/>
  <c r="AW212" i="3"/>
  <c r="AV212" i="3"/>
  <c r="AC212" i="3"/>
  <c r="H212" i="3"/>
  <c r="AX211" i="3"/>
  <c r="AW211" i="3"/>
  <c r="AV211" i="3"/>
  <c r="AC211" i="3"/>
  <c r="H211" i="3"/>
  <c r="G211" i="3" s="1"/>
  <c r="AX210" i="3"/>
  <c r="AW210" i="3"/>
  <c r="AV210" i="3"/>
  <c r="AC210" i="3"/>
  <c r="H210" i="3"/>
  <c r="AX209" i="3"/>
  <c r="AW209" i="3"/>
  <c r="AV209" i="3"/>
  <c r="AC209" i="3"/>
  <c r="H209" i="3"/>
  <c r="G209" i="3" s="1"/>
  <c r="AX208" i="3"/>
  <c r="AW208" i="3"/>
  <c r="AV208" i="3"/>
  <c r="AC208" i="3"/>
  <c r="H20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s="1"/>
  <c r="AX386" i="3"/>
  <c r="AW386" i="3"/>
  <c r="AV386" i="3"/>
  <c r="AC386" i="3"/>
  <c r="H386" i="3"/>
  <c r="AX385" i="3"/>
  <c r="AW385" i="3"/>
  <c r="AV385" i="3"/>
  <c r="AC385" i="3"/>
  <c r="H385" i="3"/>
  <c r="AX384" i="3"/>
  <c r="AW384" i="3"/>
  <c r="AV384" i="3"/>
  <c r="AC384" i="3"/>
  <c r="H384" i="3"/>
  <c r="G384" i="3" s="1"/>
  <c r="AX383" i="3"/>
  <c r="AW383" i="3"/>
  <c r="AV383" i="3"/>
  <c r="AC383" i="3"/>
  <c r="H383" i="3"/>
  <c r="AX382" i="3"/>
  <c r="AW382" i="3"/>
  <c r="AV382" i="3"/>
  <c r="AC382" i="3"/>
  <c r="H382" i="3"/>
  <c r="AX381" i="3"/>
  <c r="AW381" i="3"/>
  <c r="AV381" i="3"/>
  <c r="AC381" i="3"/>
  <c r="H381" i="3"/>
  <c r="AX380" i="3"/>
  <c r="AW380" i="3"/>
  <c r="AV380" i="3"/>
  <c r="AC380" i="3"/>
  <c r="H380" i="3"/>
  <c r="AX379" i="3"/>
  <c r="AW379" i="3"/>
  <c r="AV379" i="3"/>
  <c r="AC379" i="3"/>
  <c r="H379" i="3"/>
  <c r="AX378" i="3"/>
  <c r="AW378" i="3"/>
  <c r="AV378" i="3"/>
  <c r="AC378" i="3"/>
  <c r="H378" i="3"/>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s="1"/>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s="1"/>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s="1"/>
  <c r="AX491" i="3"/>
  <c r="AW491" i="3"/>
  <c r="AV491" i="3"/>
  <c r="AC491" i="3"/>
  <c r="H491" i="3"/>
  <c r="G491" i="3" s="1"/>
  <c r="AX490" i="3"/>
  <c r="AW490" i="3"/>
  <c r="AV490" i="3"/>
  <c r="AC490" i="3"/>
  <c r="H490" i="3"/>
  <c r="AX489" i="3"/>
  <c r="AW489" i="3"/>
  <c r="AV489" i="3"/>
  <c r="AC489" i="3"/>
  <c r="H489" i="3"/>
  <c r="AX488" i="3"/>
  <c r="AW488" i="3"/>
  <c r="AV488" i="3"/>
  <c r="AC488" i="3"/>
  <c r="H488" i="3"/>
  <c r="G488" i="3" s="1"/>
  <c r="AX487" i="3"/>
  <c r="AW487" i="3"/>
  <c r="AV487" i="3"/>
  <c r="AC487" i="3"/>
  <c r="H487" i="3"/>
  <c r="G487" i="3" s="1"/>
  <c r="AX486" i="3"/>
  <c r="AW486" i="3"/>
  <c r="AV486" i="3"/>
  <c r="AC486" i="3"/>
  <c r="H486" i="3"/>
  <c r="AX485" i="3"/>
  <c r="AW485" i="3"/>
  <c r="AV485" i="3"/>
  <c r="AC485" i="3"/>
  <c r="H485" i="3"/>
  <c r="AX484" i="3"/>
  <c r="AW484" i="3"/>
  <c r="AV484" i="3"/>
  <c r="AC484" i="3"/>
  <c r="H484" i="3"/>
  <c r="G484" i="3" s="1"/>
  <c r="AX483" i="3"/>
  <c r="AW483" i="3"/>
  <c r="AV483" i="3"/>
  <c r="AC483" i="3"/>
  <c r="H483" i="3"/>
  <c r="G483" i="3" s="1"/>
  <c r="AX482" i="3"/>
  <c r="AW482" i="3"/>
  <c r="AV482" i="3"/>
  <c r="AC482" i="3"/>
  <c r="H482" i="3"/>
  <c r="AX481" i="3"/>
  <c r="AW481" i="3"/>
  <c r="AV481" i="3"/>
  <c r="AC481" i="3"/>
  <c r="H481" i="3"/>
  <c r="AX480" i="3"/>
  <c r="AW480" i="3"/>
  <c r="AV480" i="3"/>
  <c r="AC480" i="3"/>
  <c r="H480" i="3"/>
  <c r="AX479" i="3"/>
  <c r="AW479" i="3"/>
  <c r="AV479" i="3"/>
  <c r="AC479" i="3"/>
  <c r="H479" i="3"/>
  <c r="AX478" i="3"/>
  <c r="AW478" i="3"/>
  <c r="AV478" i="3"/>
  <c r="AC478" i="3"/>
  <c r="H478" i="3"/>
  <c r="AX477" i="3"/>
  <c r="AW477" i="3"/>
  <c r="AV477" i="3"/>
  <c r="AC477" i="3"/>
  <c r="H477" i="3"/>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s="1"/>
  <c r="AX463" i="3"/>
  <c r="AW463" i="3"/>
  <c r="AV463" i="3"/>
  <c r="AC463" i="3"/>
  <c r="H463" i="3"/>
  <c r="AX462" i="3"/>
  <c r="AW462" i="3"/>
  <c r="AV462" i="3"/>
  <c r="AC462" i="3"/>
  <c r="H462" i="3"/>
  <c r="AX461" i="3"/>
  <c r="AW461" i="3"/>
  <c r="AV461" i="3"/>
  <c r="AC461" i="3"/>
  <c r="H461" i="3"/>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AX456" i="3"/>
  <c r="AW456" i="3"/>
  <c r="AV456" i="3"/>
  <c r="AC456" i="3"/>
  <c r="H456" i="3"/>
  <c r="AX455" i="3"/>
  <c r="AW455" i="3"/>
  <c r="AV455" i="3"/>
  <c r="AC455" i="3"/>
  <c r="H455" i="3"/>
  <c r="G455" i="3" s="1"/>
  <c r="AX454" i="3"/>
  <c r="AW454" i="3"/>
  <c r="AV454" i="3"/>
  <c r="AC454" i="3"/>
  <c r="H454" i="3"/>
  <c r="G454" i="3" s="1"/>
  <c r="AX453" i="3"/>
  <c r="AW453" i="3"/>
  <c r="AV453" i="3"/>
  <c r="AC453" i="3"/>
  <c r="H453" i="3"/>
  <c r="AX452" i="3"/>
  <c r="AW452" i="3"/>
  <c r="AV452" i="3"/>
  <c r="AC452" i="3"/>
  <c r="H452" i="3"/>
  <c r="AX451" i="3"/>
  <c r="AW451" i="3"/>
  <c r="AV451" i="3"/>
  <c r="AC451" i="3"/>
  <c r="H451" i="3"/>
  <c r="AX450" i="3"/>
  <c r="AW450" i="3"/>
  <c r="AV450" i="3"/>
  <c r="AC450" i="3"/>
  <c r="H450" i="3"/>
  <c r="AX449" i="3"/>
  <c r="AW449" i="3"/>
  <c r="AV449" i="3"/>
  <c r="AC449" i="3"/>
  <c r="H449" i="3"/>
  <c r="AX448" i="3"/>
  <c r="AW448" i="3"/>
  <c r="AV448" i="3"/>
  <c r="AC448" i="3"/>
  <c r="H448" i="3"/>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AX439" i="3"/>
  <c r="AW439" i="3"/>
  <c r="AV439" i="3"/>
  <c r="AC439" i="3"/>
  <c r="H439" i="3"/>
  <c r="AX438" i="3"/>
  <c r="AW438" i="3"/>
  <c r="AV438" i="3"/>
  <c r="AC438" i="3"/>
  <c r="H438" i="3"/>
  <c r="AX437" i="3"/>
  <c r="AW437" i="3"/>
  <c r="AV437" i="3"/>
  <c r="AC437" i="3"/>
  <c r="H437" i="3"/>
  <c r="AX436" i="3"/>
  <c r="AW436" i="3"/>
  <c r="AV436" i="3"/>
  <c r="AC436" i="3"/>
  <c r="H436" i="3"/>
  <c r="G436" i="3" s="1"/>
  <c r="AX435" i="3"/>
  <c r="AW435" i="3"/>
  <c r="AV435" i="3"/>
  <c r="AC435" i="3"/>
  <c r="H435" i="3"/>
  <c r="AX434" i="3"/>
  <c r="AW434" i="3"/>
  <c r="AV434" i="3"/>
  <c r="AC434" i="3"/>
  <c r="H434" i="3"/>
  <c r="AX433" i="3"/>
  <c r="AW433" i="3"/>
  <c r="AV433" i="3"/>
  <c r="AC433" i="3"/>
  <c r="H433" i="3"/>
  <c r="AX432" i="3"/>
  <c r="AW432" i="3"/>
  <c r="AV432" i="3"/>
  <c r="AC432" i="3"/>
  <c r="H432" i="3"/>
  <c r="G432" i="3" s="1"/>
  <c r="AX431" i="3"/>
  <c r="AW431" i="3"/>
  <c r="AV431" i="3"/>
  <c r="AC431" i="3"/>
  <c r="H431" i="3"/>
  <c r="AX430" i="3"/>
  <c r="AW430" i="3"/>
  <c r="AV430" i="3"/>
  <c r="AC430" i="3"/>
  <c r="H430" i="3"/>
  <c r="AX429" i="3"/>
  <c r="AW429" i="3"/>
  <c r="AV429" i="3"/>
  <c r="AC429" i="3"/>
  <c r="H429" i="3"/>
  <c r="G429" i="3" s="1"/>
  <c r="AX428" i="3"/>
  <c r="AW428" i="3"/>
  <c r="AV428" i="3"/>
  <c r="AC428" i="3"/>
  <c r="H428" i="3"/>
  <c r="G428" i="3" s="1"/>
  <c r="AX427" i="3"/>
  <c r="AW427" i="3"/>
  <c r="AV427" i="3"/>
  <c r="AC427" i="3"/>
  <c r="H427" i="3"/>
  <c r="AX426" i="3"/>
  <c r="AW426" i="3"/>
  <c r="AV426" i="3"/>
  <c r="AC426" i="3"/>
  <c r="H426" i="3"/>
  <c r="AX425" i="3"/>
  <c r="AW425" i="3"/>
  <c r="AV425" i="3"/>
  <c r="AC425" i="3"/>
  <c r="H425" i="3"/>
  <c r="AX424" i="3"/>
  <c r="AW424" i="3"/>
  <c r="AV424" i="3"/>
  <c r="AC424" i="3"/>
  <c r="H424" i="3"/>
  <c r="AX423" i="3"/>
  <c r="AW423" i="3"/>
  <c r="AV423" i="3"/>
  <c r="AC423" i="3"/>
  <c r="H423" i="3"/>
  <c r="AX422" i="3"/>
  <c r="AW422" i="3"/>
  <c r="AV422" i="3"/>
  <c r="AC422" i="3"/>
  <c r="H422" i="3"/>
  <c r="AX421" i="3"/>
  <c r="AW421" i="3"/>
  <c r="AV421" i="3"/>
  <c r="AC421" i="3"/>
  <c r="H421" i="3"/>
  <c r="AX420" i="3"/>
  <c r="AW420" i="3"/>
  <c r="AV420" i="3"/>
  <c r="AC420" i="3"/>
  <c r="H420" i="3"/>
  <c r="AX419" i="3"/>
  <c r="AW419" i="3"/>
  <c r="AV419" i="3"/>
  <c r="AC419" i="3"/>
  <c r="H419" i="3"/>
  <c r="G419" i="3" s="1"/>
  <c r="AX418" i="3"/>
  <c r="AW418" i="3"/>
  <c r="AV418" i="3"/>
  <c r="AC418" i="3"/>
  <c r="H418" i="3"/>
  <c r="AX417" i="3"/>
  <c r="AW417" i="3"/>
  <c r="AV417" i="3"/>
  <c r="AC417" i="3"/>
  <c r="H417" i="3"/>
  <c r="G417" i="3" s="1"/>
  <c r="AX416" i="3"/>
  <c r="AW416" i="3"/>
  <c r="AV416" i="3"/>
  <c r="AC416" i="3"/>
  <c r="H416" i="3"/>
  <c r="AX415" i="3"/>
  <c r="AW415" i="3"/>
  <c r="AV415" i="3"/>
  <c r="AC415" i="3"/>
  <c r="H415" i="3"/>
  <c r="AX414" i="3"/>
  <c r="AW414" i="3"/>
  <c r="AV414" i="3"/>
  <c r="AC414" i="3"/>
  <c r="H414" i="3"/>
  <c r="AX413" i="3"/>
  <c r="AW413" i="3"/>
  <c r="AV413" i="3"/>
  <c r="AC413" i="3"/>
  <c r="H413" i="3"/>
  <c r="AX412" i="3"/>
  <c r="AW412" i="3"/>
  <c r="AV412" i="3"/>
  <c r="AC412" i="3"/>
  <c r="H412" i="3"/>
  <c r="AX411" i="3"/>
  <c r="AW411" i="3"/>
  <c r="AV411" i="3"/>
  <c r="AC411" i="3"/>
  <c r="H411" i="3"/>
  <c r="G411" i="3" s="1"/>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G406" i="3" s="1"/>
  <c r="AX405" i="3"/>
  <c r="AW405" i="3"/>
  <c r="AV405" i="3"/>
  <c r="AC405" i="3"/>
  <c r="H405" i="3"/>
  <c r="AX404" i="3"/>
  <c r="AW404" i="3"/>
  <c r="AV404" i="3"/>
  <c r="AC404" i="3"/>
  <c r="H404" i="3"/>
  <c r="AX403" i="3"/>
  <c r="AW403" i="3"/>
  <c r="AV403" i="3"/>
  <c r="AC403" i="3"/>
  <c r="H403" i="3"/>
  <c r="AX402" i="3"/>
  <c r="AW402" i="3"/>
  <c r="AV402" i="3"/>
  <c r="AC402" i="3"/>
  <c r="H402" i="3"/>
  <c r="AX401" i="3"/>
  <c r="AW401" i="3"/>
  <c r="AV401" i="3"/>
  <c r="AC401" i="3"/>
  <c r="H401" i="3"/>
  <c r="AX400" i="3"/>
  <c r="AW400" i="3"/>
  <c r="AV400" i="3"/>
  <c r="AC400" i="3"/>
  <c r="H400" i="3"/>
  <c r="AX399" i="3"/>
  <c r="AW399" i="3"/>
  <c r="AV399" i="3"/>
  <c r="AC399" i="3"/>
  <c r="H399" i="3"/>
  <c r="AX398" i="3"/>
  <c r="AW398" i="3"/>
  <c r="AV398" i="3"/>
  <c r="AC398" i="3"/>
  <c r="H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s="1"/>
  <c r="F23" i="15"/>
  <c r="D24" i="15" s="1"/>
  <c r="O8" i="1"/>
  <c r="P8" i="1"/>
  <c r="O13" i="1"/>
  <c r="P13" i="1"/>
  <c r="E22" i="6"/>
  <c r="E23" i="6"/>
  <c r="E24" i="6"/>
  <c r="E25" i="6"/>
  <c r="E26" i="6"/>
  <c r="BC10" i="3"/>
  <c r="BD10" i="3"/>
  <c r="BB10" i="3"/>
  <c r="H13" i="3"/>
  <c r="AC13" i="3"/>
  <c r="H14" i="3"/>
  <c r="AC14" i="3"/>
  <c r="G14" i="3" s="1"/>
  <c r="H15" i="3"/>
  <c r="AC15" i="3"/>
  <c r="H16" i="3"/>
  <c r="AC16" i="3"/>
  <c r="H17" i="3"/>
  <c r="AC17" i="3"/>
  <c r="AT5" i="3"/>
  <c r="I5" i="3"/>
  <c r="D29" i="43"/>
  <c r="D30"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s="1"/>
  <c r="H495" i="3"/>
  <c r="AC495" i="3"/>
  <c r="H496" i="3"/>
  <c r="AC496" i="3"/>
  <c r="H497" i="3"/>
  <c r="AC497" i="3"/>
  <c r="G497" i="3" s="1"/>
  <c r="H498" i="3"/>
  <c r="AC498" i="3"/>
  <c r="H499" i="3"/>
  <c r="AC499" i="3"/>
  <c r="H500" i="3"/>
  <c r="AC500" i="3"/>
  <c r="H501" i="3"/>
  <c r="AC501" i="3"/>
  <c r="H502" i="3"/>
  <c r="AC502" i="3"/>
  <c r="H503" i="3"/>
  <c r="AC503" i="3"/>
  <c r="H504" i="3"/>
  <c r="AC504" i="3"/>
  <c r="G504" i="3"/>
  <c r="H505" i="3"/>
  <c r="AC505" i="3"/>
  <c r="G505" i="3" s="1"/>
  <c r="H506" i="3"/>
  <c r="AC506" i="3"/>
  <c r="G506" i="3" s="1"/>
  <c r="H507" i="3"/>
  <c r="AC507" i="3"/>
  <c r="H508" i="3"/>
  <c r="AC508" i="3"/>
  <c r="H509" i="3"/>
  <c r="H510" i="3"/>
  <c r="AC510" i="3"/>
  <c r="H511" i="3"/>
  <c r="AC511" i="3"/>
  <c r="H512" i="3"/>
  <c r="AC512" i="3"/>
  <c r="H513" i="3"/>
  <c r="AC513" i="3"/>
  <c r="H514" i="3"/>
  <c r="AC514" i="3"/>
  <c r="H515" i="3"/>
  <c r="AC515" i="3"/>
  <c r="G515" i="3"/>
  <c r="H516" i="3"/>
  <c r="AC516" i="3"/>
  <c r="G516" i="3" s="1"/>
  <c r="H517" i="3"/>
  <c r="AC517" i="3"/>
  <c r="H518" i="3"/>
  <c r="AC518" i="3"/>
  <c r="G518" i="3" s="1"/>
  <c r="H519" i="3"/>
  <c r="AC519" i="3"/>
  <c r="H520" i="3"/>
  <c r="AC520" i="3"/>
  <c r="G520" i="3" s="1"/>
  <c r="H521" i="3"/>
  <c r="H522" i="3"/>
  <c r="AC522" i="3"/>
  <c r="H523" i="3"/>
  <c r="AC523" i="3"/>
  <c r="G523" i="3" s="1"/>
  <c r="H524" i="3"/>
  <c r="AC524" i="3"/>
  <c r="H525" i="3"/>
  <c r="AC525" i="3"/>
  <c r="H526" i="3"/>
  <c r="AC526" i="3"/>
  <c r="H527" i="3"/>
  <c r="AC527" i="3"/>
  <c r="H528" i="3"/>
  <c r="AC528" i="3"/>
  <c r="G528" i="3"/>
  <c r="H529" i="3"/>
  <c r="AC529" i="3"/>
  <c r="H530" i="3"/>
  <c r="AC530" i="3"/>
  <c r="G530" i="3" s="1"/>
  <c r="H531" i="3"/>
  <c r="AC531" i="3"/>
  <c r="G531" i="3" s="1"/>
  <c r="H532" i="3"/>
  <c r="AC532" i="3"/>
  <c r="H533" i="3"/>
  <c r="AC533" i="3"/>
  <c r="G533" i="3" s="1"/>
  <c r="H534" i="3"/>
  <c r="AC534" i="3"/>
  <c r="H535" i="3"/>
  <c r="AC535" i="3"/>
  <c r="H536" i="3"/>
  <c r="AC536" i="3"/>
  <c r="H537" i="3"/>
  <c r="AC537" i="3"/>
  <c r="H538" i="3"/>
  <c r="AC538" i="3"/>
  <c r="H539" i="3"/>
  <c r="AC539" i="3"/>
  <c r="H540" i="3"/>
  <c r="AC540" i="3"/>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s="1"/>
  <c r="H579" i="3"/>
  <c r="AC579" i="3"/>
  <c r="H580" i="3"/>
  <c r="AC580" i="3"/>
  <c r="H581" i="3"/>
  <c r="AC581" i="3"/>
  <c r="H582" i="3"/>
  <c r="AC582" i="3"/>
  <c r="H583" i="3"/>
  <c r="AC583" i="3"/>
  <c r="H584" i="3"/>
  <c r="AC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U40" i="40" s="1"/>
  <c r="B118" i="40"/>
  <c r="J39" i="40" s="1"/>
  <c r="B116" i="40"/>
  <c r="J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H23" i="36" s="1"/>
  <c r="AB23" i="36" s="1"/>
  <c r="D70" i="36"/>
  <c r="H22" i="36"/>
  <c r="AB22" i="36" s="1"/>
  <c r="D68" i="36"/>
  <c r="E68" i="36" s="1"/>
  <c r="F68" i="36" s="1"/>
  <c r="G68" i="36" s="1"/>
  <c r="D64" i="36"/>
  <c r="E64" i="36"/>
  <c r="F64" i="36" s="1"/>
  <c r="G64" i="36" s="1"/>
  <c r="J16" i="36"/>
  <c r="D62" i="36"/>
  <c r="E62" i="36" s="1"/>
  <c r="F62" i="36" s="1"/>
  <c r="G62" i="36" s="1"/>
  <c r="B59" i="36"/>
  <c r="J13" i="36" s="1"/>
  <c r="W13" i="36" s="1"/>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F34" i="35" s="1"/>
  <c r="AA34" i="35" s="1"/>
  <c r="B77" i="35"/>
  <c r="B75" i="35"/>
  <c r="J24" i="35" s="1"/>
  <c r="AC24" i="35" s="1"/>
  <c r="B73" i="35"/>
  <c r="B57" i="35"/>
  <c r="B61" i="35"/>
  <c r="B59" i="35"/>
  <c r="H12" i="35" s="1"/>
  <c r="B131" i="34"/>
  <c r="B129" i="34"/>
  <c r="B127" i="34"/>
  <c r="B99" i="34"/>
  <c r="B97" i="34"/>
  <c r="B95" i="34"/>
  <c r="B93" i="34"/>
  <c r="B75" i="34"/>
  <c r="B73" i="34"/>
  <c r="B71" i="34"/>
  <c r="F12" i="34" s="1"/>
  <c r="AA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K101"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J44" i="39"/>
  <c r="AC44" i="39" s="1"/>
  <c r="J35" i="39"/>
  <c r="AC35" i="39" s="1"/>
  <c r="F35" i="39"/>
  <c r="AA35" i="39" s="1"/>
  <c r="U9" i="39"/>
  <c r="W40" i="39"/>
  <c r="U30" i="37"/>
  <c r="W31" i="37"/>
  <c r="E103" i="37"/>
  <c r="F103" i="37" s="1"/>
  <c r="G103" i="37" s="1"/>
  <c r="H103" i="37" s="1"/>
  <c r="I103" i="37" s="1"/>
  <c r="J103" i="37" s="1"/>
  <c r="K103" i="37" s="1"/>
  <c r="L103" i="37" s="1"/>
  <c r="M103" i="37" s="1"/>
  <c r="U14" i="37"/>
  <c r="F29" i="36"/>
  <c r="AA29" i="36"/>
  <c r="F16" i="36"/>
  <c r="AA16" i="36" s="1"/>
  <c r="S30" i="36"/>
  <c r="U31" i="36"/>
  <c r="J33" i="36"/>
  <c r="W33" i="36" s="1"/>
  <c r="H22" i="35"/>
  <c r="AB22" i="35" s="1"/>
  <c r="AC27" i="35"/>
  <c r="W28" i="35"/>
  <c r="S34" i="35"/>
  <c r="W36" i="35"/>
  <c r="S31" i="35"/>
  <c r="F36" i="34"/>
  <c r="J35" i="34"/>
  <c r="W9" i="34"/>
  <c r="S34" i="34"/>
  <c r="H39" i="33"/>
  <c r="AB39" i="33" s="1"/>
  <c r="F26" i="33"/>
  <c r="AA26" i="33" s="1"/>
  <c r="S40" i="33"/>
  <c r="W33" i="33"/>
  <c r="W39" i="33"/>
  <c r="S27" i="35"/>
  <c r="F11" i="40"/>
  <c r="AA11" i="40" s="1"/>
  <c r="H11" i="40"/>
  <c r="AB11" i="40" s="1"/>
  <c r="AA9"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H11" i="39"/>
  <c r="S40" i="39"/>
  <c r="C15" i="39"/>
  <c r="H32" i="33"/>
  <c r="H11" i="21"/>
  <c r="U11" i="21" s="1"/>
  <c r="J11" i="21"/>
  <c r="W11" i="21" s="1"/>
  <c r="H37" i="40"/>
  <c r="U37" i="40" s="1"/>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s="1"/>
  <c r="F33" i="36"/>
  <c r="AA33" i="36" s="1"/>
  <c r="W30" i="36"/>
  <c r="H16" i="36"/>
  <c r="AB16" i="36" s="1"/>
  <c r="J29" i="36"/>
  <c r="AC29" i="36" s="1"/>
  <c r="F12" i="36"/>
  <c r="AA12" i="36" s="1"/>
  <c r="F24" i="36"/>
  <c r="AA24" i="36"/>
  <c r="F34" i="36"/>
  <c r="S34" i="36" s="1"/>
  <c r="S10" i="36"/>
  <c r="AB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23" i="40"/>
  <c r="AA23" i="40" s="1"/>
  <c r="F17" i="40"/>
  <c r="AA17" i="40" s="1"/>
  <c r="J17" i="40"/>
  <c r="W17" i="40" s="1"/>
  <c r="F15" i="40"/>
  <c r="S15" i="40" s="1"/>
  <c r="H15" i="40"/>
  <c r="AB15" i="40" s="1"/>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A15" i="34"/>
  <c r="H37" i="33"/>
  <c r="AB37" i="33" s="1"/>
  <c r="H15" i="33"/>
  <c r="AB15" i="33" s="1"/>
  <c r="H11" i="33"/>
  <c r="AB11" i="33" s="1"/>
  <c r="AC38" i="34"/>
  <c r="AA38" i="34"/>
  <c r="J37" i="34"/>
  <c r="AC37" i="34" s="1"/>
  <c r="J11" i="33"/>
  <c r="W11" i="33" s="1"/>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11" i="36"/>
  <c r="AC11" i="36" s="1"/>
  <c r="H11" i="36"/>
  <c r="F11" i="36"/>
  <c r="AA11" i="36" s="1"/>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U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H13" i="37"/>
  <c r="AB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30" i="21"/>
  <c r="S11" i="36"/>
  <c r="W11" i="35"/>
  <c r="W29" i="33"/>
  <c r="AC28" i="21"/>
  <c r="F17" i="21"/>
  <c r="AA17" i="21" s="1"/>
  <c r="H17" i="21"/>
  <c r="AB17" i="21" s="1"/>
  <c r="F15" i="21"/>
  <c r="S15" i="21" s="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H19" i="37"/>
  <c r="AB19" i="37" s="1"/>
  <c r="H42" i="33"/>
  <c r="AB42" i="33" s="1"/>
  <c r="J43" i="33"/>
  <c r="AC43" i="33" s="1"/>
  <c r="S28" i="31"/>
  <c r="S27" i="31"/>
  <c r="S26" i="31"/>
  <c r="AC33" i="36"/>
  <c r="U35" i="35"/>
  <c r="AA12" i="35"/>
  <c r="AB28" i="37"/>
  <c r="AC8" i="37"/>
  <c r="AB13" i="34"/>
  <c r="W37" i="34"/>
  <c r="AC36" i="34"/>
  <c r="AC45" i="33"/>
  <c r="U19" i="21"/>
  <c r="U26" i="21"/>
  <c r="F43" i="33"/>
  <c r="AA43" i="33" s="1"/>
  <c r="AC15" i="34"/>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H5" i="3"/>
  <c r="C12" i="43"/>
  <c r="H19" i="40"/>
  <c r="U19" i="40" s="1"/>
  <c r="F19" i="40"/>
  <c r="S19" i="40" s="1"/>
  <c r="S14" i="40"/>
  <c r="AB33" i="40"/>
  <c r="W23" i="39"/>
  <c r="H37" i="39"/>
  <c r="AB37" i="39" s="1"/>
  <c r="H25" i="39"/>
  <c r="AB25" i="39" s="1"/>
  <c r="J25" i="39"/>
  <c r="F25" i="39"/>
  <c r="AA25" i="39" s="1"/>
  <c r="F15" i="39"/>
  <c r="AA15" i="39" s="1"/>
  <c r="H15" i="39"/>
  <c r="U15" i="39" s="1"/>
  <c r="J15" i="39"/>
  <c r="W15" i="39" s="1"/>
  <c r="H41" i="39"/>
  <c r="W27" i="39"/>
  <c r="AB34" i="39"/>
  <c r="S42" i="39"/>
  <c r="AA41" i="39"/>
  <c r="W9" i="39"/>
  <c r="W8" i="39"/>
  <c r="J19" i="40"/>
  <c r="AC19" i="40" s="1"/>
  <c r="J50" i="40"/>
  <c r="B54" i="72"/>
  <c r="B16" i="53"/>
  <c r="B33" i="72" s="1"/>
  <c r="C7" i="37"/>
  <c r="C52" i="37" s="1"/>
  <c r="C7" i="34"/>
  <c r="C7" i="36"/>
  <c r="A118" i="9"/>
  <c r="A4" i="52"/>
  <c r="B41" i="72" s="1"/>
  <c r="J11" i="39"/>
  <c r="W11" i="39" s="1"/>
  <c r="F11" i="39"/>
  <c r="AA11" i="39" s="1"/>
  <c r="A12" i="52"/>
  <c r="B56" i="72" s="1"/>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G548" i="3"/>
  <c r="G538" i="3"/>
  <c r="G502" i="3"/>
  <c r="BP5" i="3"/>
  <c r="G29" i="6" s="1"/>
  <c r="BI5" i="3"/>
  <c r="BE5" i="3"/>
  <c r="G17" i="3"/>
  <c r="BT5" i="3"/>
  <c r="E8" i="6"/>
  <c r="F27" i="6" s="1"/>
  <c r="F36" i="43"/>
  <c r="H113" i="43"/>
  <c r="F48" i="43"/>
  <c r="H52" i="43" s="1"/>
  <c r="N7" i="43"/>
  <c r="F81" i="43" s="1"/>
  <c r="F70" i="43"/>
  <c r="H73" i="43" s="1"/>
  <c r="M6" i="43"/>
  <c r="E17" i="43"/>
  <c r="F39" i="43"/>
  <c r="F35" i="43"/>
  <c r="U17" i="39"/>
  <c r="S14" i="35"/>
  <c r="U43" i="21"/>
  <c r="AC35" i="21"/>
  <c r="U10" i="21"/>
  <c r="G8" i="1"/>
  <c r="G9" i="1"/>
  <c r="G10" i="1"/>
  <c r="F48" i="9"/>
  <c r="O52" i="9" s="1"/>
  <c r="W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C40" i="11"/>
  <c r="H48" i="43"/>
  <c r="F23" i="39"/>
  <c r="AA23" i="39" s="1"/>
  <c r="H27" i="36"/>
  <c r="U27" i="36" s="1"/>
  <c r="F27" i="36"/>
  <c r="AA27" i="36" s="1"/>
  <c r="H33" i="34"/>
  <c r="U33" i="34" s="1"/>
  <c r="F32" i="37"/>
  <c r="AA32" i="37" s="1"/>
  <c r="F20" i="36"/>
  <c r="J33" i="34"/>
  <c r="AC33" i="34" s="1"/>
  <c r="H23" i="39"/>
  <c r="D48" i="9"/>
  <c r="M52" i="9" s="1"/>
  <c r="K9" i="1"/>
  <c r="M9" i="1" s="1"/>
  <c r="O9" i="1"/>
  <c r="P9" i="1"/>
  <c r="AE9" i="1"/>
  <c r="W43" i="39"/>
  <c r="AC43" i="39"/>
  <c r="AB45" i="39"/>
  <c r="U45" i="39"/>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AC11" i="39"/>
  <c r="W11" i="36"/>
  <c r="AB11" i="35"/>
  <c r="F9" i="36"/>
  <c r="AA9" i="36" s="1"/>
  <c r="H24" i="36"/>
  <c r="G509" i="3"/>
  <c r="BS5" i="3"/>
  <c r="BN5" i="3"/>
  <c r="BK5" i="3"/>
  <c r="BG5" i="3"/>
  <c r="BC5" i="3"/>
  <c r="BR5" i="3"/>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s="1"/>
  <c r="S11" i="40"/>
  <c r="AC11" i="40"/>
  <c r="J81" i="43"/>
  <c r="M11" i="43"/>
  <c r="N4" i="43"/>
  <c r="N2" i="43"/>
  <c r="F59" i="43"/>
  <c r="H62" i="43" s="1"/>
  <c r="H75" i="43"/>
  <c r="A15" i="62"/>
  <c r="B61" i="72" s="1"/>
  <c r="F29" i="6"/>
  <c r="AB43" i="33"/>
  <c r="S13" i="35"/>
  <c r="AA13" i="35"/>
  <c r="AB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AB27" i="37" s="1"/>
  <c r="F27" i="37"/>
  <c r="AA27" i="37"/>
  <c r="J27" i="37"/>
  <c r="AC27" i="37"/>
  <c r="J39" i="37"/>
  <c r="AC39" i="37"/>
  <c r="F39" i="37"/>
  <c r="H39" i="37"/>
  <c r="U39" i="37" s="1"/>
  <c r="J31" i="40"/>
  <c r="H31" i="40"/>
  <c r="U31" i="40" s="1"/>
  <c r="J33" i="40"/>
  <c r="F33" i="40"/>
  <c r="AA33" i="40" s="1"/>
  <c r="W41" i="33"/>
  <c r="AC41" i="33"/>
  <c r="S42" i="34"/>
  <c r="AA42" i="34"/>
  <c r="W24" i="36"/>
  <c r="U13" i="37"/>
  <c r="W37" i="37"/>
  <c r="U35" i="21"/>
  <c r="F31" i="40"/>
  <c r="AA31" i="40" s="1"/>
  <c r="S41" i="34"/>
  <c r="AB31" i="33"/>
  <c r="AC30" i="34"/>
  <c r="AC13" i="36"/>
  <c r="AA14" i="37"/>
  <c r="U31" i="34"/>
  <c r="AC14" i="37"/>
  <c r="W14" i="37"/>
  <c r="J13" i="37"/>
  <c r="W13" i="37" s="1"/>
  <c r="H13" i="36"/>
  <c r="U11" i="36"/>
  <c r="AB11" i="36"/>
  <c r="AB33" i="35"/>
  <c r="U33"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J29" i="21"/>
  <c r="AC29" i="21" s="1"/>
  <c r="H29" i="21"/>
  <c r="U29" i="21" s="1"/>
  <c r="H31" i="21"/>
  <c r="U31" i="21" s="1"/>
  <c r="J31" i="21"/>
  <c r="AC31" i="21" s="1"/>
  <c r="J45" i="21"/>
  <c r="W45" i="21" s="1"/>
  <c r="F45" i="21"/>
  <c r="AA45" i="21" s="1"/>
  <c r="AB33" i="33"/>
  <c r="U33" i="33"/>
  <c r="AA38" i="33"/>
  <c r="S38" i="33"/>
  <c r="AC40" i="33"/>
  <c r="W40" i="33"/>
  <c r="W16" i="36"/>
  <c r="AC16" i="36"/>
  <c r="J25" i="36"/>
  <c r="W25" i="36" s="1"/>
  <c r="H25" i="36"/>
  <c r="W31" i="36"/>
  <c r="AC31" i="36"/>
  <c r="AB40" i="40"/>
  <c r="F38" i="40"/>
  <c r="S38" i="40" s="1"/>
  <c r="H38" i="40"/>
  <c r="J40" i="40"/>
  <c r="AC40" i="40" s="1"/>
  <c r="F40" i="40"/>
  <c r="AB42" i="34"/>
  <c r="U42" i="34"/>
  <c r="AC8" i="34"/>
  <c r="W8" i="34"/>
  <c r="S12" i="34"/>
  <c r="AA35" i="34"/>
  <c r="S35" i="34"/>
  <c r="AB34" i="35"/>
  <c r="U34" i="35"/>
  <c r="J12" i="33"/>
  <c r="AC12" i="33" s="1"/>
  <c r="H12" i="33"/>
  <c r="AC22" i="35"/>
  <c r="W22" i="35"/>
  <c r="H25" i="37"/>
  <c r="AB25" i="37" s="1"/>
  <c r="J25" i="37"/>
  <c r="F31" i="39"/>
  <c r="S31" i="39" s="1"/>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AC26" i="33"/>
  <c r="W26" i="33"/>
  <c r="W27" i="34"/>
  <c r="AC27" i="34"/>
  <c r="AB34" i="36"/>
  <c r="AB33" i="36"/>
  <c r="U33" i="36"/>
  <c r="AC12" i="39"/>
  <c r="W12" i="39"/>
  <c r="AC39" i="40"/>
  <c r="W39" i="40"/>
  <c r="F101" i="43"/>
  <c r="J101" i="43"/>
  <c r="J104" i="43" s="1"/>
  <c r="W12" i="33"/>
  <c r="AA39" i="34"/>
  <c r="U30" i="33"/>
  <c r="AC13" i="34"/>
  <c r="AA47" i="34"/>
  <c r="W28" i="37"/>
  <c r="S19" i="39"/>
  <c r="F12" i="33"/>
  <c r="AA12" i="33" s="1"/>
  <c r="H12" i="39"/>
  <c r="AB12" i="39" s="1"/>
  <c r="F39" i="40"/>
  <c r="S12" i="1"/>
  <c r="R12" i="1"/>
  <c r="B12" i="1"/>
  <c r="E12" i="1"/>
  <c r="S10" i="1"/>
  <c r="T10" i="1" s="1"/>
  <c r="R10" i="1"/>
  <c r="B10" i="1"/>
  <c r="E10" i="1" s="1"/>
  <c r="K12" i="1"/>
  <c r="M12" i="1" s="1"/>
  <c r="O12" i="1"/>
  <c r="P12" i="1"/>
  <c r="S13" i="1"/>
  <c r="T13" i="1" s="1"/>
  <c r="R13" i="1"/>
  <c r="S11" i="1"/>
  <c r="R11" i="1"/>
  <c r="S9" i="1"/>
  <c r="T9" i="1" s="1"/>
  <c r="R9" i="1"/>
  <c r="J51" i="67"/>
  <c r="H100" i="43"/>
  <c r="C30" i="66"/>
  <c r="E26" i="66" s="1"/>
  <c r="AA34" i="33"/>
  <c r="B41" i="1"/>
  <c r="F53" i="9" s="1"/>
  <c r="S22" i="31"/>
  <c r="J100" i="43"/>
  <c r="AB37" i="40"/>
  <c r="W38" i="40"/>
  <c r="S17" i="40"/>
  <c r="S23" i="40"/>
  <c r="AC17" i="40"/>
  <c r="AC15" i="40"/>
  <c r="AB27" i="40"/>
  <c r="AA19" i="40"/>
  <c r="AA27" i="40"/>
  <c r="U21" i="40"/>
  <c r="AB19" i="40"/>
  <c r="W42" i="39"/>
  <c r="U37" i="39"/>
  <c r="S43" i="39"/>
  <c r="S37" i="39"/>
  <c r="U35" i="39"/>
  <c r="F32" i="39"/>
  <c r="F107" i="39"/>
  <c r="G107" i="39" s="1"/>
  <c r="H107" i="39" s="1"/>
  <c r="I107" i="39" s="1"/>
  <c r="U25" i="39"/>
  <c r="AB27" i="39"/>
  <c r="U31" i="39"/>
  <c r="S25" i="39"/>
  <c r="J21" i="39"/>
  <c r="AC21" i="39" s="1"/>
  <c r="F21" i="39"/>
  <c r="S21" i="39" s="1"/>
  <c r="G95" i="39"/>
  <c r="H21" i="39"/>
  <c r="U21" i="39" s="1"/>
  <c r="W19" i="39"/>
  <c r="U19" i="39"/>
  <c r="S17" i="39"/>
  <c r="AC15" i="39"/>
  <c r="AB15" i="39"/>
  <c r="AA12" i="39"/>
  <c r="S9" i="39"/>
  <c r="U14" i="39"/>
  <c r="AC13" i="39"/>
  <c r="U12" i="39"/>
  <c r="S23" i="36"/>
  <c r="AB27" i="36"/>
  <c r="U26" i="36"/>
  <c r="S33" i="36"/>
  <c r="S27" i="36"/>
  <c r="AA26" i="36"/>
  <c r="AA34" i="36"/>
  <c r="S29" i="36"/>
  <c r="AC26" i="36"/>
  <c r="AA22" i="36"/>
  <c r="W14" i="36"/>
  <c r="AB14" i="36"/>
  <c r="U22" i="36"/>
  <c r="S16" i="36"/>
  <c r="S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S9" i="35" s="1"/>
  <c r="H9" i="35"/>
  <c r="U9" i="35" s="1"/>
  <c r="J26" i="35"/>
  <c r="W26" i="35" s="1"/>
  <c r="AB40" i="37"/>
  <c r="S25" i="37"/>
  <c r="W27" i="37"/>
  <c r="AC29" i="37"/>
  <c r="U29" i="37"/>
  <c r="S32" i="37"/>
  <c r="W30" i="37"/>
  <c r="AA38" i="37"/>
  <c r="W38" i="37"/>
  <c r="AC35" i="37"/>
  <c r="W39" i="37"/>
  <c r="S30" i="37"/>
  <c r="S37" i="37"/>
  <c r="J17" i="37"/>
  <c r="F17" i="37"/>
  <c r="AA17" i="37" s="1"/>
  <c r="F75" i="37"/>
  <c r="G75" i="37" s="1"/>
  <c r="F19" i="37"/>
  <c r="AA19" i="37" s="1"/>
  <c r="F79" i="37"/>
  <c r="G79" i="37" s="1"/>
  <c r="F23" i="37"/>
  <c r="S23" i="37" s="1"/>
  <c r="U23" i="37"/>
  <c r="U15" i="37"/>
  <c r="AC13" i="37"/>
  <c r="U9" i="37"/>
  <c r="AA13" i="37"/>
  <c r="AA12" i="37"/>
  <c r="AA9" i="37"/>
  <c r="H10" i="37"/>
  <c r="H60" i="37"/>
  <c r="I60" i="37" s="1"/>
  <c r="F11" i="37"/>
  <c r="S11" i="37" s="1"/>
  <c r="S27" i="34"/>
  <c r="W25" i="34"/>
  <c r="AB8" i="34"/>
  <c r="U44" i="34"/>
  <c r="U43" i="34"/>
  <c r="AC39" i="34"/>
  <c r="AC42" i="34"/>
  <c r="U39" i="34"/>
  <c r="AA45" i="34"/>
  <c r="W34" i="34"/>
  <c r="AA25" i="34"/>
  <c r="U28" i="34"/>
  <c r="S17" i="34"/>
  <c r="AA29" i="34"/>
  <c r="U27" i="34"/>
  <c r="S23" i="34"/>
  <c r="U15" i="34"/>
  <c r="S10" i="34"/>
  <c r="S13" i="34"/>
  <c r="H67" i="34"/>
  <c r="H10" i="34"/>
  <c r="AB10" i="34" s="1"/>
  <c r="F11" i="34"/>
  <c r="S11" i="34" s="1"/>
  <c r="F70" i="34"/>
  <c r="G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27" i="33"/>
  <c r="F87" i="33"/>
  <c r="G87" i="33" s="1"/>
  <c r="H87" i="33" s="1"/>
  <c r="I87" i="33" s="1"/>
  <c r="H25" i="33"/>
  <c r="F25" i="33"/>
  <c r="S25" i="33" s="1"/>
  <c r="J23" i="33"/>
  <c r="F85" i="33"/>
  <c r="G85" i="33" s="1"/>
  <c r="H23" i="33"/>
  <c r="F81" i="33"/>
  <c r="G81" i="33" s="1"/>
  <c r="F19" i="33"/>
  <c r="S19" i="33" s="1"/>
  <c r="W19" i="33"/>
  <c r="J17" i="33"/>
  <c r="W17" i="33" s="1"/>
  <c r="S15" i="33"/>
  <c r="W15" i="33"/>
  <c r="I66" i="33"/>
  <c r="J10" i="33"/>
  <c r="AC10" i="33" s="1"/>
  <c r="H10" i="33"/>
  <c r="U10" i="33" s="1"/>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C18" i="9"/>
  <c r="D18" i="9" s="1"/>
  <c r="F34" i="67"/>
  <c r="F62" i="67" s="1"/>
  <c r="M20" i="67"/>
  <c r="F34" i="15"/>
  <c r="F62" i="15"/>
  <c r="G13" i="3"/>
  <c r="E10" i="6"/>
  <c r="J56" i="9"/>
  <c r="J57" i="9" s="1"/>
  <c r="J59" i="9" s="1"/>
  <c r="J61" i="9" s="1"/>
  <c r="A24" i="51"/>
  <c r="B18" i="72" s="1"/>
  <c r="U29" i="34"/>
  <c r="E14" i="6"/>
  <c r="E64" i="39" s="1"/>
  <c r="E5" i="6"/>
  <c r="J105" i="43"/>
  <c r="P10" i="1"/>
  <c r="D101" i="43"/>
  <c r="E32" i="6"/>
  <c r="L19" i="6"/>
  <c r="G1" i="68"/>
  <c r="K1" i="12"/>
  <c r="J103" i="43"/>
  <c r="T12" i="1"/>
  <c r="E19" i="69"/>
  <c r="E19" i="68"/>
  <c r="E19" i="11"/>
  <c r="E1" i="73"/>
  <c r="G41" i="69"/>
  <c r="G22" i="69"/>
  <c r="G41" i="68"/>
  <c r="G22" i="68"/>
  <c r="G27" i="12"/>
  <c r="G26" i="12"/>
  <c r="G41" i="11"/>
  <c r="G22" i="11"/>
  <c r="G25" i="12"/>
  <c r="C100" i="43"/>
  <c r="E11" i="43"/>
  <c r="E10" i="43"/>
  <c r="E9" i="43"/>
  <c r="E8" i="43"/>
  <c r="C7" i="43"/>
  <c r="E81" i="43"/>
  <c r="B79" i="43" s="1"/>
  <c r="C24" i="43" s="1"/>
  <c r="AD11" i="43"/>
  <c r="AD13" i="43" s="1"/>
  <c r="AI11" i="43"/>
  <c r="AI13" i="43" s="1"/>
  <c r="AA11" i="43"/>
  <c r="AA13" i="43" s="1"/>
  <c r="E48" i="43"/>
  <c r="B46" i="43" s="1"/>
  <c r="E70" i="43"/>
  <c r="B68" i="43" s="1"/>
  <c r="F100" i="43"/>
  <c r="H53" i="43"/>
  <c r="H78" i="43"/>
  <c r="H71" i="43"/>
  <c r="C17" i="43"/>
  <c r="F33" i="43"/>
  <c r="F34" i="43"/>
  <c r="M7" i="43"/>
  <c r="C6" i="43" s="1"/>
  <c r="N6" i="43"/>
  <c r="M2" i="43"/>
  <c r="M10" i="43"/>
  <c r="N3" i="43"/>
  <c r="N11" i="43"/>
  <c r="F38" i="43"/>
  <c r="F37" i="43"/>
  <c r="M9" i="43"/>
  <c r="N12" i="43"/>
  <c r="N5" i="43"/>
  <c r="M5" i="43"/>
  <c r="M12" i="43"/>
  <c r="M4" i="43"/>
  <c r="B19" i="53"/>
  <c r="B37" i="72" s="1"/>
  <c r="C7" i="39"/>
  <c r="C68" i="39" s="1"/>
  <c r="D68" i="39" s="1"/>
  <c r="D70" i="39" s="1"/>
  <c r="C7" i="35"/>
  <c r="C48" i="35" s="1"/>
  <c r="D48" i="35" s="1"/>
  <c r="E48" i="35" s="1"/>
  <c r="F48" i="35" s="1"/>
  <c r="G48" i="35" s="1"/>
  <c r="H48" i="35" s="1"/>
  <c r="I48" i="35" s="1"/>
  <c r="J48" i="35" s="1"/>
  <c r="K48" i="35" s="1"/>
  <c r="C7" i="33"/>
  <c r="C58" i="33" s="1"/>
  <c r="D58" i="33" s="1"/>
  <c r="E58" i="33" s="1"/>
  <c r="F58" i="33" s="1"/>
  <c r="C7" i="21"/>
  <c r="C58" i="21" s="1"/>
  <c r="D58" i="21" s="1"/>
  <c r="E58" i="21" s="1"/>
  <c r="F58" i="21" s="1"/>
  <c r="G58" i="21" s="1"/>
  <c r="H58" i="21" s="1"/>
  <c r="C7" i="40"/>
  <c r="C63" i="40" s="1"/>
  <c r="M47" i="9"/>
  <c r="T35" i="4"/>
  <c r="A19" i="51" s="1"/>
  <c r="B14" i="72" s="1"/>
  <c r="C46" i="36"/>
  <c r="C59" i="34"/>
  <c r="D59" i="34"/>
  <c r="E59" i="34" s="1"/>
  <c r="F59" i="34" s="1"/>
  <c r="D52" i="37"/>
  <c r="A4" i="51"/>
  <c r="B6" i="72" s="1"/>
  <c r="C94" i="9"/>
  <c r="C4" i="12"/>
  <c r="C92" i="9"/>
  <c r="H66" i="43"/>
  <c r="H65" i="43"/>
  <c r="H64" i="43"/>
  <c r="H63" i="43"/>
  <c r="H51" i="43"/>
  <c r="H76" i="43"/>
  <c r="H77" i="43"/>
  <c r="L20" i="6"/>
  <c r="E51" i="40"/>
  <c r="B6" i="1"/>
  <c r="E6" i="1" s="1"/>
  <c r="S8" i="1"/>
  <c r="T8" i="1" s="1"/>
  <c r="K11" i="1"/>
  <c r="M11" i="1" s="1"/>
  <c r="O11" i="1"/>
  <c r="P11" i="1"/>
  <c r="AP6" i="1"/>
  <c r="B9" i="1"/>
  <c r="E9" i="1" s="1"/>
  <c r="K7" i="1"/>
  <c r="M7" i="1" s="1"/>
  <c r="G1" i="15"/>
  <c r="G1" i="69"/>
  <c r="G1" i="67"/>
  <c r="W23" i="40"/>
  <c r="U32" i="40"/>
  <c r="AB31" i="40"/>
  <c r="S37" i="40"/>
  <c r="W19" i="40"/>
  <c r="W27" i="40"/>
  <c r="W37" i="40"/>
  <c r="AC14" i="40"/>
  <c r="S13" i="40"/>
  <c r="S33" i="40"/>
  <c r="AA15" i="40"/>
  <c r="U1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F37" i="21"/>
  <c r="AA26" i="21"/>
  <c r="AB14" i="21"/>
  <c r="AB46" i="21"/>
  <c r="U40" i="21"/>
  <c r="AB31" i="21"/>
  <c r="U13" i="21"/>
  <c r="AB13" i="21"/>
  <c r="W8" i="21"/>
  <c r="S35" i="21"/>
  <c r="AB37" i="21"/>
  <c r="J37" i="21"/>
  <c r="H15" i="21"/>
  <c r="J17" i="21"/>
  <c r="AC19" i="21"/>
  <c r="W39" i="21"/>
  <c r="AC14" i="21"/>
  <c r="W30" i="21"/>
  <c r="S46" i="21"/>
  <c r="H45" i="21"/>
  <c r="U45" i="21" s="1"/>
  <c r="F29" i="21"/>
  <c r="S29" i="21" s="1"/>
  <c r="F13" i="21"/>
  <c r="AC38" i="21"/>
  <c r="H32" i="21"/>
  <c r="H9" i="21"/>
  <c r="J9" i="21"/>
  <c r="J32" i="21"/>
  <c r="F32" i="21"/>
  <c r="AA32" i="21" s="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H67" i="43"/>
  <c r="H59" i="43"/>
  <c r="H60" i="43"/>
  <c r="H61" i="43"/>
  <c r="AA31" i="39"/>
  <c r="U25" i="37"/>
  <c r="AA40" i="40"/>
  <c r="S40" i="40"/>
  <c r="AB38" i="40"/>
  <c r="U38" i="40"/>
  <c r="AB39" i="37"/>
  <c r="AC32" i="36"/>
  <c r="W32" i="36"/>
  <c r="AC25" i="37"/>
  <c r="W25" i="37"/>
  <c r="U12" i="33"/>
  <c r="AB12" i="33"/>
  <c r="W40" i="40"/>
  <c r="AA38" i="40"/>
  <c r="W33" i="40"/>
  <c r="AC33" i="40"/>
  <c r="AC31" i="40"/>
  <c r="W31" i="40"/>
  <c r="S39" i="37"/>
  <c r="AA39" i="37"/>
  <c r="U27" i="37"/>
  <c r="J53" i="67"/>
  <c r="F1" i="67" s="1"/>
  <c r="O6" i="1"/>
  <c r="P6" i="1"/>
  <c r="F30" i="11"/>
  <c r="F28" i="67"/>
  <c r="F31" i="12"/>
  <c r="F32" i="67"/>
  <c r="F60" i="67" s="1"/>
  <c r="F30" i="69"/>
  <c r="F32" i="15"/>
  <c r="F60" i="15" s="1"/>
  <c r="M18" i="15"/>
  <c r="T11" i="1"/>
  <c r="D9" i="69"/>
  <c r="C9" i="69" s="1"/>
  <c r="E59" i="40"/>
  <c r="S7" i="1"/>
  <c r="T7" i="1" s="1"/>
  <c r="E7" i="70"/>
  <c r="S12" i="33"/>
  <c r="F54" i="9"/>
  <c r="J32" i="39"/>
  <c r="J107" i="39"/>
  <c r="K107" i="39" s="1"/>
  <c r="L107" i="39" s="1"/>
  <c r="M107" i="39" s="1"/>
  <c r="H32" i="39"/>
  <c r="U32" i="39" s="1"/>
  <c r="AA32" i="39"/>
  <c r="S32" i="39"/>
  <c r="AB21" i="39"/>
  <c r="AA21" i="39"/>
  <c r="W21" i="39"/>
  <c r="AB9" i="35"/>
  <c r="AA9" i="35"/>
  <c r="AC26" i="35"/>
  <c r="J19" i="37"/>
  <c r="W19" i="37" s="1"/>
  <c r="S19" i="37"/>
  <c r="AA23" i="37"/>
  <c r="J23" i="37"/>
  <c r="J10" i="37"/>
  <c r="G63" i="37"/>
  <c r="H63" i="37" s="1"/>
  <c r="I63" i="37" s="1"/>
  <c r="J63" i="37" s="1"/>
  <c r="K63" i="37" s="1"/>
  <c r="L63" i="37" s="1"/>
  <c r="M63" i="37" s="1"/>
  <c r="H11" i="37"/>
  <c r="AB11" i="37" s="1"/>
  <c r="AB10" i="37"/>
  <c r="U10" i="37"/>
  <c r="H11" i="34"/>
  <c r="AB11" i="34" s="1"/>
  <c r="U10" i="34"/>
  <c r="J10" i="34"/>
  <c r="I67" i="34"/>
  <c r="AC35" i="33"/>
  <c r="I111" i="33"/>
  <c r="J111" i="33" s="1"/>
  <c r="K111" i="33" s="1"/>
  <c r="L111" i="33" s="1"/>
  <c r="M111" i="33" s="1"/>
  <c r="J36" i="33"/>
  <c r="AC36" i="33" s="1"/>
  <c r="H36" i="33"/>
  <c r="S36" i="33"/>
  <c r="U27" i="33"/>
  <c r="AB27" i="33"/>
  <c r="H91" i="33"/>
  <c r="I91" i="33" s="1"/>
  <c r="J91" i="33" s="1"/>
  <c r="K91" i="33" s="1"/>
  <c r="L91" i="33" s="1"/>
  <c r="M91" i="33" s="1"/>
  <c r="J27" i="33"/>
  <c r="W27" i="33" s="1"/>
  <c r="U25" i="33"/>
  <c r="AB25" i="33"/>
  <c r="AA25" i="33"/>
  <c r="J87" i="33"/>
  <c r="K87" i="33" s="1"/>
  <c r="L87" i="33" s="1"/>
  <c r="M87" i="33" s="1"/>
  <c r="J25" i="33"/>
  <c r="AB23" i="33"/>
  <c r="U23" i="33"/>
  <c r="F23" i="33"/>
  <c r="S23" i="33" s="1"/>
  <c r="AC23" i="33"/>
  <c r="W23" i="33"/>
  <c r="AA19" i="33"/>
  <c r="H19" i="33"/>
  <c r="AB19" i="33" s="1"/>
  <c r="H17" i="33"/>
  <c r="AB17" i="33" s="1"/>
  <c r="F17" i="33"/>
  <c r="AA17" i="33" s="1"/>
  <c r="AC17" i="33"/>
  <c r="AB10" i="33"/>
  <c r="J23" i="21"/>
  <c r="AC23" i="21" s="1"/>
  <c r="G85" i="21"/>
  <c r="H23" i="21"/>
  <c r="J22" i="43"/>
  <c r="O14" i="1"/>
  <c r="P14" i="1"/>
  <c r="R22" i="31"/>
  <c r="B21" i="31" s="1"/>
  <c r="AP7" i="1"/>
  <c r="O7" i="1"/>
  <c r="AB45" i="21"/>
  <c r="AC33" i="21"/>
  <c r="W33" i="21"/>
  <c r="W32" i="21"/>
  <c r="AC32" i="21"/>
  <c r="AB9" i="21"/>
  <c r="U9" i="21"/>
  <c r="AA10" i="21"/>
  <c r="S10" i="21"/>
  <c r="M17" i="67"/>
  <c r="M17" i="15"/>
  <c r="F31" i="15"/>
  <c r="F59" i="67"/>
  <c r="F31" i="67"/>
  <c r="F59" i="15"/>
  <c r="AC32" i="39"/>
  <c r="W32" i="39"/>
  <c r="AC19" i="37"/>
  <c r="J11" i="37"/>
  <c r="W11" i="37" s="1"/>
  <c r="AC10" i="34"/>
  <c r="W10" i="34"/>
  <c r="H70" i="34"/>
  <c r="I70" i="34" s="1"/>
  <c r="J70" i="34" s="1"/>
  <c r="K70" i="34" s="1"/>
  <c r="L70" i="34" s="1"/>
  <c r="M70" i="34" s="1"/>
  <c r="J11" i="34"/>
  <c r="AC11" i="34" s="1"/>
  <c r="AC27" i="33"/>
  <c r="S17" i="33"/>
  <c r="U17" i="33"/>
  <c r="U23" i="21"/>
  <c r="AB23" i="21"/>
  <c r="P7" i="1"/>
  <c r="G59" i="34"/>
  <c r="H59" i="34" s="1"/>
  <c r="I59" i="34" s="1"/>
  <c r="G39" i="43"/>
  <c r="I39" i="43" s="1"/>
  <c r="E68" i="39"/>
  <c r="F68" i="39" s="1"/>
  <c r="AC11" i="37"/>
  <c r="W11" i="34"/>
  <c r="F34" i="11"/>
  <c r="F11" i="12"/>
  <c r="R7" i="1"/>
  <c r="R8" i="1"/>
  <c r="C19" i="68"/>
  <c r="AE7" i="1"/>
  <c r="AE8" i="1"/>
  <c r="H112" i="9"/>
  <c r="D21" i="53" s="1"/>
  <c r="B39" i="72" s="1"/>
  <c r="H111" i="9"/>
  <c r="D126" i="9" s="1"/>
  <c r="I14" i="74" s="1"/>
  <c r="B8" i="74" s="1"/>
  <c r="D59" i="9"/>
  <c r="M55" i="9" s="1"/>
  <c r="D19" i="53"/>
  <c r="B38" i="72" s="1"/>
  <c r="H107" i="9"/>
  <c r="D122" i="9" s="1"/>
  <c r="AD3" i="71"/>
  <c r="D2" i="33"/>
  <c r="B10" i="76"/>
  <c r="L47" i="67"/>
  <c r="D2" i="36"/>
  <c r="AO13" i="1"/>
  <c r="M29" i="15"/>
  <c r="E9" i="76"/>
  <c r="F26" i="67"/>
  <c r="M27" i="67"/>
  <c r="M6" i="67"/>
  <c r="F20" i="31"/>
  <c r="M29" i="67"/>
  <c r="F13" i="67"/>
  <c r="M22" i="67"/>
  <c r="B12" i="76"/>
  <c r="F43" i="67"/>
  <c r="F9" i="67"/>
  <c r="F40" i="67"/>
  <c r="M26" i="67"/>
  <c r="E11" i="76"/>
  <c r="M23" i="67"/>
  <c r="D2" i="37"/>
  <c r="M8" i="67"/>
  <c r="B8" i="76"/>
  <c r="L47" i="15"/>
  <c r="C76" i="67"/>
  <c r="E10" i="76"/>
  <c r="E12" i="76"/>
  <c r="B9" i="76"/>
  <c r="F38" i="67"/>
  <c r="F6" i="67"/>
  <c r="M28" i="67"/>
  <c r="F36" i="67"/>
  <c r="AO9" i="1"/>
  <c r="B7" i="76"/>
  <c r="B13" i="76"/>
  <c r="D2" i="34"/>
  <c r="M9" i="67"/>
  <c r="F8" i="67"/>
  <c r="F41" i="67"/>
  <c r="M24" i="67"/>
  <c r="B11" i="76"/>
  <c r="AO8" i="1"/>
  <c r="E7" i="76"/>
  <c r="AO7" i="1"/>
  <c r="D2" i="21"/>
  <c r="AO11" i="1"/>
  <c r="E8" i="76"/>
  <c r="C76" i="15"/>
  <c r="D2" i="35"/>
  <c r="F37" i="67"/>
  <c r="AO12" i="1"/>
  <c r="F7" i="67"/>
  <c r="L48" i="67"/>
  <c r="F35" i="67"/>
  <c r="F16" i="67"/>
  <c r="E13" i="76"/>
  <c r="M21" i="67"/>
  <c r="AO10" i="1"/>
  <c r="E2" i="69"/>
  <c r="J15" i="67"/>
  <c r="F42" i="67"/>
  <c r="W23" i="37" l="1"/>
  <c r="AC23" i="37"/>
  <c r="AB32" i="21"/>
  <c r="U32" i="21"/>
  <c r="AA13" i="21"/>
  <c r="S13" i="21"/>
  <c r="AB33" i="21"/>
  <c r="U33" i="21"/>
  <c r="D105" i="43"/>
  <c r="D106" i="43"/>
  <c r="AB41" i="33"/>
  <c r="U41" i="33"/>
  <c r="W17" i="37"/>
  <c r="AC17" i="37"/>
  <c r="F104" i="43"/>
  <c r="F109" i="43"/>
  <c r="AB13" i="36"/>
  <c r="U13" i="36"/>
  <c r="U23" i="39"/>
  <c r="AB23" i="39"/>
  <c r="AA20" i="36"/>
  <c r="S20" i="36"/>
  <c r="S31" i="21"/>
  <c r="AA31" i="21"/>
  <c r="U12" i="35"/>
  <c r="AB12" i="35"/>
  <c r="F113" i="40"/>
  <c r="G113" i="40" s="1"/>
  <c r="H113" i="40" s="1"/>
  <c r="I113" i="40" s="1"/>
  <c r="J113" i="40" s="1"/>
  <c r="K113" i="40" s="1"/>
  <c r="L113" i="40" s="1"/>
  <c r="M113" i="40" s="1"/>
  <c r="J36" i="40"/>
  <c r="H36" i="40"/>
  <c r="F36" i="40"/>
  <c r="D13" i="53"/>
  <c r="D14" i="53" s="1"/>
  <c r="B32" i="72" s="1"/>
  <c r="D20" i="53"/>
  <c r="B40" i="72" s="1"/>
  <c r="Q52" i="67"/>
  <c r="AA23" i="33"/>
  <c r="W36" i="33"/>
  <c r="W10" i="37"/>
  <c r="AC10" i="37"/>
  <c r="AA39" i="40"/>
  <c r="S39" i="40"/>
  <c r="AB25" i="36"/>
  <c r="U25" i="36"/>
  <c r="AA27" i="21"/>
  <c r="S27" i="21"/>
  <c r="AB24" i="36"/>
  <c r="U24" i="36"/>
  <c r="AC39" i="39"/>
  <c r="W39" i="39"/>
  <c r="S25" i="36"/>
  <c r="AA25" i="36"/>
  <c r="F26" i="35"/>
  <c r="AA26" i="35" s="1"/>
  <c r="H26" i="35"/>
  <c r="AB34" i="33"/>
  <c r="AB35" i="37"/>
  <c r="H72" i="43"/>
  <c r="H56" i="43"/>
  <c r="H55" i="43"/>
  <c r="H70" i="43"/>
  <c r="H54" i="43"/>
  <c r="AA10" i="33"/>
  <c r="S43" i="33"/>
  <c r="AB41" i="34"/>
  <c r="AB35" i="34"/>
  <c r="W41" i="34"/>
  <c r="AB17" i="37"/>
  <c r="AC15" i="37"/>
  <c r="U32" i="37"/>
  <c r="S36" i="37"/>
  <c r="AB31" i="37"/>
  <c r="AC9" i="37"/>
  <c r="AA10" i="35"/>
  <c r="S15" i="39"/>
  <c r="AA32" i="40"/>
  <c r="AA25" i="21"/>
  <c r="G28" i="6"/>
  <c r="H74" i="43"/>
  <c r="H50" i="43"/>
  <c r="U12" i="37"/>
  <c r="AC46" i="21"/>
  <c r="W44" i="21"/>
  <c r="U11" i="33"/>
  <c r="AA13" i="33"/>
  <c r="W47" i="34"/>
  <c r="U14" i="40"/>
  <c r="S44" i="34"/>
  <c r="AB26" i="33"/>
  <c r="S41" i="33"/>
  <c r="AB23" i="34"/>
  <c r="S12" i="36"/>
  <c r="C25" i="39"/>
  <c r="J34" i="35"/>
  <c r="G539" i="3"/>
  <c r="G536" i="3"/>
  <c r="G525" i="3"/>
  <c r="G524" i="3"/>
  <c r="G513" i="3"/>
  <c r="G511" i="3"/>
  <c r="G501" i="3"/>
  <c r="G500" i="3"/>
  <c r="G401" i="3"/>
  <c r="G403" i="3"/>
  <c r="G407" i="3"/>
  <c r="G409" i="3"/>
  <c r="G418" i="3"/>
  <c r="G420" i="3"/>
  <c r="G422" i="3"/>
  <c r="G426" i="3"/>
  <c r="G439" i="3"/>
  <c r="G443" i="3"/>
  <c r="G450" i="3"/>
  <c r="G452" i="3"/>
  <c r="G479" i="3"/>
  <c r="G481" i="3"/>
  <c r="G318" i="3"/>
  <c r="G378" i="3"/>
  <c r="G380" i="3"/>
  <c r="G396" i="3"/>
  <c r="G214" i="3"/>
  <c r="G216" i="3"/>
  <c r="G218" i="3"/>
  <c r="G242" i="3"/>
  <c r="G244" i="3"/>
  <c r="G246" i="3"/>
  <c r="G252" i="3"/>
  <c r="G263" i="3"/>
  <c r="G265" i="3"/>
  <c r="G279" i="3"/>
  <c r="G292" i="3"/>
  <c r="G128" i="3"/>
  <c r="G130" i="3"/>
  <c r="G160" i="3"/>
  <c r="G166" i="3"/>
  <c r="G170" i="3"/>
  <c r="G174" i="3"/>
  <c r="G176" i="3"/>
  <c r="G182" i="3"/>
  <c r="G186" i="3"/>
  <c r="G190" i="3"/>
  <c r="G22" i="3"/>
  <c r="G24" i="3"/>
  <c r="C20" i="71"/>
  <c r="D19" i="71"/>
  <c r="D24" i="71"/>
  <c r="C25" i="71"/>
  <c r="C37" i="71"/>
  <c r="D36" i="71"/>
  <c r="P46" i="71"/>
  <c r="D52" i="71"/>
  <c r="N46" i="71"/>
  <c r="AA7" i="71"/>
  <c r="C8" i="71"/>
  <c r="D57" i="71"/>
  <c r="Q49" i="71"/>
  <c r="D49" i="71"/>
  <c r="AA5" i="71"/>
  <c r="D15" i="71"/>
  <c r="X3" i="71"/>
  <c r="X7" i="71"/>
  <c r="B9" i="71"/>
  <c r="Y8" i="71"/>
  <c r="Z8" i="71" s="1"/>
  <c r="AB18" i="71"/>
  <c r="Y18" i="71"/>
  <c r="Z18" i="71" s="1"/>
  <c r="E12" i="71"/>
  <c r="E13" i="71" s="1"/>
  <c r="U13" i="71" s="1"/>
  <c r="Y13" i="71"/>
  <c r="Z13" i="71" s="1"/>
  <c r="AB13" i="71"/>
  <c r="AE10" i="43"/>
  <c r="E12" i="78"/>
  <c r="E11" i="78" s="1"/>
  <c r="BL584" i="3"/>
  <c r="BL580" i="3"/>
  <c r="BL576"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A465" i="3"/>
  <c r="BL464" i="3"/>
  <c r="BA457" i="3"/>
  <c r="BL456" i="3"/>
  <c r="BA449" i="3"/>
  <c r="BL448" i="3"/>
  <c r="G32" i="3"/>
  <c r="G34" i="3"/>
  <c r="G42" i="3"/>
  <c r="G44" i="3"/>
  <c r="G48" i="3"/>
  <c r="G50" i="3"/>
  <c r="G52" i="3"/>
  <c r="G72" i="3"/>
  <c r="G74" i="3"/>
  <c r="G86" i="3"/>
  <c r="G90" i="3"/>
  <c r="G92" i="3"/>
  <c r="G101" i="3"/>
  <c r="G103" i="3"/>
  <c r="G105" i="3"/>
  <c r="G109" i="3"/>
  <c r="G111" i="3"/>
  <c r="AC21" i="21"/>
  <c r="C40" i="69"/>
  <c r="AC21" i="33"/>
  <c r="C25" i="40"/>
  <c r="Y15" i="71"/>
  <c r="Z15" i="71" s="1"/>
  <c r="P61" i="15"/>
  <c r="BL586" i="3"/>
  <c r="BL582" i="3"/>
  <c r="BL578" i="3"/>
  <c r="BL574"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A469" i="3"/>
  <c r="BL468" i="3"/>
  <c r="BA461" i="3"/>
  <c r="BL460" i="3"/>
  <c r="BA453" i="3"/>
  <c r="BL452" i="3"/>
  <c r="BA445" i="3"/>
  <c r="BL444" i="3"/>
  <c r="BL466" i="3"/>
  <c r="BL462" i="3"/>
  <c r="BL458" i="3"/>
  <c r="BL454" i="3"/>
  <c r="BL450" i="3"/>
  <c r="BL446" i="3"/>
  <c r="BL442" i="3"/>
  <c r="BA436" i="3"/>
  <c r="BL435" i="3"/>
  <c r="AZ435" i="3" s="1"/>
  <c r="BA433" i="3"/>
  <c r="BL430" i="3"/>
  <c r="AZ430" i="3" s="1"/>
  <c r="BA428" i="3"/>
  <c r="BA424" i="3"/>
  <c r="BA422" i="3"/>
  <c r="AZ422" i="3" s="1"/>
  <c r="BL421" i="3"/>
  <c r="AZ421" i="3" s="1"/>
  <c r="BL418" i="3"/>
  <c r="BA418" i="3"/>
  <c r="BA414" i="3"/>
  <c r="BL413" i="3"/>
  <c r="AZ413" i="3" s="1"/>
  <c r="BL410" i="3"/>
  <c r="BA410" i="3"/>
  <c r="BA406" i="3"/>
  <c r="BL405" i="3"/>
  <c r="AZ405" i="3" s="1"/>
  <c r="BL402" i="3"/>
  <c r="BA402" i="3"/>
  <c r="BL401" i="3"/>
  <c r="AZ401" i="3" s="1"/>
  <c r="BA398" i="3"/>
  <c r="BL397" i="3"/>
  <c r="AZ397" i="3" s="1"/>
  <c r="BA392" i="3"/>
  <c r="BL389" i="3"/>
  <c r="AZ389" i="3" s="1"/>
  <c r="BL386" i="3"/>
  <c r="AZ386" i="3" s="1"/>
  <c r="BL383" i="3"/>
  <c r="AZ383" i="3" s="1"/>
  <c r="BL377" i="3"/>
  <c r="AZ377" i="3" s="1"/>
  <c r="BA375" i="3"/>
  <c r="BL374" i="3"/>
  <c r="AZ374" i="3" s="1"/>
  <c r="BA373" i="3"/>
  <c r="AZ373" i="3" s="1"/>
  <c r="BL367" i="3"/>
  <c r="AZ367" i="3" s="1"/>
  <c r="BA365" i="3"/>
  <c r="BL364" i="3"/>
  <c r="AZ364" i="3" s="1"/>
  <c r="BL361" i="3"/>
  <c r="BA361" i="3"/>
  <c r="BA357" i="3"/>
  <c r="BL356" i="3"/>
  <c r="AZ356" i="3" s="1"/>
  <c r="BA353" i="3"/>
  <c r="BA349" i="3"/>
  <c r="BA347" i="3"/>
  <c r="AZ347" i="3" s="1"/>
  <c r="BA343" i="3"/>
  <c r="BL339" i="3"/>
  <c r="AZ339" i="3" s="1"/>
  <c r="BA338" i="3"/>
  <c r="AZ338" i="3" s="1"/>
  <c r="BA336" i="3"/>
  <c r="AZ336" i="3" s="1"/>
  <c r="BL332" i="3"/>
  <c r="BL328" i="3"/>
  <c r="BL324" i="3"/>
  <c r="BL320" i="3"/>
  <c r="BL316" i="3"/>
  <c r="BL312" i="3"/>
  <c r="BL308" i="3"/>
  <c r="BL304" i="3"/>
  <c r="BL300" i="3"/>
  <c r="BL296" i="3"/>
  <c r="BL292" i="3"/>
  <c r="BL288" i="3"/>
  <c r="BL284" i="3"/>
  <c r="BL280" i="3"/>
  <c r="BA273" i="3"/>
  <c r="BA269" i="3"/>
  <c r="BA265" i="3"/>
  <c r="BA261" i="3"/>
  <c r="BL250" i="3"/>
  <c r="BL246" i="3"/>
  <c r="BL242" i="3"/>
  <c r="BL238" i="3"/>
  <c r="BL234" i="3"/>
  <c r="BL230" i="3"/>
  <c r="BA225" i="3"/>
  <c r="BA221" i="3"/>
  <c r="BA217" i="3"/>
  <c r="BA213" i="3"/>
  <c r="BA209" i="3"/>
  <c r="BA205" i="3"/>
  <c r="BA201" i="3"/>
  <c r="BA197" i="3"/>
  <c r="BA193" i="3"/>
  <c r="BA189" i="3"/>
  <c r="BA185" i="3"/>
  <c r="BL184" i="3"/>
  <c r="BA183" i="3"/>
  <c r="BL176" i="3"/>
  <c r="BA175" i="3"/>
  <c r="BA168" i="3"/>
  <c r="BL167" i="3"/>
  <c r="BA440" i="3"/>
  <c r="BA438" i="3"/>
  <c r="AZ438" i="3" s="1"/>
  <c r="BA434" i="3"/>
  <c r="BL431" i="3"/>
  <c r="AZ431" i="3" s="1"/>
  <c r="BL429" i="3"/>
  <c r="BA426" i="3"/>
  <c r="BL420" i="3"/>
  <c r="BA416" i="3"/>
  <c r="BL412" i="3"/>
  <c r="BA408" i="3"/>
  <c r="BA404" i="3"/>
  <c r="BA400" i="3"/>
  <c r="BL396" i="3"/>
  <c r="BA394" i="3"/>
  <c r="AZ394" i="3" s="1"/>
  <c r="BL393" i="3"/>
  <c r="AZ393" i="3" s="1"/>
  <c r="BL390" i="3"/>
  <c r="AZ390" i="3" s="1"/>
  <c r="BA388" i="3"/>
  <c r="BL376" i="3"/>
  <c r="AZ376" i="3" s="1"/>
  <c r="BA371" i="3"/>
  <c r="BA369" i="3"/>
  <c r="AZ369" i="3" s="1"/>
  <c r="BA366" i="3"/>
  <c r="BA363" i="3"/>
  <c r="BL359" i="3"/>
  <c r="BA355" i="3"/>
  <c r="BA351" i="3"/>
  <c r="BA345" i="3"/>
  <c r="BL341" i="3"/>
  <c r="BL334" i="3"/>
  <c r="BL330" i="3"/>
  <c r="BL326" i="3"/>
  <c r="BL322" i="3"/>
  <c r="BL318" i="3"/>
  <c r="BL314" i="3"/>
  <c r="BL310" i="3"/>
  <c r="BL306" i="3"/>
  <c r="BL302" i="3"/>
  <c r="BL298" i="3"/>
  <c r="BL294" i="3"/>
  <c r="BL290" i="3"/>
  <c r="BL286" i="3"/>
  <c r="BL282" i="3"/>
  <c r="BL278" i="3"/>
  <c r="BA275" i="3"/>
  <c r="BA271" i="3"/>
  <c r="BA267" i="3"/>
  <c r="BA263" i="3"/>
  <c r="BA259" i="3"/>
  <c r="BL252" i="3"/>
  <c r="BL248" i="3"/>
  <c r="BL244" i="3"/>
  <c r="BL240" i="3"/>
  <c r="BL236" i="3"/>
  <c r="BL232" i="3"/>
  <c r="BL228" i="3"/>
  <c r="BA223" i="3"/>
  <c r="BA219" i="3"/>
  <c r="BA215" i="3"/>
  <c r="BA211" i="3"/>
  <c r="BA207" i="3"/>
  <c r="BA203" i="3"/>
  <c r="BA199" i="3"/>
  <c r="BA195" i="3"/>
  <c r="BA191" i="3"/>
  <c r="BA187" i="3"/>
  <c r="BL180" i="3"/>
  <c r="BA179" i="3"/>
  <c r="BL172" i="3"/>
  <c r="BA171" i="3"/>
  <c r="BA181" i="3"/>
  <c r="BA177" i="3"/>
  <c r="BA173" i="3"/>
  <c r="BA169" i="3"/>
  <c r="BL165" i="3"/>
  <c r="BA157" i="3"/>
  <c r="BA153" i="3"/>
  <c r="BL152" i="3"/>
  <c r="AZ152" i="3" s="1"/>
  <c r="BL149" i="3"/>
  <c r="BA149" i="3"/>
  <c r="BA145" i="3"/>
  <c r="BL144" i="3"/>
  <c r="AZ144" i="3" s="1"/>
  <c r="BA141" i="3"/>
  <c r="BL140" i="3"/>
  <c r="AZ140" i="3" s="1"/>
  <c r="BL137" i="3"/>
  <c r="BL133" i="3"/>
  <c r="BL129" i="3"/>
  <c r="BL125" i="3"/>
  <c r="BL121" i="3"/>
  <c r="BL117" i="3"/>
  <c r="BL113" i="3"/>
  <c r="BL109" i="3"/>
  <c r="BL97" i="3"/>
  <c r="BL93" i="3"/>
  <c r="BL89" i="3"/>
  <c r="BL85" i="3"/>
  <c r="BL81" i="3"/>
  <c r="BL77" i="3"/>
  <c r="BL73" i="3"/>
  <c r="BL69" i="3"/>
  <c r="BL65" i="3"/>
  <c r="BL61" i="3"/>
  <c r="BL57" i="3"/>
  <c r="BL53" i="3"/>
  <c r="BL49" i="3"/>
  <c r="BL45" i="3"/>
  <c r="BL41" i="3"/>
  <c r="BL37" i="3"/>
  <c r="BL33" i="3"/>
  <c r="BL29" i="3"/>
  <c r="BL25" i="3"/>
  <c r="D25" i="80"/>
  <c r="K30" i="80"/>
  <c r="BA163" i="3"/>
  <c r="BA161" i="3"/>
  <c r="AZ161" i="3" s="1"/>
  <c r="BA159" i="3"/>
  <c r="AZ159" i="3" s="1"/>
  <c r="BA155" i="3"/>
  <c r="BL151" i="3"/>
  <c r="BL147" i="3"/>
  <c r="BA143" i="3"/>
  <c r="BL142" i="3"/>
  <c r="AZ142" i="3" s="1"/>
  <c r="BA139" i="3"/>
  <c r="BL135" i="3"/>
  <c r="BL131" i="3"/>
  <c r="BL127" i="3"/>
  <c r="BL123" i="3"/>
  <c r="BL119" i="3"/>
  <c r="BL115" i="3"/>
  <c r="BL111" i="3"/>
  <c r="BL107" i="3"/>
  <c r="BL95" i="3"/>
  <c r="BL91" i="3"/>
  <c r="BL87" i="3"/>
  <c r="BL83" i="3"/>
  <c r="BL79" i="3"/>
  <c r="BL75" i="3"/>
  <c r="BL71" i="3"/>
  <c r="BL67" i="3"/>
  <c r="BL63" i="3"/>
  <c r="BL59" i="3"/>
  <c r="BL55" i="3"/>
  <c r="BL51" i="3"/>
  <c r="BL47" i="3"/>
  <c r="BL43" i="3"/>
  <c r="BL39" i="3"/>
  <c r="BL35" i="3"/>
  <c r="BL31" i="3"/>
  <c r="BL27" i="3"/>
  <c r="BL23" i="3"/>
  <c r="D23" i="67"/>
  <c r="BA20" i="3"/>
  <c r="BA18" i="3"/>
  <c r="E29" i="6"/>
  <c r="K15" i="1" s="1"/>
  <c r="C36" i="69"/>
  <c r="E56" i="39"/>
  <c r="AE11" i="43"/>
  <c r="AE13" i="43" s="1"/>
  <c r="Z11" i="43"/>
  <c r="Z13" i="43" s="1"/>
  <c r="AH11" i="43"/>
  <c r="AH13" i="43" s="1"/>
  <c r="F105" i="43"/>
  <c r="F107" i="43"/>
  <c r="I101" i="43"/>
  <c r="G101" i="43"/>
  <c r="G103" i="43" s="1"/>
  <c r="B113" i="43"/>
  <c r="G118" i="43" s="1"/>
  <c r="H118" i="43" s="1"/>
  <c r="E12" i="6"/>
  <c r="E57" i="40" s="1"/>
  <c r="BA22" i="3"/>
  <c r="E62" i="39"/>
  <c r="BL19" i="3"/>
  <c r="BL16" i="3"/>
  <c r="G30" i="6"/>
  <c r="E13" i="6"/>
  <c r="E58" i="40" s="1"/>
  <c r="BL21" i="3"/>
  <c r="BL14" i="3"/>
  <c r="K103" i="43"/>
  <c r="K102" i="43"/>
  <c r="K105" i="43"/>
  <c r="K107" i="43"/>
  <c r="K104" i="43"/>
  <c r="K106" i="43"/>
  <c r="K109" i="43"/>
  <c r="D102" i="43"/>
  <c r="F102" i="43"/>
  <c r="F103" i="43"/>
  <c r="Y11" i="43"/>
  <c r="Y13" i="43" s="1"/>
  <c r="AC11" i="43"/>
  <c r="AC13" i="43" s="1"/>
  <c r="AG11" i="43"/>
  <c r="AG13" i="43" s="1"/>
  <c r="Z7" i="43"/>
  <c r="AB11" i="43"/>
  <c r="AB13" i="43" s="1"/>
  <c r="AF11" i="43"/>
  <c r="AF13" i="43" s="1"/>
  <c r="AJ11" i="43"/>
  <c r="AJ13" i="43" s="1"/>
  <c r="J109" i="43"/>
  <c r="J106" i="43"/>
  <c r="F106" i="43"/>
  <c r="J102" i="43"/>
  <c r="J107" i="43"/>
  <c r="E101" i="43"/>
  <c r="E106" i="43" s="1"/>
  <c r="M101" i="43"/>
  <c r="H101" i="43"/>
  <c r="L101" i="43"/>
  <c r="N104" i="46"/>
  <c r="C101" i="43"/>
  <c r="N101" i="43"/>
  <c r="C65" i="40"/>
  <c r="D63" i="40"/>
  <c r="E63" i="40" s="1"/>
  <c r="E70" i="39"/>
  <c r="G14" i="74"/>
  <c r="B6" i="74" s="1"/>
  <c r="D8" i="52"/>
  <c r="D123" i="9"/>
  <c r="D9" i="52" s="1"/>
  <c r="H82" i="43"/>
  <c r="H86" i="43"/>
  <c r="H81" i="43"/>
  <c r="H88" i="43"/>
  <c r="H83" i="43"/>
  <c r="H85" i="43"/>
  <c r="H84" i="43"/>
  <c r="D65" i="40"/>
  <c r="U11" i="34"/>
  <c r="AA29" i="21"/>
  <c r="C70" i="39"/>
  <c r="AA32" i="36"/>
  <c r="E15" i="6"/>
  <c r="F28" i="6"/>
  <c r="F30" i="6" s="1"/>
  <c r="F31" i="6" s="1"/>
  <c r="AC12" i="37"/>
  <c r="C12" i="71"/>
  <c r="D11" i="71"/>
  <c r="E11" i="6"/>
  <c r="W31" i="34"/>
  <c r="J12" i="36"/>
  <c r="H12" i="36"/>
  <c r="H26" i="37"/>
  <c r="F26" i="37"/>
  <c r="G582" i="3"/>
  <c r="G559" i="3"/>
  <c r="G540" i="3"/>
  <c r="G532" i="3"/>
  <c r="G526" i="3"/>
  <c r="G519" i="3"/>
  <c r="G514" i="3"/>
  <c r="G508" i="3"/>
  <c r="G503" i="3"/>
  <c r="G495" i="3"/>
  <c r="G402" i="3"/>
  <c r="G404" i="3"/>
  <c r="G413" i="3"/>
  <c r="G423" i="3"/>
  <c r="G434" i="3"/>
  <c r="G449" i="3"/>
  <c r="G451" i="3"/>
  <c r="G462" i="3"/>
  <c r="G477" i="3"/>
  <c r="G313" i="3"/>
  <c r="G323" i="3"/>
  <c r="G374" i="3"/>
  <c r="G395" i="3"/>
  <c r="G397" i="3"/>
  <c r="G212" i="3"/>
  <c r="G225" i="3"/>
  <c r="G240" i="3"/>
  <c r="G247" i="3"/>
  <c r="G261" i="3"/>
  <c r="G276" i="3"/>
  <c r="G287" i="3"/>
  <c r="G298" i="3"/>
  <c r="G120" i="3"/>
  <c r="G126" i="3"/>
  <c r="G134" i="3"/>
  <c r="G150" i="3"/>
  <c r="G154" i="3"/>
  <c r="G158" i="3"/>
  <c r="G179" i="3"/>
  <c r="G183" i="3"/>
  <c r="G187" i="3"/>
  <c r="G205" i="3"/>
  <c r="G20" i="3"/>
  <c r="G31" i="3"/>
  <c r="G33" i="3"/>
  <c r="G39" i="3"/>
  <c r="G51" i="3"/>
  <c r="G58" i="3"/>
  <c r="G68" i="3"/>
  <c r="G85" i="3"/>
  <c r="G87" i="3"/>
  <c r="G96" i="3"/>
  <c r="G106" i="3"/>
  <c r="G112" i="3"/>
  <c r="K100" i="43"/>
  <c r="I15" i="66"/>
  <c r="D1" i="66" s="1"/>
  <c r="E10" i="66" s="1"/>
  <c r="C40" i="68"/>
  <c r="AB21" i="21"/>
  <c r="C29" i="39"/>
  <c r="B66" i="43"/>
  <c r="C59" i="71"/>
  <c r="D59" i="71" s="1"/>
  <c r="C55" i="71"/>
  <c r="D55" i="71" s="1"/>
  <c r="D64" i="71"/>
  <c r="O48" i="71"/>
  <c r="AB9" i="71"/>
  <c r="AB3" i="71"/>
  <c r="AB10" i="71"/>
  <c r="Y10" i="71"/>
  <c r="Z10" i="71" s="1"/>
  <c r="X14" i="71"/>
  <c r="Y11" i="71"/>
  <c r="Z11" i="71" s="1"/>
  <c r="AB11" i="71"/>
  <c r="Y12" i="71"/>
  <c r="Z12" i="71" s="1"/>
  <c r="AB12" i="71"/>
  <c r="F17" i="71"/>
  <c r="V17" i="71" s="1"/>
  <c r="BL587" i="3"/>
  <c r="AZ587" i="3" s="1"/>
  <c r="BA586" i="3"/>
  <c r="AZ586" i="3" s="1"/>
  <c r="BL585" i="3"/>
  <c r="AZ585" i="3" s="1"/>
  <c r="BA584" i="3"/>
  <c r="AZ584" i="3" s="1"/>
  <c r="BL583" i="3"/>
  <c r="AZ583" i="3" s="1"/>
  <c r="BA582" i="3"/>
  <c r="AZ582" i="3" s="1"/>
  <c r="BL581" i="3"/>
  <c r="AZ581" i="3" s="1"/>
  <c r="BA580" i="3"/>
  <c r="AZ580" i="3" s="1"/>
  <c r="BL579" i="3"/>
  <c r="AZ579" i="3" s="1"/>
  <c r="BA578" i="3"/>
  <c r="AZ578" i="3" s="1"/>
  <c r="BL577" i="3"/>
  <c r="AZ577" i="3" s="1"/>
  <c r="BA576" i="3"/>
  <c r="AZ576" i="3" s="1"/>
  <c r="BL575" i="3"/>
  <c r="AZ575" i="3" s="1"/>
  <c r="BA574" i="3"/>
  <c r="AZ574" i="3" s="1"/>
  <c r="BL573" i="3"/>
  <c r="AZ573" i="3" s="1"/>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AZ433" i="3"/>
  <c r="BL432" i="3"/>
  <c r="AZ432" i="3" s="1"/>
  <c r="AZ429" i="3"/>
  <c r="AZ428" i="3"/>
  <c r="BL427" i="3"/>
  <c r="AZ427" i="3" s="1"/>
  <c r="BL423" i="3"/>
  <c r="AZ423" i="3" s="1"/>
  <c r="AZ420" i="3"/>
  <c r="BL419" i="3"/>
  <c r="AZ419" i="3" s="1"/>
  <c r="AZ418" i="3"/>
  <c r="BL417" i="3"/>
  <c r="AZ417" i="3" s="1"/>
  <c r="AZ412" i="3"/>
  <c r="BL411" i="3"/>
  <c r="AZ411" i="3" s="1"/>
  <c r="AZ410" i="3"/>
  <c r="BL409" i="3"/>
  <c r="AZ409" i="3" s="1"/>
  <c r="AZ402" i="3"/>
  <c r="AZ396" i="3"/>
  <c r="BL395" i="3"/>
  <c r="AZ395" i="3" s="1"/>
  <c r="BL391" i="3"/>
  <c r="AZ391" i="3" s="1"/>
  <c r="BA384" i="3"/>
  <c r="BL380" i="3"/>
  <c r="AZ380" i="3" s="1"/>
  <c r="BA378" i="3"/>
  <c r="Y5" i="71"/>
  <c r="Z5" i="71" s="1"/>
  <c r="AB15" i="71"/>
  <c r="Y16" i="71"/>
  <c r="Z16" i="71" s="1"/>
  <c r="AB17" i="71"/>
  <c r="B40" i="71"/>
  <c r="B41" i="71" s="1"/>
  <c r="S41" i="71" s="1"/>
  <c r="E40" i="71"/>
  <c r="E41" i="71" s="1"/>
  <c r="U41" i="71" s="1"/>
  <c r="AF10" i="43"/>
  <c r="P74" i="67"/>
  <c r="C13" i="79"/>
  <c r="G7" i="77"/>
  <c r="BL440" i="3"/>
  <c r="AZ440" i="3" s="1"/>
  <c r="BL436" i="3"/>
  <c r="AZ436" i="3" s="1"/>
  <c r="BL434" i="3"/>
  <c r="AZ434" i="3" s="1"/>
  <c r="BL426" i="3"/>
  <c r="AZ426" i="3" s="1"/>
  <c r="BL424" i="3"/>
  <c r="AZ424" i="3" s="1"/>
  <c r="BL416" i="3"/>
  <c r="AZ416" i="3" s="1"/>
  <c r="BA415" i="3"/>
  <c r="AZ415" i="3" s="1"/>
  <c r="BL414" i="3"/>
  <c r="AZ414" i="3" s="1"/>
  <c r="BL408" i="3"/>
  <c r="AZ408" i="3" s="1"/>
  <c r="BL406" i="3"/>
  <c r="AZ406" i="3" s="1"/>
  <c r="BL404" i="3"/>
  <c r="AZ404" i="3" s="1"/>
  <c r="BL400" i="3"/>
  <c r="AZ400" i="3" s="1"/>
  <c r="BL398" i="3"/>
  <c r="AZ398" i="3" s="1"/>
  <c r="BL392" i="3"/>
  <c r="AZ392" i="3" s="1"/>
  <c r="BL388" i="3"/>
  <c r="AZ388" i="3" s="1"/>
  <c r="BL385" i="3"/>
  <c r="AZ385" i="3" s="1"/>
  <c r="BA382" i="3"/>
  <c r="BL379" i="3"/>
  <c r="AZ379" i="3" s="1"/>
  <c r="BL368" i="3"/>
  <c r="AZ368" i="3" s="1"/>
  <c r="AZ365" i="3"/>
  <c r="AZ361" i="3"/>
  <c r="BL360" i="3"/>
  <c r="AZ360" i="3" s="1"/>
  <c r="AZ359" i="3"/>
  <c r="BL352" i="3"/>
  <c r="AZ352" i="3" s="1"/>
  <c r="BL348" i="3"/>
  <c r="AZ348" i="3" s="1"/>
  <c r="BL346" i="3"/>
  <c r="AZ346" i="3" s="1"/>
  <c r="BL342" i="3"/>
  <c r="AZ342" i="3" s="1"/>
  <c r="AZ341" i="3"/>
  <c r="BL340" i="3"/>
  <c r="AZ340" i="3" s="1"/>
  <c r="BL337" i="3"/>
  <c r="AZ337"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L254" i="3"/>
  <c r="BL384" i="3"/>
  <c r="AZ384" i="3" s="1"/>
  <c r="BL382" i="3"/>
  <c r="BL378" i="3"/>
  <c r="AZ378" i="3" s="1"/>
  <c r="BL375" i="3"/>
  <c r="AZ375" i="3" s="1"/>
  <c r="BA372" i="3"/>
  <c r="AZ372" i="3" s="1"/>
  <c r="BL371" i="3"/>
  <c r="AZ371" i="3" s="1"/>
  <c r="BL366" i="3"/>
  <c r="AZ366" i="3" s="1"/>
  <c r="BL363" i="3"/>
  <c r="AZ363" i="3" s="1"/>
  <c r="BA358" i="3"/>
  <c r="AZ358" i="3" s="1"/>
  <c r="BL357" i="3"/>
  <c r="AZ357" i="3" s="1"/>
  <c r="BL355" i="3"/>
  <c r="AZ355" i="3" s="1"/>
  <c r="BA354" i="3"/>
  <c r="AZ354" i="3" s="1"/>
  <c r="BL353" i="3"/>
  <c r="AZ353" i="3" s="1"/>
  <c r="BL351" i="3"/>
  <c r="AZ351" i="3" s="1"/>
  <c r="BL349" i="3"/>
  <c r="AZ349" i="3" s="1"/>
  <c r="BL345" i="3"/>
  <c r="AZ345" i="3" s="1"/>
  <c r="BL343" i="3"/>
  <c r="AZ343" i="3" s="1"/>
  <c r="BL256" i="3"/>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L163" i="3"/>
  <c r="AZ163" i="3" s="1"/>
  <c r="BA162" i="3"/>
  <c r="AZ162" i="3" s="1"/>
  <c r="BA158" i="3"/>
  <c r="AZ158" i="3" s="1"/>
  <c r="BL157" i="3"/>
  <c r="AZ157" i="3" s="1"/>
  <c r="BA156" i="3"/>
  <c r="AZ156" i="3" s="1"/>
  <c r="BL155" i="3"/>
  <c r="AZ155" i="3" s="1"/>
  <c r="BA154" i="3"/>
  <c r="AZ154" i="3" s="1"/>
  <c r="BL153" i="3"/>
  <c r="AZ153" i="3" s="1"/>
  <c r="BL145" i="3"/>
  <c r="AZ145" i="3" s="1"/>
  <c r="BL143" i="3"/>
  <c r="AZ143" i="3" s="1"/>
  <c r="BL141" i="3"/>
  <c r="AZ141" i="3" s="1"/>
  <c r="BL139" i="3"/>
  <c r="AZ139" i="3" s="1"/>
  <c r="BL105" i="3"/>
  <c r="BA105" i="3"/>
  <c r="BL104" i="3"/>
  <c r="AZ104" i="3" s="1"/>
  <c r="BL101" i="3"/>
  <c r="BA101" i="3"/>
  <c r="AZ101" i="3" s="1"/>
  <c r="BL100" i="3"/>
  <c r="AZ100" i="3" s="1"/>
  <c r="BA167" i="3"/>
  <c r="AZ167" i="3" s="1"/>
  <c r="BL166" i="3"/>
  <c r="AZ166" i="3" s="1"/>
  <c r="BA165" i="3"/>
  <c r="AZ165" i="3" s="1"/>
  <c r="BL164" i="3"/>
  <c r="AZ164" i="3" s="1"/>
  <c r="BA151" i="3"/>
  <c r="AZ151" i="3" s="1"/>
  <c r="BL150" i="3"/>
  <c r="AZ150" i="3" s="1"/>
  <c r="AZ149" i="3"/>
  <c r="BL148" i="3"/>
  <c r="AZ148" i="3" s="1"/>
  <c r="AZ147" i="3"/>
  <c r="BL146" i="3"/>
  <c r="AZ146"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L103" i="3"/>
  <c r="BA103" i="3"/>
  <c r="BL102" i="3"/>
  <c r="AZ102" i="3" s="1"/>
  <c r="BL99" i="3"/>
  <c r="BA99" i="3"/>
  <c r="AZ99" i="3" s="1"/>
  <c r="G19" i="43"/>
  <c r="C42" i="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L48" i="3"/>
  <c r="AZ48" i="3" s="1"/>
  <c r="BA47" i="3"/>
  <c r="AZ47" i="3" s="1"/>
  <c r="BL46" i="3"/>
  <c r="AZ46"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A16" i="3"/>
  <c r="AZ16" i="3" s="1"/>
  <c r="N30" i="78"/>
  <c r="E28" i="80"/>
  <c r="BL15" i="3"/>
  <c r="BA15" i="3"/>
  <c r="BA14" i="3"/>
  <c r="AZ14" i="3" s="1"/>
  <c r="BL13" i="3"/>
  <c r="AZ13" i="3" s="1"/>
  <c r="P16" i="1"/>
  <c r="C11" i="12" s="1"/>
  <c r="C15" i="12" s="1"/>
  <c r="O16" i="1"/>
  <c r="C23" i="12"/>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G68" i="39"/>
  <c r="F70" i="39"/>
  <c r="G58" i="33"/>
  <c r="H58" i="33" s="1"/>
  <c r="I58" i="33" s="1"/>
  <c r="J58" i="33" s="1"/>
  <c r="K58" i="33" s="1"/>
  <c r="L58" i="33" s="1"/>
  <c r="M58" i="33" s="1"/>
  <c r="N58" i="33" s="1"/>
  <c r="O58" i="33" s="1"/>
  <c r="J59" i="34"/>
  <c r="K59" i="34" s="1"/>
  <c r="L59" i="34" s="1"/>
  <c r="M59" i="34" s="1"/>
  <c r="N59" i="34" s="1"/>
  <c r="O59" i="34" s="1"/>
  <c r="H7" i="34"/>
  <c r="I58" i="21"/>
  <c r="J58" i="21" s="1"/>
  <c r="K58" i="21" s="1"/>
  <c r="L58" i="21" s="1"/>
  <c r="M58" i="21" s="1"/>
  <c r="N58" i="21" s="1"/>
  <c r="O58" i="21" s="1"/>
  <c r="F63" i="40"/>
  <c r="E65" i="40"/>
  <c r="L48" i="35"/>
  <c r="M48" i="35" s="1"/>
  <c r="N48" i="35" s="1"/>
  <c r="O48" i="35" s="1"/>
  <c r="B30" i="72"/>
  <c r="D12" i="52"/>
  <c r="D127" i="9"/>
  <c r="D13" i="52" s="1"/>
  <c r="C36" i="11"/>
  <c r="H7" i="21"/>
  <c r="F7" i="34"/>
  <c r="J7" i="21"/>
  <c r="J7" i="34"/>
  <c r="W23" i="21"/>
  <c r="U19" i="33"/>
  <c r="U11" i="37"/>
  <c r="AB32" i="39"/>
  <c r="S32" i="21"/>
  <c r="U36" i="33"/>
  <c r="AB36" i="33"/>
  <c r="S33" i="21"/>
  <c r="AA33" i="21"/>
  <c r="D46" i="36"/>
  <c r="L27" i="6"/>
  <c r="E107" i="43"/>
  <c r="E109"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S12" i="21"/>
  <c r="AA12" i="21"/>
  <c r="W10" i="33"/>
  <c r="W32" i="33"/>
  <c r="C48" i="69"/>
  <c r="C30" i="69"/>
  <c r="M6" i="1"/>
  <c r="AC17" i="21"/>
  <c r="W17" i="21"/>
  <c r="W37" i="21"/>
  <c r="AC37" i="21"/>
  <c r="AC15" i="21"/>
  <c r="AA37" i="21"/>
  <c r="S37" i="21"/>
  <c r="E52" i="37"/>
  <c r="I109" i="43"/>
  <c r="I102" i="43"/>
  <c r="I106" i="43"/>
  <c r="I103" i="43"/>
  <c r="D109" i="43"/>
  <c r="D103" i="43"/>
  <c r="D104" i="43"/>
  <c r="D107" i="43"/>
  <c r="E60" i="40"/>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I17" i="43"/>
  <c r="H17" i="43"/>
  <c r="J17" i="43"/>
  <c r="K13" i="1"/>
  <c r="Q16" i="1" s="1"/>
  <c r="F27" i="68" s="1"/>
  <c r="G100" i="43"/>
  <c r="N100" i="43"/>
  <c r="D45" i="71"/>
  <c r="D17" i="71"/>
  <c r="O46" i="71"/>
  <c r="D16" i="71"/>
  <c r="D31" i="71"/>
  <c r="C32" i="71"/>
  <c r="G17" i="77"/>
  <c r="O18" i="77" s="1"/>
  <c r="V21" i="71"/>
  <c r="M19" i="43"/>
  <c r="D39" i="71"/>
  <c r="C40" i="71"/>
  <c r="F48" i="71"/>
  <c r="AH10" i="43"/>
  <c r="AD10" i="43"/>
  <c r="Z10" i="43"/>
  <c r="AG10" i="43"/>
  <c r="AC10" i="43"/>
  <c r="D48" i="71"/>
  <c r="AA8" i="71"/>
  <c r="AA6" i="71"/>
  <c r="E9" i="71"/>
  <c r="AB8" i="71"/>
  <c r="AB6" i="71"/>
  <c r="F9" i="71"/>
  <c r="F8" i="71" s="1"/>
  <c r="F7" i="71" s="1"/>
  <c r="F6" i="71" s="1"/>
  <c r="F5" i="71" s="1"/>
  <c r="BL168" i="3"/>
  <c r="AZ168" i="3" s="1"/>
  <c r="BA45" i="3"/>
  <c r="AZ45" i="3" s="1"/>
  <c r="BL42" i="3"/>
  <c r="BA41" i="3"/>
  <c r="BL44" i="3"/>
  <c r="AZ44" i="3" s="1"/>
  <c r="BA43" i="3"/>
  <c r="AZ43" i="3" s="1"/>
  <c r="AZ15" i="3"/>
  <c r="C1" i="73"/>
  <c r="I15" i="4"/>
  <c r="F6" i="1" s="1"/>
  <c r="C28" i="80"/>
  <c r="K25" i="80"/>
  <c r="K28" i="80" s="1"/>
  <c r="F34" i="68"/>
  <c r="C36" i="68" s="1"/>
  <c r="D9" i="68"/>
  <c r="M23" i="15"/>
  <c r="F38" i="15"/>
  <c r="M8" i="15"/>
  <c r="F16" i="15"/>
  <c r="C17" i="67"/>
  <c r="F7" i="15"/>
  <c r="J15" i="15"/>
  <c r="M9" i="15"/>
  <c r="C14" i="67"/>
  <c r="L48" i="15"/>
  <c r="F40" i="15"/>
  <c r="M24" i="15"/>
  <c r="F37" i="15"/>
  <c r="F8" i="15"/>
  <c r="M22" i="15"/>
  <c r="M6" i="15"/>
  <c r="F43" i="15"/>
  <c r="F42" i="15"/>
  <c r="M28" i="15"/>
  <c r="M26" i="15"/>
  <c r="F36" i="15"/>
  <c r="C16" i="67"/>
  <c r="F9" i="15"/>
  <c r="F26" i="15"/>
  <c r="B28" i="3" l="1"/>
  <c r="AW28" i="3" s="1"/>
  <c r="C19" i="43"/>
  <c r="J7" i="35"/>
  <c r="D25" i="71"/>
  <c r="T25" i="71"/>
  <c r="AA36" i="40"/>
  <c r="S36" i="40"/>
  <c r="W36" i="40"/>
  <c r="AC36" i="40"/>
  <c r="G5" i="3"/>
  <c r="B3" i="3" s="1"/>
  <c r="E587" i="3" s="1"/>
  <c r="B8" i="71"/>
  <c r="B7" i="71" s="1"/>
  <c r="B6" i="71" s="1"/>
  <c r="B5" i="71" s="1"/>
  <c r="S9" i="71"/>
  <c r="D8" i="71"/>
  <c r="C7" i="71"/>
  <c r="T37" i="71"/>
  <c r="D37" i="71"/>
  <c r="D20" i="71"/>
  <c r="C21" i="71"/>
  <c r="AC34" i="35"/>
  <c r="W34" i="35"/>
  <c r="AB26" i="35"/>
  <c r="U26" i="35"/>
  <c r="AB36" i="40"/>
  <c r="U36" i="40"/>
  <c r="E102" i="43"/>
  <c r="E105" i="43"/>
  <c r="E104" i="43"/>
  <c r="I115" i="43"/>
  <c r="J115" i="43" s="1"/>
  <c r="K115" i="43" s="1"/>
  <c r="L115" i="43" s="1"/>
  <c r="M115" i="43" s="1"/>
  <c r="D118" i="43"/>
  <c r="E118" i="43" s="1"/>
  <c r="F118" i="43" s="1"/>
  <c r="E28" i="6"/>
  <c r="G102" i="43"/>
  <c r="B115" i="43"/>
  <c r="C115" i="43" s="1"/>
  <c r="B118" i="43"/>
  <c r="C118" i="43" s="1"/>
  <c r="D116" i="43"/>
  <c r="E116" i="43" s="1"/>
  <c r="F116" i="43" s="1"/>
  <c r="G116" i="43" s="1"/>
  <c r="H116" i="43" s="1"/>
  <c r="I107" i="43"/>
  <c r="I105" i="43"/>
  <c r="I104" i="43"/>
  <c r="G105" i="43"/>
  <c r="G107" i="43"/>
  <c r="G106" i="43"/>
  <c r="G104" i="43"/>
  <c r="G109" i="43"/>
  <c r="E16" i="6"/>
  <c r="E65" i="39"/>
  <c r="E63" i="39"/>
  <c r="C104" i="43"/>
  <c r="C105" i="43"/>
  <c r="C109" i="43"/>
  <c r="C107" i="43"/>
  <c r="C106" i="43"/>
  <c r="C102" i="43"/>
  <c r="C103" i="43"/>
  <c r="L109" i="43"/>
  <c r="L102" i="43"/>
  <c r="L104" i="43"/>
  <c r="L106" i="43"/>
  <c r="L107" i="43"/>
  <c r="L103" i="43"/>
  <c r="L105" i="43"/>
  <c r="M102" i="43"/>
  <c r="M103" i="43"/>
  <c r="N102" i="43"/>
  <c r="N103" i="43"/>
  <c r="N106" i="43"/>
  <c r="N104" i="43"/>
  <c r="N105" i="43"/>
  <c r="N107" i="43"/>
  <c r="N109" i="43"/>
  <c r="H102" i="43"/>
  <c r="H103" i="43"/>
  <c r="H104" i="43"/>
  <c r="H109" i="43"/>
  <c r="H107" i="43"/>
  <c r="H106" i="43"/>
  <c r="H105" i="43"/>
  <c r="H7" i="33"/>
  <c r="C24" i="12"/>
  <c r="C77" i="9"/>
  <c r="C74" i="9" s="1"/>
  <c r="C13" i="12"/>
  <c r="AB26" i="37"/>
  <c r="U26" i="37"/>
  <c r="AC12" i="36"/>
  <c r="W12" i="36"/>
  <c r="E61" i="39"/>
  <c r="E56" i="40"/>
  <c r="C13" i="71"/>
  <c r="D12" i="71"/>
  <c r="C16" i="43"/>
  <c r="C5" i="43" s="1"/>
  <c r="F7" i="35"/>
  <c r="O19" i="43"/>
  <c r="P21" i="43"/>
  <c r="P23" i="43"/>
  <c r="B71" i="39" s="1"/>
  <c r="P25" i="43"/>
  <c r="P22" i="43"/>
  <c r="P24" i="43"/>
  <c r="B66" i="40" s="1"/>
  <c r="AZ103" i="3"/>
  <c r="AZ105" i="3"/>
  <c r="AZ382" i="3"/>
  <c r="AA26" i="37"/>
  <c r="S26" i="37"/>
  <c r="AB12" i="36"/>
  <c r="U12" i="36"/>
  <c r="C28" i="67"/>
  <c r="B4" i="62"/>
  <c r="B71" i="72" s="1"/>
  <c r="K4" i="4"/>
  <c r="B46" i="48" s="1"/>
  <c r="B4" i="72" s="1"/>
  <c r="C49" i="67"/>
  <c r="F68" i="15"/>
  <c r="F65" i="15"/>
  <c r="C18" i="67"/>
  <c r="C15" i="67"/>
  <c r="C9" i="68"/>
  <c r="C47" i="68"/>
  <c r="D45" i="68" s="1"/>
  <c r="C29" i="68"/>
  <c r="D27" i="68" s="1"/>
  <c r="F71" i="15"/>
  <c r="F51" i="15"/>
  <c r="I54" i="15"/>
  <c r="J57" i="15"/>
  <c r="J55" i="15" s="1"/>
  <c r="J58" i="15" s="1"/>
  <c r="Q50" i="15" s="1"/>
  <c r="J53" i="15"/>
  <c r="L56" i="15" s="1"/>
  <c r="F64" i="15"/>
  <c r="F66" i="15"/>
  <c r="C27" i="15"/>
  <c r="M7" i="15"/>
  <c r="F50" i="15"/>
  <c r="F28" i="12"/>
  <c r="C29" i="12" s="1"/>
  <c r="D28" i="12" s="1"/>
  <c r="F27" i="11"/>
  <c r="F27" i="69"/>
  <c r="I20" i="43"/>
  <c r="C10" i="40"/>
  <c r="G6" i="1"/>
  <c r="G16" i="1" s="1"/>
  <c r="AZ41" i="3"/>
  <c r="BA5" i="3"/>
  <c r="E27" i="6" s="1"/>
  <c r="K20" i="6" s="1"/>
  <c r="M20" i="6" s="1"/>
  <c r="I20" i="6" s="1"/>
  <c r="S20" i="6" s="1"/>
  <c r="V9" i="71"/>
  <c r="E8" i="71"/>
  <c r="E7" i="71" s="1"/>
  <c r="E6" i="71" s="1"/>
  <c r="E5" i="71" s="1"/>
  <c r="M18" i="77"/>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F52" i="37"/>
  <c r="G52" i="37" s="1"/>
  <c r="H52" i="37" s="1"/>
  <c r="I52" i="37" s="1"/>
  <c r="J52" i="37" s="1"/>
  <c r="K52" i="37" s="1"/>
  <c r="L52" i="37" s="1"/>
  <c r="M52" i="37" s="1"/>
  <c r="N52" i="37" s="1"/>
  <c r="O52" i="37" s="1"/>
  <c r="U28" i="40"/>
  <c r="AB28" i="40"/>
  <c r="E46" i="36"/>
  <c r="F46" i="36" s="1"/>
  <c r="G46" i="36" s="1"/>
  <c r="H46" i="36" s="1"/>
  <c r="I46" i="36" s="1"/>
  <c r="J46" i="36" s="1"/>
  <c r="K46" i="36" s="1"/>
  <c r="L46" i="36" s="1"/>
  <c r="M46" i="36" s="1"/>
  <c r="N46" i="36" s="1"/>
  <c r="O46" i="36" s="1"/>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AA35" i="40"/>
  <c r="S35" i="40"/>
  <c r="AC35" i="40"/>
  <c r="W35" i="40"/>
  <c r="AC28" i="40"/>
  <c r="W28" i="40"/>
  <c r="AA28" i="40"/>
  <c r="S28" i="40"/>
  <c r="H16" i="1"/>
  <c r="F7" i="36"/>
  <c r="W7" i="34"/>
  <c r="AC7" i="34"/>
  <c r="V49" i="34" s="1"/>
  <c r="I49" i="34" s="1"/>
  <c r="S7" i="34"/>
  <c r="AA7" i="34"/>
  <c r="R49" i="34" s="1"/>
  <c r="H7" i="35"/>
  <c r="F7" i="21"/>
  <c r="J7" i="33"/>
  <c r="F7" i="33"/>
  <c r="Q60" i="67"/>
  <c r="Q73" i="67"/>
  <c r="C16" i="15"/>
  <c r="D21" i="71" l="1"/>
  <c r="T21" i="71"/>
  <c r="D7" i="71"/>
  <c r="C6" i="71"/>
  <c r="D113" i="43"/>
  <c r="E66" i="39"/>
  <c r="C23" i="43"/>
  <c r="S4" i="43"/>
  <c r="S5" i="43"/>
  <c r="S2" i="43"/>
  <c r="S6" i="43"/>
  <c r="S3" i="43"/>
  <c r="S7" i="43"/>
  <c r="H7" i="37"/>
  <c r="AB7" i="37" s="1"/>
  <c r="T42" i="37" s="1"/>
  <c r="G42" i="37" s="1"/>
  <c r="T13" i="71"/>
  <c r="D13" i="71"/>
  <c r="AC6" i="3"/>
  <c r="J7" i="36"/>
  <c r="W7" i="36" s="1"/>
  <c r="F7" i="37"/>
  <c r="AA7" i="37" s="1"/>
  <c r="R42" i="37" s="1"/>
  <c r="J7" i="37"/>
  <c r="AC7" i="37" s="1"/>
  <c r="V42" i="37" s="1"/>
  <c r="I42" i="37" s="1"/>
  <c r="AZ5" i="3"/>
  <c r="AY6" i="3" s="1"/>
  <c r="C19" i="67"/>
  <c r="C20" i="67" s="1"/>
  <c r="L16" i="1"/>
  <c r="C34" i="11"/>
  <c r="E49" i="34"/>
  <c r="I54" i="34" s="1"/>
  <c r="J54" i="34" s="1"/>
  <c r="R50" i="34"/>
  <c r="I53" i="34"/>
  <c r="J53" i="34" s="1"/>
  <c r="S7" i="36"/>
  <c r="AA7" i="36"/>
  <c r="R36" i="36" s="1"/>
  <c r="U7" i="37"/>
  <c r="AC7" i="36"/>
  <c r="V36" i="36" s="1"/>
  <c r="I36" i="36" s="1"/>
  <c r="S7" i="37"/>
  <c r="W7" i="37"/>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C49" i="15"/>
  <c r="J6" i="15"/>
  <c r="W7" i="33"/>
  <c r="AC7" i="33"/>
  <c r="V48" i="33" s="1"/>
  <c r="I48" i="33" s="1"/>
  <c r="S7" i="33"/>
  <c r="AA7" i="33"/>
  <c r="R48" i="33" s="1"/>
  <c r="AA7" i="21"/>
  <c r="R48" i="21" s="1"/>
  <c r="S7" i="21"/>
  <c r="U7" i="35"/>
  <c r="AB7" i="35"/>
  <c r="T38" i="35" s="1"/>
  <c r="G38" i="35" s="1"/>
  <c r="S6" i="1"/>
  <c r="M19" i="6"/>
  <c r="K27" i="6"/>
  <c r="H6" i="3"/>
  <c r="T33" i="71"/>
  <c r="D33" i="71"/>
  <c r="T41" i="71"/>
  <c r="D41" i="71"/>
  <c r="Q46" i="71"/>
  <c r="Q47" i="71"/>
  <c r="I68" i="39"/>
  <c r="H70" i="39"/>
  <c r="G52" i="33"/>
  <c r="H52" i="33" s="1"/>
  <c r="G53" i="33"/>
  <c r="H53" i="33" s="1"/>
  <c r="H63" i="40"/>
  <c r="G65" i="40"/>
  <c r="I52" i="21"/>
  <c r="J52" i="21" s="1"/>
  <c r="H7" i="36"/>
  <c r="K16" i="1"/>
  <c r="B29" i="1" s="1"/>
  <c r="I42" i="35"/>
  <c r="J42" i="35" s="1"/>
  <c r="I43" i="35"/>
  <c r="J43" i="35" s="1"/>
  <c r="Y6" i="1"/>
  <c r="C47" i="11"/>
  <c r="D45" i="11" s="1"/>
  <c r="C29" i="11"/>
  <c r="D27" i="11" s="1"/>
  <c r="D6" i="73"/>
  <c r="F7" i="73"/>
  <c r="F13" i="15"/>
  <c r="F3" i="73"/>
  <c r="F5" i="73"/>
  <c r="D3" i="73"/>
  <c r="F4" i="73"/>
  <c r="D5" i="73"/>
  <c r="AE6" i="1"/>
  <c r="D7" i="73"/>
  <c r="D4" i="73"/>
  <c r="F6" i="73"/>
  <c r="C17" i="15"/>
  <c r="D6" i="71" l="1"/>
  <c r="C5" i="71"/>
  <c r="D5" i="71" s="1"/>
  <c r="K1" i="73"/>
  <c r="E6" i="3"/>
  <c r="E3" i="6"/>
  <c r="N31" i="78"/>
  <c r="N32" i="7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7" i="37" s="1"/>
  <c r="J47" i="37" s="1"/>
  <c r="I40" i="36"/>
  <c r="J40" i="36" s="1"/>
  <c r="G46" i="37"/>
  <c r="H46" i="37" s="1"/>
  <c r="G47" i="37"/>
  <c r="H47" i="37" s="1"/>
  <c r="E36" i="36"/>
  <c r="I41" i="36" s="1"/>
  <c r="J41" i="36" s="1"/>
  <c r="R37" i="36"/>
  <c r="C49" i="34"/>
  <c r="C50" i="34"/>
  <c r="C26" i="67"/>
  <c r="N16" i="1"/>
  <c r="E6" i="6"/>
  <c r="D10" i="68" s="1"/>
  <c r="D19" i="68" s="1"/>
  <c r="D37" i="68" s="1"/>
  <c r="C37" i="68" s="1"/>
  <c r="D14" i="12"/>
  <c r="D19" i="11"/>
  <c r="C19" i="11" s="1"/>
  <c r="D3" i="37"/>
  <c r="H108" i="9"/>
  <c r="D15" i="53" s="1"/>
  <c r="B31" i="72" s="1"/>
  <c r="M27" i="6"/>
  <c r="I19" i="6"/>
  <c r="G42" i="35"/>
  <c r="H42" i="35" s="1"/>
  <c r="G43" i="35"/>
  <c r="H43" i="35" s="1"/>
  <c r="E48" i="33"/>
  <c r="R49" i="33"/>
  <c r="I52" i="33"/>
  <c r="J52" i="33" s="1"/>
  <c r="I53" i="33"/>
  <c r="J53" i="33" s="1"/>
  <c r="AB10" i="39"/>
  <c r="U10" i="39"/>
  <c r="S10" i="39"/>
  <c r="AA10" i="39"/>
  <c r="AA10" i="40"/>
  <c r="S10" i="40"/>
  <c r="C39" i="35"/>
  <c r="B2" i="35" s="1"/>
  <c r="B3" i="35" s="1"/>
  <c r="C38" i="35"/>
  <c r="I46" i="37"/>
  <c r="J46" i="37" s="1"/>
  <c r="E54" i="34"/>
  <c r="F54" i="34" s="1"/>
  <c r="E53" i="34"/>
  <c r="F53" i="34" s="1"/>
  <c r="C38"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34" i="68"/>
  <c r="F6" i="15"/>
  <c r="G1" i="73"/>
  <c r="M27" i="15"/>
  <c r="F41" i="15"/>
  <c r="C14" i="15"/>
  <c r="C10" i="68" l="1"/>
  <c r="C8" i="68" s="1"/>
  <c r="G37" i="6"/>
  <c r="M18" i="9"/>
  <c r="B118" i="9" s="1"/>
  <c r="B14" i="74" s="1"/>
  <c r="B1" i="74" s="1"/>
  <c r="M20" i="43"/>
  <c r="F69" i="15"/>
  <c r="D37" i="11"/>
  <c r="C37" i="11" s="1"/>
  <c r="C33" i="11" s="1"/>
  <c r="C39" i="11" s="1"/>
  <c r="D3" i="33"/>
  <c r="D3" i="34"/>
  <c r="C17" i="4"/>
  <c r="B4" i="52" s="1"/>
  <c r="B43" i="72" s="1"/>
  <c r="D3" i="21"/>
  <c r="B40" i="1"/>
  <c r="F24" i="15" s="1"/>
  <c r="C24" i="15" s="1"/>
  <c r="C6" i="15"/>
  <c r="C35" i="68"/>
  <c r="C38" i="68"/>
  <c r="C15" i="15"/>
  <c r="C18" i="15"/>
  <c r="D19" i="6"/>
  <c r="H19" i="6"/>
  <c r="D26" i="6"/>
  <c r="C18" i="4"/>
  <c r="D8" i="6"/>
  <c r="D23" i="6"/>
  <c r="D14" i="6"/>
  <c r="D5" i="6"/>
  <c r="D12" i="6"/>
  <c r="D11" i="6"/>
  <c r="D13" i="6"/>
  <c r="D29" i="6"/>
  <c r="H25" i="6"/>
  <c r="H22" i="6"/>
  <c r="H21" i="6"/>
  <c r="H24" i="6"/>
  <c r="C34" i="40"/>
  <c r="H20" i="6"/>
  <c r="D25" i="6"/>
  <c r="R25" i="6" s="1"/>
  <c r="D15" i="6"/>
  <c r="D22" i="6"/>
  <c r="D21" i="6"/>
  <c r="D24" i="6"/>
  <c r="D20" i="6"/>
  <c r="D6" i="6"/>
  <c r="D9" i="6"/>
  <c r="D10" i="6"/>
  <c r="D28" i="6"/>
  <c r="D30" i="6" s="1"/>
  <c r="E61" i="40"/>
  <c r="H23" i="6"/>
  <c r="H26" i="6"/>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C48" i="33"/>
  <c r="L18" i="9"/>
  <c r="S19" i="6"/>
  <c r="S27" i="6" s="1"/>
  <c r="I27" i="6"/>
  <c r="F50" i="69"/>
  <c r="F50" i="11"/>
  <c r="F50" i="68"/>
  <c r="B2" i="34"/>
  <c r="B3" i="34" s="1"/>
  <c r="C37" i="36"/>
  <c r="B2" i="36" s="1"/>
  <c r="B3" i="36" s="1"/>
  <c r="C36" i="36"/>
  <c r="E47" i="37"/>
  <c r="F47" i="37" s="1"/>
  <c r="E46" i="37"/>
  <c r="F46" i="37" s="1"/>
  <c r="C49" i="21"/>
  <c r="C48" i="21"/>
  <c r="G40" i="36"/>
  <c r="H40" i="36" s="1"/>
  <c r="G41" i="36"/>
  <c r="H41" i="36" s="1"/>
  <c r="P17" i="43"/>
  <c r="G20" i="43" s="1"/>
  <c r="N17" i="43"/>
  <c r="O17" i="43"/>
  <c r="M17" i="43"/>
  <c r="C8" i="74" l="1"/>
  <c r="C6" i="74"/>
  <c r="B2" i="33"/>
  <c r="B3" i="33" s="1"/>
  <c r="R20" i="6"/>
  <c r="B2" i="21"/>
  <c r="B3" i="21" s="1"/>
  <c r="R24" i="6"/>
  <c r="R22" i="6"/>
  <c r="R21" i="6"/>
  <c r="F24" i="67"/>
  <c r="C24" i="67" s="1"/>
  <c r="F22" i="11"/>
  <c r="C23" i="11" s="1"/>
  <c r="F22" i="68"/>
  <c r="C26" i="68" s="1"/>
  <c r="D22" i="68" s="1"/>
  <c r="F22" i="69"/>
  <c r="C26" i="69" s="1"/>
  <c r="D22" i="69" s="1"/>
  <c r="F25" i="12"/>
  <c r="C26" i="12" s="1"/>
  <c r="D25" i="12" s="1"/>
  <c r="C33" i="68"/>
  <c r="C39" i="68" s="1"/>
  <c r="C19" i="15"/>
  <c r="C20" i="15" s="1"/>
  <c r="J24" i="67"/>
  <c r="J18" i="67"/>
  <c r="J26" i="67"/>
  <c r="J29" i="67" s="1"/>
  <c r="J18" i="15"/>
  <c r="J24" i="15"/>
  <c r="K63" i="40"/>
  <c r="J65" i="40"/>
  <c r="K70" i="39"/>
  <c r="L68" i="39"/>
  <c r="C21" i="12"/>
  <c r="C28" i="11"/>
  <c r="C27" i="11" s="1"/>
  <c r="C46" i="11"/>
  <c r="C45" i="11" s="1"/>
  <c r="R23" i="6"/>
  <c r="A7" i="51"/>
  <c r="B7" i="72" s="1"/>
  <c r="C4" i="52"/>
  <c r="B45" i="72" s="1"/>
  <c r="A10" i="51"/>
  <c r="B9" i="72" s="1"/>
  <c r="H27" i="6"/>
  <c r="C10" i="15"/>
  <c r="C5" i="15" s="1"/>
  <c r="C26" i="11"/>
  <c r="D22" i="11" s="1"/>
  <c r="C20" i="43"/>
  <c r="L52" i="15"/>
  <c r="C10" i="67"/>
  <c r="C5" i="67" s="1"/>
  <c r="C53" i="67"/>
  <c r="C48" i="67" s="1"/>
  <c r="C66" i="15"/>
  <c r="C60" i="15"/>
  <c r="C10" i="69"/>
  <c r="C8" i="69" s="1"/>
  <c r="C5" i="69" s="1"/>
  <c r="D19" i="69"/>
  <c r="J34" i="40"/>
  <c r="H34" i="40"/>
  <c r="F34" i="40"/>
  <c r="D16" i="6"/>
  <c r="R26" i="6"/>
  <c r="R19" i="6"/>
  <c r="L19" i="9"/>
  <c r="M19" i="9"/>
  <c r="C118" i="9" s="1"/>
  <c r="C14" i="74" s="1"/>
  <c r="B2" i="74" s="1"/>
  <c r="D27" i="6"/>
  <c r="D31" i="6" s="1"/>
  <c r="C25" i="11" l="1"/>
  <c r="C42" i="11"/>
  <c r="C24" i="11"/>
  <c r="C44" i="11"/>
  <c r="D41" i="11" s="1"/>
  <c r="C43" i="11"/>
  <c r="C23" i="67"/>
  <c r="C29" i="67" s="1"/>
  <c r="C24" i="68"/>
  <c r="C44" i="68"/>
  <c r="D41" i="68" s="1"/>
  <c r="C43" i="68"/>
  <c r="C44" i="69"/>
  <c r="D41" i="69" s="1"/>
  <c r="C42" i="68"/>
  <c r="C26" i="15"/>
  <c r="C23" i="15"/>
  <c r="C46" i="68"/>
  <c r="C45" i="68" s="1"/>
  <c r="C32" i="15"/>
  <c r="C38" i="15"/>
  <c r="D6" i="74"/>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2" i="12"/>
  <c r="C30" i="12" s="1"/>
  <c r="C28" i="12" s="1"/>
  <c r="K65" i="40"/>
  <c r="L63" i="40"/>
  <c r="F35" i="15"/>
  <c r="M21" i="15"/>
  <c r="C41" i="68" l="1"/>
  <c r="C49" i="68" s="1"/>
  <c r="C51" i="68" s="1"/>
  <c r="C41" i="11"/>
  <c r="C49" i="11" s="1"/>
  <c r="C51" i="11" s="1"/>
  <c r="C52" i="11" s="1"/>
  <c r="B2" i="11" s="1"/>
  <c r="B3" i="11" s="1"/>
  <c r="C29" i="15"/>
  <c r="C33" i="15" s="1"/>
  <c r="C27" i="12"/>
  <c r="C25" i="12" s="1"/>
  <c r="C32" i="12" s="1"/>
  <c r="B2" i="12" s="1"/>
  <c r="B3" i="12" s="1"/>
  <c r="J20" i="15"/>
  <c r="F63" i="15"/>
  <c r="C62" i="15" s="1"/>
  <c r="C34" i="15"/>
  <c r="L65" i="40"/>
  <c r="M63" i="40"/>
  <c r="C13" i="67"/>
  <c r="J19" i="67"/>
  <c r="J17" i="67" s="1"/>
  <c r="C36" i="67"/>
  <c r="C33" i="67"/>
  <c r="C31" i="67" s="1"/>
  <c r="C57" i="67"/>
  <c r="Q49" i="67"/>
  <c r="J14" i="67"/>
  <c r="J59" i="67"/>
  <c r="J60" i="67" s="1"/>
  <c r="Q73" i="15"/>
  <c r="Q60" i="15"/>
  <c r="C39" i="69"/>
  <c r="C43" i="69" s="1"/>
  <c r="C42" i="69"/>
  <c r="E38" i="43"/>
  <c r="G38" i="43"/>
  <c r="I38" i="43" s="1"/>
  <c r="E34" i="43"/>
  <c r="G34" i="43"/>
  <c r="I34" i="43" s="1"/>
  <c r="E36" i="43"/>
  <c r="G36" i="43"/>
  <c r="I36" i="43" s="1"/>
  <c r="C20" i="69"/>
  <c r="C25" i="69" s="1"/>
  <c r="C22" i="69" s="1"/>
  <c r="R16" i="1"/>
  <c r="Q74" i="15"/>
  <c r="Q61" i="15"/>
  <c r="N68" i="39"/>
  <c r="M70" i="39"/>
  <c r="E37" i="43"/>
  <c r="G37" i="43"/>
  <c r="I37" i="43" s="1"/>
  <c r="E33" i="43"/>
  <c r="G33" i="43"/>
  <c r="I33" i="43" s="1"/>
  <c r="E29" i="43"/>
  <c r="C30" i="43"/>
  <c r="E30" i="43" s="1"/>
  <c r="E40" i="9" s="1"/>
  <c r="C38" i="9" s="1"/>
  <c r="H106" i="9" s="1"/>
  <c r="E35" i="43"/>
  <c r="G35" i="43"/>
  <c r="I35" i="43" s="1"/>
  <c r="C6" i="68" l="1"/>
  <c r="D12" i="53"/>
  <c r="B28" i="72" s="1"/>
  <c r="H103" i="9"/>
  <c r="J59" i="15"/>
  <c r="J60" i="15" s="1"/>
  <c r="Q48" i="15" s="1"/>
  <c r="J19" i="15"/>
  <c r="J17" i="15" s="1"/>
  <c r="C56" i="11"/>
  <c r="C57" i="11" s="1"/>
  <c r="C46" i="69"/>
  <c r="C45" i="69" s="1"/>
  <c r="C57" i="15"/>
  <c r="C64" i="15" s="1"/>
  <c r="C36" i="15"/>
  <c r="Q49" i="15"/>
  <c r="J14" i="15"/>
  <c r="J22" i="15" s="1"/>
  <c r="C13" i="15"/>
  <c r="C37" i="15" s="1"/>
  <c r="C31" i="15"/>
  <c r="C41" i="69"/>
  <c r="C28" i="69"/>
  <c r="C27" i="69" s="1"/>
  <c r="C31" i="69" s="1"/>
  <c r="C26" i="43"/>
  <c r="O68" i="39"/>
  <c r="O70" i="39" s="1"/>
  <c r="F7" i="39" s="1"/>
  <c r="N70" i="39"/>
  <c r="J7" i="39"/>
  <c r="J13" i="67"/>
  <c r="J23" i="67" s="1"/>
  <c r="J22" i="67"/>
  <c r="C61" i="67"/>
  <c r="C59" i="67" s="1"/>
  <c r="C64" i="67"/>
  <c r="C75" i="67"/>
  <c r="Q70" i="67"/>
  <c r="C56" i="67"/>
  <c r="C65" i="67" s="1"/>
  <c r="C37" i="67"/>
  <c r="C30" i="67" s="1"/>
  <c r="C39" i="67" s="1"/>
  <c r="C27" i="43"/>
  <c r="Q48" i="67"/>
  <c r="L46" i="67"/>
  <c r="M65" i="40"/>
  <c r="N63" i="40"/>
  <c r="E6" i="76"/>
  <c r="D8" i="53" l="1"/>
  <c r="D120" i="9"/>
  <c r="J13" i="15"/>
  <c r="J23" i="15" s="1"/>
  <c r="C56" i="15"/>
  <c r="C65" i="15" s="1"/>
  <c r="C61" i="15"/>
  <c r="C59" i="15" s="1"/>
  <c r="C49" i="69"/>
  <c r="C51" i="69" s="1"/>
  <c r="Q70" i="15"/>
  <c r="C75" i="15"/>
  <c r="J16" i="15"/>
  <c r="J25" i="15" s="1"/>
  <c r="J26" i="15" s="1"/>
  <c r="J29" i="15" s="1"/>
  <c r="C30" i="15"/>
  <c r="C39" i="15" s="1"/>
  <c r="Q69" i="15" s="1"/>
  <c r="J16" i="67"/>
  <c r="J25" i="67" s="1"/>
  <c r="C52" i="69"/>
  <c r="B2" i="69" s="1"/>
  <c r="B3" i="69" s="1"/>
  <c r="E2" i="76"/>
  <c r="AA7" i="39"/>
  <c r="R47" i="39" s="1"/>
  <c r="S7" i="39"/>
  <c r="C40" i="15"/>
  <c r="O63" i="40"/>
  <c r="O65" i="40" s="1"/>
  <c r="N65" i="40"/>
  <c r="Q69" i="67"/>
  <c r="Q68" i="67" s="1"/>
  <c r="C40" i="67"/>
  <c r="C80" i="67"/>
  <c r="C79" i="67" s="1"/>
  <c r="C58" i="67"/>
  <c r="C67" i="67" s="1"/>
  <c r="C68" i="67" s="1"/>
  <c r="H7" i="39"/>
  <c r="B2" i="43"/>
  <c r="W7" i="39"/>
  <c r="AC7" i="39"/>
  <c r="V47" i="39" s="1"/>
  <c r="I47" i="39" s="1"/>
  <c r="L51" i="67"/>
  <c r="B6" i="76"/>
  <c r="B24" i="72" l="1"/>
  <c r="D9" i="53"/>
  <c r="B25" i="72" s="1"/>
  <c r="D6" i="52"/>
  <c r="D121" i="9"/>
  <c r="D7" i="52" s="1"/>
  <c r="K120" i="9"/>
  <c r="A18" i="62" s="1"/>
  <c r="B64" i="72" s="1"/>
  <c r="C58" i="15"/>
  <c r="C67" i="15" s="1"/>
  <c r="C68" i="15" s="1"/>
  <c r="C71" i="15" s="1"/>
  <c r="C80" i="15"/>
  <c r="C79" i="15" s="1"/>
  <c r="Q68" i="15"/>
  <c r="C57" i="69"/>
  <c r="C56" i="69" s="1"/>
  <c r="B2" i="76"/>
  <c r="B3" i="76" s="1"/>
  <c r="Q67" i="67"/>
  <c r="L57" i="67"/>
  <c r="L60" i="67" s="1"/>
  <c r="I51" i="39"/>
  <c r="J51" i="39" s="1"/>
  <c r="L50" i="15"/>
  <c r="B3" i="43"/>
  <c r="C71" i="67"/>
  <c r="C45" i="67"/>
  <c r="C46" i="67" s="1"/>
  <c r="Q56" i="67"/>
  <c r="D2" i="67"/>
  <c r="C43" i="67"/>
  <c r="Q65" i="67"/>
  <c r="Q47" i="67"/>
  <c r="Q53" i="67" s="1"/>
  <c r="C83" i="67"/>
  <c r="C82" i="67" s="1"/>
  <c r="Q47" i="15"/>
  <c r="Q53" i="15" s="1"/>
  <c r="C43" i="15"/>
  <c r="Q65" i="15"/>
  <c r="Q56" i="15"/>
  <c r="C83" i="15"/>
  <c r="C82" i="15" s="1"/>
  <c r="R48" i="39"/>
  <c r="E47" i="39"/>
  <c r="I52" i="39" s="1"/>
  <c r="J52" i="39" s="1"/>
  <c r="AB7" i="39"/>
  <c r="T47" i="39" s="1"/>
  <c r="G47" i="39" s="1"/>
  <c r="U7" i="39"/>
  <c r="F7" i="40"/>
  <c r="H7" i="40"/>
  <c r="J7" i="40"/>
  <c r="L51" i="15"/>
  <c r="Q58" i="15" l="1"/>
  <c r="L57" i="15"/>
  <c r="L60" i="15" s="1"/>
  <c r="Q67" i="15"/>
  <c r="C46" i="15"/>
  <c r="AC7" i="40"/>
  <c r="V42" i="40" s="1"/>
  <c r="I42" i="40" s="1"/>
  <c r="W7" i="40"/>
  <c r="AA7" i="40"/>
  <c r="R42" i="40" s="1"/>
  <c r="S7" i="40"/>
  <c r="G52" i="39"/>
  <c r="H52" i="39" s="1"/>
  <c r="G51" i="39"/>
  <c r="H51" i="39" s="1"/>
  <c r="C48" i="39"/>
  <c r="C47" i="39"/>
  <c r="Q57" i="67"/>
  <c r="Q62" i="67" s="1"/>
  <c r="Q66" i="67"/>
  <c r="Q75" i="67" s="1"/>
  <c r="U7" i="40"/>
  <c r="AB7" i="40"/>
  <c r="T42" i="40" s="1"/>
  <c r="G42" i="40" s="1"/>
  <c r="E51" i="39"/>
  <c r="F51" i="39" s="1"/>
  <c r="E52" i="39"/>
  <c r="F52" i="39" s="1"/>
  <c r="B2" i="67"/>
  <c r="B3" i="67"/>
  <c r="C7" i="68"/>
  <c r="C5" i="68" s="1"/>
  <c r="E2" i="68"/>
  <c r="Q57" i="15" l="1"/>
  <c r="Q62" i="15" s="1"/>
  <c r="Q66" i="15"/>
  <c r="Q75" i="15" s="1"/>
  <c r="L46" i="15"/>
  <c r="B2" i="15" s="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s="1"/>
  <c r="J47" i="40" s="1"/>
  <c r="I46" i="40"/>
  <c r="J46" i="40" s="1"/>
  <c r="D19" i="9"/>
  <c r="AO6" i="1"/>
  <c r="D102" i="9" l="1"/>
  <c r="D21" i="9"/>
  <c r="B6" i="70"/>
  <c r="B2" i="70" s="1"/>
  <c r="B3" i="70" s="1"/>
  <c r="B3" i="15"/>
  <c r="C43" i="40"/>
  <c r="C42" i="40"/>
  <c r="E46" i="40"/>
  <c r="F46" i="40" s="1"/>
  <c r="E47" i="40"/>
  <c r="F47" i="40" s="1"/>
  <c r="C22" i="68"/>
  <c r="C28" i="68"/>
  <c r="C27" i="68" s="1"/>
  <c r="D20" i="9"/>
  <c r="D103" i="9" l="1"/>
  <c r="C31" i="68"/>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D34" i="9"/>
  <c r="D35" i="9"/>
  <c r="Z22" i="1" l="1"/>
  <c r="G21" i="9"/>
  <c r="J33" i="9" s="1"/>
  <c r="C32" i="9"/>
  <c r="C20" i="9"/>
  <c r="C103" i="9" l="1"/>
  <c r="G20" i="9"/>
  <c r="H118" i="9"/>
  <c r="C35" i="9"/>
  <c r="F118" i="9" s="1"/>
  <c r="C34" i="9" l="1"/>
  <c r="D118" i="9" s="1"/>
  <c r="J118" i="9" s="1"/>
  <c r="F4" i="52"/>
  <c r="B51" i="72" s="1"/>
  <c r="G118" i="9"/>
  <c r="G4" i="52" s="1"/>
  <c r="B52" i="72" s="1"/>
  <c r="F119" i="9"/>
  <c r="F5" i="52" s="1"/>
  <c r="B53" i="72" s="1"/>
  <c r="I118" i="9"/>
  <c r="H101" i="9"/>
  <c r="D14" i="74"/>
  <c r="C104" i="9"/>
  <c r="H119" i="9"/>
  <c r="H5" i="52" s="1"/>
  <c r="H4" i="52"/>
  <c r="D4" i="52" l="1"/>
  <c r="B47" i="72" s="1"/>
  <c r="D119" i="9"/>
  <c r="D5" i="52" s="1"/>
  <c r="B49" i="72" s="1"/>
  <c r="H102" i="9"/>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D55" i="9"/>
  <c r="M53" i="9" s="1"/>
  <c r="C64" i="9"/>
  <c r="C63" i="9" s="1"/>
  <c r="C67" i="9" s="1"/>
  <c r="C68" i="9" s="1"/>
  <c r="D54" i="9" s="1"/>
  <c r="D53" i="9"/>
  <c r="D52" i="9"/>
  <c r="C72" i="9"/>
  <c r="C79" i="9" s="1"/>
  <c r="B20" i="72"/>
  <c r="D6" i="53"/>
  <c r="B22" i="72" s="1"/>
  <c r="D5" i="74"/>
  <c r="C5" i="74"/>
  <c r="C95" i="9" l="1"/>
  <c r="C96" i="9" s="1"/>
  <c r="E96" i="9" s="1"/>
  <c r="E97" i="9" s="1"/>
  <c r="C80" i="9"/>
  <c r="E80" i="9" s="1"/>
  <c r="E81" i="9" s="1"/>
  <c r="H14" i="74"/>
  <c r="B7" i="74" s="1"/>
  <c r="D10" i="52"/>
  <c r="D125" i="9"/>
  <c r="D11" i="52"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<sst xmlns="http://schemas.openxmlformats.org/spreadsheetml/2006/main" count="7917" uniqueCount="3323">
  <si>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</si>
  <si>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</si>
  <si>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</si>
  <si>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</si>
  <si>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</si>
  <si>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</si>
  <si>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</si>
  <si>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</si>
  <si>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</si>
  <si>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</si>
  <si>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</si>
  <si>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</si>
  <si>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</si>
  <si>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</si>
  <si>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</si>
  <si>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</si>
  <si>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</si>
  <si>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</si>
  <si>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</si>
  <si>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</si>
  <si>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</si>
  <si>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</si>
  <si>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</si>
  <si>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</si>
  <si>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</si>
  <si>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</si>
  <si>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</si>
  <si>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</si>
  <si>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</si>
  <si>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</si>
  <si>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</si>
  <si>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</si>
  <si>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</si>
  <si>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</si>
  <si>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</si>
  <si>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</si>
  <si>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</si>
  <si>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</si>
  <si>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</si>
  <si>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</si>
  <si>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</si>
  <si>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</si>
  <si>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</si>
  <si>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</si>
  <si>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</si>
  <si>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</si>
  <si>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</si>
  <si>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</si>
  <si>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</si>
  <si>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</si>
  <si>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</si>
  <si>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</si>
  <si>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</si>
  <si>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</si>
  <si>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</si>
  <si>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</si>
  <si>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</si>
  <si>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</si>
  <si>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</si>
  <si>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</si>
  <si>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</si>
  <si>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</si>
  <si>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</si>
  <si>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</si>
  <si>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</si>
  <si>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</si>
  <si>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</si>
  <si>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</si>
  <si>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</si>
  <si>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</si>
  <si>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</si>
  <si>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</si>
  <si>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</si>
  <si>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</si>
  <si>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</si>
  <si>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</si>
  <si>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</si>
  <si>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</si>
  <si>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</si>
  <si>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</si>
  <si>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</si>
  <si>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</si>
  <si>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</si>
  <si>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</si>
  <si>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</si>
  <si>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</si>
  <si>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</si>
  <si>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</si>
  <si>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</si>
  <si>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</si>
  <si>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</si>
  <si>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</si>
  <si>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</si>
  <si>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</si>
  <si>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</si>
  <si>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</si>
  <si>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</si>
  <si>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</si>
  <si>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</si>
  <si>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</si>
  <si>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</si>
  <si>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</si>
  <si>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</si>
  <si>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</si>
  <si>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</si>
  <si>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</si>
  <si>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</si>
  <si>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</si>
  <si>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</si>
  <si>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</si>
  <si>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</si>
  <si>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</si>
  <si>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</si>
  <si>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</si>
  <si>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</si>
  <si>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</si>
  <si>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</si>
  <si>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</si>
  <si>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</si>
  <si>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</si>
  <si>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</si>
  <si>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</si>
  <si>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</si>
  <si>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</si>
  <si>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</si>
  <si>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</si>
  <si>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</si>
  <si>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</si>
  <si>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</si>
  <si>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</si>
  <si>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</si>
  <si>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</si>
  <si>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</si>
  <si>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</si>
  <si>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</si>
  <si>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</si>
  <si>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</si>
  <si>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</si>
  <si>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</si>
  <si>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</si>
  <si>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</si>
  <si>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</si>
  <si>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</si>
  <si>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</si>
  <si>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</si>
  <si>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</si>
  <si>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</si>
  <si>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</si>
  <si>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</si>
  <si>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</si>
  <si>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</si>
  <si>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</si>
  <si>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</si>
  <si>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</si>
  <si>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</si>
  <si>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</si>
  <si>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</si>
  <si>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</si>
  <si>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</si>
  <si>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</si>
  <si>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</si>
  <si>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</si>
  <si>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</si>
  <si>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</si>
  <si>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</si>
  <si>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</si>
  <si>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</si>
  <si>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</si>
  <si>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</si>
  <si>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</si>
  <si>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</si>
  <si>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</si>
  <si>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</si>
  <si>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</si>
  <si>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</si>
  <si>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</si>
  <si>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</si>
  <si>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</si>
  <si>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</si>
  <si>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</si>
  <si>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</si>
  <si>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</si>
  <si>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</si>
  <si>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</si>
  <si>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</si>
  <si>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</si>
  <si>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</si>
  <si>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</si>
  <si>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</si>
  <si>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</si>
  <si>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</si>
  <si>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</si>
  <si>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</si>
  <si>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</si>
  <si>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</si>
  <si>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</si>
  <si>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</si>
  <si>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</si>
  <si>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</si>
  <si>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</si>
  <si>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</si>
  <si>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</si>
  <si>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</si>
  <si>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</si>
  <si>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</si>
  <si>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</si>
  <si>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</si>
  <si>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</si>
  <si>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</si>
  <si>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</si>
  <si>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</si>
  <si>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</si>
  <si>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</si>
  <si>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</si>
  <si>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</si>
  <si>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</si>
  <si>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</si>
  <si>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</si>
  <si>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</si>
  <si>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</si>
  <si>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</si>
  <si>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</si>
  <si>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</si>
  <si>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</si>
  <si>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</si>
  <si>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</si>
  <si>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</si>
  <si>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</si>
  <si>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</si>
  <si>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</si>
  <si>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</si>
  <si>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</si>
  <si>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</si>
  <si>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</si>
  <si>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</si>
  <si>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</si>
  <si>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</si>
  <si>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</si>
  <si>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</si>
  <si>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</si>
  <si>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</si>
  <si>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</si>
  <si>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</si>
  <si>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</si>
  <si>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</si>
  <si>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</si>
  <si>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</si>
  <si>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</si>
  <si>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</si>
  <si>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</si>
  <si>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</si>
  <si>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</si>
  <si>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</si>
  <si>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</si>
  <si>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</si>
  <si>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</si>
  <si>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</si>
  <si>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</si>
  <si>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</si>
  <si>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</si>
  <si>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</si>
  <si>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</si>
  <si>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</si>
  <si>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</si>
  <si>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</si>
  <si>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</si>
  <si>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</si>
  <si>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</si>
  <si>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</si>
  <si>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</si>
  <si>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</si>
  <si>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</si>
  <si>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</si>
  <si>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</si>
  <si>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</si>
  <si>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</si>
  <si>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</si>
  <si>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</si>
  <si>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</si>
  <si>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</si>
  <si>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</si>
  <si>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</si>
  <si>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</si>
  <si>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</si>
  <si>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</si>
  <si>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</si>
  <si>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</si>
  <si>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</si>
  <si>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</si>
  <si>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</si>
  <si>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</si>
  <si>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</si>
  <si>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</si>
  <si>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</si>
  <si>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</si>
  <si>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</si>
  <si>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</si>
  <si>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</si>
  <si>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</si>
  <si>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</si>
  <si>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</si>
  <si>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</si>
  <si>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</si>
  <si>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</si>
  <si>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</si>
  <si>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</si>
  <si>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</si>
  <si>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</si>
  <si>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</si>
  <si>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</si>
  <si>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</si>
  <si>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</si>
  <si>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</si>
  <si>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</si>
  <si>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</si>
  <si>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</si>
  <si>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</si>
  <si>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</si>
  <si>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</si>
  <si>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</si>
  <si>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</si>
  <si>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</si>
  <si>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</si>
  <si>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</si>
  <si>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</si>
  <si>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</si>
  <si>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</si>
  <si>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</si>
  <si>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</si>
  <si>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</si>
  <si>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</si>
  <si>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</si>
  <si>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</si>
  <si>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</si>
  <si>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</si>
  <si>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</si>
  <si>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</si>
  <si>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</si>
  <si>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</si>
  <si>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</si>
  <si>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</si>
  <si>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</si>
  <si>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</si>
  <si>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</si>
  <si>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</si>
  <si>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</si>
  <si>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</si>
  <si>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</si>
  <si>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</si>
  <si>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</si>
  <si>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</si>
  <si>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</si>
  <si>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</si>
  <si>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</si>
  <si>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</si>
  <si>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</si>
  <si>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</si>
  <si>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</si>
  <si>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</si>
  <si>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</si>
  <si>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</si>
  <si>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</si>
  <si>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</si>
  <si>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</si>
  <si>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</si>
  <si>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</si>
  <si>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</si>
  <si>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</si>
  <si>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</si>
  <si>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</si>
  <si>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</si>
  <si>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</si>
  <si>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</si>
  <si>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</si>
  <si>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</si>
  <si>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</si>
  <si>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</si>
  <si>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</si>
  <si>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</si>
  <si>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</si>
  <si>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</si>
  <si>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</si>
  <si>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</si>
  <si>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</si>
  <si>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</si>
  <si>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</si>
  <si>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</si>
  <si>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</si>
  <si>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</si>
  <si>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</si>
  <si>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</si>
  <si>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</si>
  <si>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</si>
  <si>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</si>
  <si>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</si>
  <si>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</si>
  <si>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</si>
  <si>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</si>
  <si>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</si>
  <si>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</si>
  <si>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</si>
  <si>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</si>
  <si>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</si>
  <si>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</si>
  <si>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</si>
  <si>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</si>
  <si>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</si>
  <si>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</si>
  <si>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</si>
  <si>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</si>
  <si>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</si>
  <si>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</si>
  <si>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</si>
  <si>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</si>
  <si>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</si>
  <si>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</si>
  <si>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</si>
  <si>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</si>
  <si>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</si>
  <si>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</si>
  <si>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</si>
  <si>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</si>
  <si>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</si>
  <si>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</si>
  <si>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</si>
  <si>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</si>
  <si>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</si>
  <si>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</si>
  <si>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</si>
  <si>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</si>
  <si>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</si>
  <si>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</si>
  <si>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</si>
  <si>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</si>
  <si>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</si>
  <si>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</si>
  <si>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</si>
  <si>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</si>
  <si>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</si>
  <si>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</si>
  <si>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</si>
  <si>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</si>
  <si>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</si>
  <si>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</si>
  <si>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</si>
  <si>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</si>
  <si>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</si>
  <si>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</si>
  <si>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</si>
  <si>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</si>
  <si>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</si>
  <si>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</si>
  <si>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</si>
  <si>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</si>
  <si>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</si>
  <si>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</si>
  <si>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</si>
  <si>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</si>
  <si>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</si>
  <si>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</si>
  <si>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</si>
  <si>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</si>
  <si>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</si>
  <si>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</si>
  <si>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</si>
  <si>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</si>
  <si>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</si>
  <si>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</si>
  <si>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</si>
  <si>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</si>
  <si>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</si>
  <si>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</si>
  <si>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</si>
  <si>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</si>
  <si>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</si>
  <si>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</si>
  <si>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</si>
  <si>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</si>
  <si>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</si>
  <si>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</si>
  <si>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</si>
  <si>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</si>
  <si>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</si>
  <si>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</si>
  <si>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</si>
  <si>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</si>
  <si>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</si>
  <si>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</si>
  <si>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</si>
  <si>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</si>
  <si>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</si>
  <si>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</si>
  <si>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</si>
  <si>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</si>
  <si>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</si>
  <si>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</si>
  <si>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</si>
  <si>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</si>
  <si>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</si>
  <si>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</si>
  <si>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</si>
  <si>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</si>
  <si>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</si>
  <si>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</si>
  <si>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</si>
  <si>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</si>
  <si>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</si>
  <si>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</si>
  <si>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</si>
  <si>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</si>
  <si>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</si>
  <si>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</si>
  <si>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</si>
  <si>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</si>
  <si>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</si>
  <si>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</si>
  <si>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</si>
  <si>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</si>
  <si>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</si>
  <si>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</si>
  <si>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</si>
  <si>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</si>
  <si>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</si>
  <si>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</si>
  <si>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</si>
  <si>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</si>
  <si>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</si>
  <si>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</si>
  <si>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</si>
  <si>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</si>
  <si>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</si>
  <si>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</si>
  <si>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</si>
  <si>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</si>
  <si>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</si>
  <si>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</si>
  <si>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</si>
  <si>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</si>
  <si>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</si>
  <si>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</si>
  <si>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</si>
  <si>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</si>
  <si>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</si>
  <si>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</si>
  <si>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</si>
  <si>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</si>
  <si>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</si>
  <si>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</si>
  <si>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</si>
  <si>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</si>
  <si>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</si>
  <si>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</si>
  <si>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</si>
  <si>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</si>
  <si>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</si>
  <si>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</si>
  <si>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</si>
  <si>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</si>
  <si>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</si>
  <si>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</si>
  <si>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</si>
  <si>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</si>
  <si>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</si>
  <si>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</si>
  <si>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</si>
  <si>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</si>
  <si>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</si>
  <si>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</si>
  <si>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</si>
  <si>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</si>
  <si>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</si>
  <si>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</si>
  <si>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</si>
  <si>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</si>
  <si>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</si>
  <si>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</si>
  <si>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</si>
  <si>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</si>
  <si>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</si>
  <si>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</si>
  <si>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</si>
  <si>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</si>
  <si>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</si>
  <si>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</si>
  <si>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</si>
  <si>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</si>
  <si>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</si>
  <si>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</si>
  <si>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</si>
  <si>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</si>
  <si>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</si>
  <si>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</si>
  <si>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</si>
  <si>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</si>
  <si>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</si>
  <si>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</si>
  <si>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</si>
  <si>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</si>
  <si>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</si>
  <si>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</si>
  <si>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</si>
  <si>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</si>
  <si>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</si>
  <si>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</si>
  <si>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</si>
  <si>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</si>
  <si>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</si>
  <si>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</si>
  <si>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</si>
  <si>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</si>
  <si>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</si>
  <si>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</si>
  <si>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</si>
  <si>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</si>
  <si>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</si>
  <si>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</si>
  <si>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</si>
  <si>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</si>
  <si>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</si>
  <si>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</si>
  <si>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</si>
  <si>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</si>
  <si>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</si>
  <si>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</si>
  <si>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</si>
  <si>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</si>
  <si>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</si>
  <si>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</si>
  <si>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</si>
  <si>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</si>
  <si>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</si>
  <si>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</si>
  <si>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</si>
  <si>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</si>
  <si>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</si>
  <si>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</si>
  <si>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</si>
  <si>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</si>
  <si>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</si>
  <si>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</si>
  <si>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</si>
  <si>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</si>
  <si>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</si>
  <si>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</si>
  <si>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</si>
  <si>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</si>
  <si>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</si>
  <si>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</si>
  <si>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</si>
  <si>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</si>
  <si>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</si>
  <si>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</si>
  <si>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</si>
  <si>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</si>
  <si>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</si>
  <si>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</si>
  <si>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</si>
  <si>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</si>
  <si>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</si>
  <si>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</si>
  <si>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</si>
  <si>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</si>
  <si>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</si>
  <si>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</si>
  <si>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</si>
  <si>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</si>
  <si>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</si>
  <si>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</si>
  <si>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</si>
  <si>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</si>
  <si>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</si>
  <si>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</si>
  <si>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</si>
  <si>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</si>
  <si>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</si>
  <si>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</si>
  <si>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</si>
  <si>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</si>
  <si>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</si>
  <si>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</si>
  <si>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</si>
  <si>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</si>
  <si>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</si>
  <si>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</si>
  <si>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</si>
  <si>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</si>
  <si>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</si>
  <si>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</si>
  <si>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</si>
  <si>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</si>
  <si>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</si>
  <si>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</si>
  <si>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</si>
  <si>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</si>
  <si>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</si>
  <si>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</si>
  <si>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</si>
  <si>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</si>
  <si>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</si>
  <si>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</si>
  <si>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</si>
  <si>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</si>
  <si>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</si>
  <si>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</si>
  <si>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</si>
  <si>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</si>
  <si>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</si>
  <si>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</si>
  <si>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</si>
  <si>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</si>
  <si>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</si>
  <si>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</si>
  <si>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</si>
  <si>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</si>
  <si>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</si>
  <si>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</si>
  <si>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</si>
  <si>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</si>
  <si>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</si>
  <si>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</si>
  <si>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</si>
  <si>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</si>
  <si>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</si>
  <si>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</si>
  <si>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</si>
  <si>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</si>
  <si>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</si>
  <si>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</si>
  <si>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</si>
  <si>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</si>
  <si>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</si>
  <si>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</si>
  <si>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</si>
  <si>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</si>
  <si>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</si>
  <si>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</si>
  <si>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</si>
  <si>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</si>
  <si>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</si>
  <si>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</si>
  <si>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</si>
  <si>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</si>
  <si>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</si>
  <si>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</si>
  <si>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</si>
  <si>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</si>
  <si>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</si>
  <si>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</si>
  <si>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</si>
  <si>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</si>
  <si>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</si>
  <si>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</si>
  <si>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</si>
  <si>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</si>
  <si>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</si>
  <si>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</si>
  <si>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</si>
  <si>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</si>
  <si>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</si>
  <si>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</si>
  <si>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</si>
  <si>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</si>
  <si>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</si>
  <si>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</si>
  <si>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</si>
  <si>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</si>
  <si>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</si>
  <si>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</si>
  <si>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</si>
  <si>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</si>
  <si>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</si>
  <si>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</si>
  <si>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</si>
  <si>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</si>
  <si>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</si>
  <si>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</si>
  <si>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</si>
  <si>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</si>
  <si>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</si>
  <si>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</si>
  <si>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</si>
  <si>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</si>
  <si>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</si>
  <si>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</si>
  <si>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</si>
  <si>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</si>
  <si>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</si>
  <si>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</si>
  <si>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</si>
  <si>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</si>
  <si>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</si>
  <si>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</si>
  <si>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</si>
  <si>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</si>
  <si>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</si>
  <si>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</si>
  <si>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</si>
  <si>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</si>
  <si>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</si>
  <si>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</si>
  <si>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</si>
  <si>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</si>
  <si>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</si>
  <si>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</si>
  <si>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</si>
  <si>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</si>
  <si>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</si>
  <si>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</si>
  <si>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</si>
  <si>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</si>
  <si>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</si>
  <si>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</si>
  <si>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</si>
  <si>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</si>
  <si>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</si>
  <si>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</si>
  <si>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</si>
  <si>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</si>
  <si>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</si>
  <si>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</si>
  <si>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</si>
  <si>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</si>
  <si>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</si>
  <si>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</si>
  <si>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</si>
  <si>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</si>
  <si>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</si>
  <si>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</si>
  <si>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</si>
  <si>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</si>
  <si>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</si>
  <si>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</si>
  <si>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</si>
  <si>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</si>
  <si>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</si>
  <si>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</si>
  <si>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</si>
  <si>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</si>
  <si>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</si>
  <si>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</si>
  <si>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</si>
  <si>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</si>
  <si>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</si>
  <si>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</si>
  <si>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</si>
  <si>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</si>
  <si>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</si>
  <si>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</si>
  <si>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</si>
  <si>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</si>
  <si>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</si>
  <si>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</si>
  <si>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</si>
  <si>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</si>
  <si>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</si>
  <si>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</si>
  <si>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</si>
  <si>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</si>
  <si>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</si>
  <si>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</si>
  <si>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</si>
  <si>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</si>
  <si>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</si>
  <si>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</si>
  <si>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</si>
  <si>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</si>
  <si>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</si>
  <si>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</si>
  <si>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</si>
  <si>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</si>
  <si>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</si>
  <si>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</si>
  <si>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</si>
  <si>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</si>
  <si>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</si>
  <si>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</si>
  <si>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</si>
  <si>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</si>
  <si>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</si>
  <si>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</si>
  <si>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</si>
  <si>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</si>
  <si>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</si>
  <si>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</si>
  <si>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</si>
  <si>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</si>
  <si>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</si>
  <si>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</si>
  <si>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</si>
  <si>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</si>
  <si>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</si>
  <si>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</si>
  <si>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</si>
  <si>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</si>
  <si>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</si>
  <si>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</si>
  <si>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</si>
  <si>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</si>
  <si>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</si>
  <si>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</si>
  <si>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</si>
  <si>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</si>
  <si>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</si>
  <si>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</si>
  <si>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</si>
  <si>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</si>
  <si>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</si>
  <si>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</si>
  <si>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</si>
  <si>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</si>
  <si>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</si>
  <si>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</si>
  <si>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</si>
  <si>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</si>
  <si>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</si>
  <si>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</si>
  <si>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</si>
  <si>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</si>
  <si>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</si>
  <si>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</si>
  <si>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</si>
  <si>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</si>
  <si>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</si>
  <si>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</si>
  <si>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</si>
  <si>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</si>
  <si>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</si>
  <si>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</si>
  <si>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</si>
  <si>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</si>
  <si>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</si>
  <si>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</si>
  <si>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</si>
  <si>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</si>
  <si>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</si>
  <si>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</si>
  <si>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</si>
  <si>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</si>
  <si>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</si>
  <si>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</si>
  <si>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</si>
  <si>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</si>
  <si>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</si>
  <si>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</si>
  <si>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</si>
  <si>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</si>
  <si>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</si>
  <si>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</si>
  <si>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</si>
  <si>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</si>
  <si>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</si>
  <si>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</si>
  <si>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</si>
  <si>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</si>
  <si>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</si>
  <si>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</si>
  <si>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</si>
  <si>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</si>
  <si>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</si>
  <si>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</si>
  <si>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</si>
  <si>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</si>
  <si>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</si>
  <si>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</si>
  <si>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</si>
  <si>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</si>
  <si>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</si>
  <si>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</si>
  <si>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</si>
  <si>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</si>
  <si>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</si>
  <si>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</si>
  <si>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</si>
  <si>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</si>
  <si>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</si>
  <si>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</si>
  <si>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</si>
  <si>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</si>
  <si>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</si>
  <si>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</si>
  <si>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</si>
  <si>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</si>
  <si>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</si>
  <si>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</si>
  <si>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</si>
  <si>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</si>
  <si>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</si>
  <si>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</si>
  <si>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</si>
  <si>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</si>
  <si>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</si>
  <si>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</si>
  <si>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</si>
  <si>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</si>
  <si>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</si>
  <si>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</si>
  <si>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</si>
  <si>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</si>
  <si>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</si>
  <si>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</si>
  <si>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</si>
  <si>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</si>
  <si>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</si>
  <si>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</si>
  <si>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</si>
  <si>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</si>
  <si>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</si>
  <si>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</si>
  <si>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</si>
  <si>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</si>
  <si>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</si>
  <si>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</si>
  <si>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</si>
  <si>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</si>
  <si>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</si>
  <si>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</si>
  <si>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</si>
  <si>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</si>
  <si>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</si>
  <si>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</si>
  <si>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</si>
  <si>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</si>
  <si>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</si>
  <si>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</si>
  <si>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</si>
  <si>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</si>
  <si>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</si>
  <si>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</si>
  <si>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</si>
  <si>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</si>
  <si>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</si>
  <si>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</si>
  <si>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</si>
  <si>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</si>
  <si>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</si>
  <si>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</si>
  <si>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</si>
  <si>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</si>
  <si>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</si>
  <si>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</si>
  <si>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</si>
  <si>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</si>
  <si>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</si>
  <si>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</si>
  <si>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</si>
  <si>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</si>
  <si>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</si>
  <si>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</si>
  <si>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</si>
  <si>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</si>
  <si>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</si>
  <si>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</si>
  <si>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</si>
  <si>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</si>
  <si>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</si>
  <si>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</si>
  <si>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</si>
  <si>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</si>
  <si>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</si>
  <si>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</si>
  <si>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</si>
  <si>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</si>
  <si>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</si>
  <si>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</si>
  <si>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</si>
  <si>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</si>
  <si>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</si>
  <si>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</si>
  <si>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</si>
  <si>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</si>
  <si>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</si>
  <si>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</si>
  <si>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</si>
  <si>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</si>
  <si>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</si>
  <si>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</si>
  <si>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</si>
  <si>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</si>
  <si>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</si>
  <si>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</si>
  <si>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</si>
  <si>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</si>
  <si>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</si>
  <si>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</si>
  <si>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</si>
  <si>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</si>
  <si>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</si>
  <si>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</si>
  <si>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</si>
  <si>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</si>
  <si>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</si>
  <si>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</si>
  <si>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</si>
  <si>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</si>
  <si>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</si>
  <si>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</si>
  <si>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</si>
  <si>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</si>
  <si>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</si>
  <si>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</si>
  <si>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</si>
  <si>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</si>
  <si>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</si>
  <si>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</si>
  <si>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</si>
  <si>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</si>
  <si>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</si>
  <si>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</si>
  <si>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</si>
  <si>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</si>
  <si>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</si>
  <si>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</si>
  <si>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</si>
  <si>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</si>
  <si>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</si>
  <si>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</si>
  <si>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</si>
  <si>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</si>
  <si>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</si>
  <si>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</si>
  <si>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</si>
  <si>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</si>
  <si>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</si>
  <si>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</si>
  <si>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</si>
  <si>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</si>
  <si>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</si>
  <si>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</si>
  <si>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</si>
  <si>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</si>
  <si>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</si>
  <si>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</si>
  <si>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</si>
  <si>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</si>
  <si>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</si>
  <si>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</si>
  <si>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</si>
  <si>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</si>
  <si>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</si>
  <si>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</si>
  <si>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</si>
  <si>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</si>
  <si>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</si>
  <si>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</si>
  <si>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</si>
  <si>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</si>
  <si>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</si>
  <si>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</si>
  <si>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</si>
  <si>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</si>
  <si>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</si>
  <si>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</si>
  <si>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</si>
  <si>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</si>
  <si>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</si>
  <si>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</si>
  <si>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</si>
  <si>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</si>
  <si>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</si>
  <si>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</si>
  <si>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</si>
  <si>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</si>
  <si>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</si>
  <si>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</si>
  <si>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</si>
  <si>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</si>
  <si>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</si>
  <si>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</si>
  <si>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</si>
  <si>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</si>
  <si>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</si>
  <si>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</si>
  <si>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</si>
  <si>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</si>
  <si>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</si>
  <si>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</si>
  <si>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</si>
  <si>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</si>
  <si>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</si>
  <si>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</si>
  <si>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</si>
  <si>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</si>
  <si>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</si>
  <si>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</si>
  <si>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</si>
  <si>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</si>
  <si>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</si>
  <si>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</si>
  <si>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</si>
  <si>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</si>
  <si>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</si>
  <si>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</si>
  <si>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</si>
  <si>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</si>
  <si>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</si>
  <si>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</si>
  <si>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</si>
  <si>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</si>
  <si>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</si>
  <si>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</si>
  <si>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</si>
  <si>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</si>
  <si>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</si>
  <si>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</si>
  <si>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</si>
  <si>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</si>
  <si>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</si>
  <si>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</si>
  <si>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</si>
  <si>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</si>
  <si>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</si>
  <si>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</si>
  <si>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</si>
  <si>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</si>
  <si>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</si>
  <si>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</si>
  <si>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</si>
  <si>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</si>
  <si>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</si>
  <si>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</si>
  <si>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</si>
  <si>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</si>
  <si>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</si>
  <si>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</si>
  <si>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</si>
  <si>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</si>
  <si>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</si>
  <si>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</si>
  <si>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</si>
  <si>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</si>
  <si>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</si>
  <si>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</si>
  <si>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</si>
  <si>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</si>
  <si>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</si>
  <si>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</si>
  <si>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</si>
  <si>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</si>
  <si>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</si>
  <si>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</si>
  <si>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</si>
  <si>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</si>
  <si>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</si>
  <si>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</si>
  <si>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</si>
  <si>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</si>
  <si>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</si>
  <si>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</si>
  <si>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</si>
  <si>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</si>
  <si>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</si>
  <si>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</si>
  <si>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</si>
  <si>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</si>
  <si>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</si>
  <si>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</si>
  <si>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</si>
  <si>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</si>
  <si>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</si>
  <si>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</si>
  <si>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</si>
  <si>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</si>
  <si>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</si>
  <si>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</si>
  <si>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</si>
  <si>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</si>
  <si>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</si>
  <si>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</si>
  <si>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</si>
  <si>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</si>
  <si>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</si>
  <si>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</si>
  <si>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</si>
  <si>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</si>
  <si>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</si>
  <si>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</si>
  <si>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</si>
  <si>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</si>
  <si>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</si>
  <si>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</si>
  <si>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</si>
  <si>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</si>
  <si>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</si>
  <si>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</si>
  <si>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</si>
  <si>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</si>
  <si>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</si>
  <si>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</si>
  <si>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</si>
  <si>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</si>
  <si>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</si>
  <si>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</si>
  <si>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</si>
  <si>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</si>
  <si>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</si>
  <si>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</si>
  <si>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</si>
  <si>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</si>
  <si>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</si>
  <si>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</si>
  <si>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</si>
  <si>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</si>
  <si>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</si>
  <si>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</si>
  <si>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</si>
  <si>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</si>
  <si>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</si>
  <si>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</si>
  <si>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</si>
  <si>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</si>
  <si>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</si>
  <si>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</si>
  <si>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</si>
  <si>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</si>
  <si>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</si>
  <si>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</si>
  <si>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</si>
  <si>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</si>
  <si>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</si>
  <si>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</si>
  <si>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</si>
  <si>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</si>
  <si>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</si>
  <si>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</si>
  <si>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</si>
  <si>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</si>
  <si>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</si>
  <si>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</si>
  <si>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</si>
  <si>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</si>
  <si>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</si>
  <si>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</si>
  <si>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</si>
  <si>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</si>
  <si>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</si>
  <si>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</si>
  <si>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</si>
  <si>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</si>
  <si>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</si>
  <si>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</si>
  <si>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</si>
  <si>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</si>
  <si>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</si>
  <si>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</si>
  <si>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</si>
  <si>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</si>
  <si>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</si>
  <si>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</si>
  <si>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</si>
  <si>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</si>
  <si>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</si>
  <si>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</si>
  <si>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</si>
  <si>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</si>
  <si>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</si>
  <si>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</si>
  <si>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</si>
  <si>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</si>
  <si>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</si>
  <si>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</si>
  <si>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</si>
  <si>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</si>
  <si>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</si>
  <si>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</si>
  <si>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</si>
  <si>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</si>
  <si>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</si>
  <si>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</si>
  <si>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</si>
  <si>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</si>
  <si>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</si>
  <si>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</si>
  <si>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</si>
  <si>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</si>
  <si>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</si>
  <si>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</si>
  <si>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</si>
  <si>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</si>
  <si>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</si>
  <si>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</si>
  <si>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</si>
  <si>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</si>
  <si>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</si>
  <si>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</si>
  <si>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</si>
  <si>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</si>
  <si>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</si>
  <si>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</si>
  <si>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</si>
  <si>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</si>
  <si>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</si>
  <si>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</si>
  <si>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</si>
  <si>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</si>
  <si>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</si>
  <si>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</si>
  <si>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</si>
  <si>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</si>
  <si>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</si>
  <si>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</si>
  <si>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</si>
  <si>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</si>
  <si>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</si>
  <si>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</si>
  <si>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</si>
  <si>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</si>
  <si>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</si>
  <si>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</si>
  <si>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</si>
  <si>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</si>
  <si>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</si>
  <si>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</si>
  <si>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</si>
  <si>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</si>
  <si>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</si>
  <si>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</si>
  <si>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</si>
  <si>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</si>
  <si>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</si>
  <si>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</si>
  <si>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</si>
  <si>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</si>
  <si>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</si>
  <si>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</si>
  <si>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</si>
  <si>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</si>
  <si>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</si>
  <si>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</si>
  <si>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</si>
  <si>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</si>
  <si>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</si>
  <si>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</si>
  <si>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</si>
  <si>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</si>
  <si>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</si>
  <si>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</si>
  <si>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</si>
  <si>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</si>
  <si>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</si>
  <si>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</si>
  <si>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</si>
  <si>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</si>
  <si>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</si>
  <si>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</si>
  <si>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</si>
  <si>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</si>
  <si>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</si>
  <si>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</si>
  <si>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</si>
  <si>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</si>
  <si>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</si>
  <si>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</si>
  <si>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</si>
  <si>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</si>
  <si>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</si>
  <si>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</si>
  <si>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</si>
  <si>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</si>
  <si>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</si>
  <si>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</si>
  <si>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</si>
  <si>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</si>
  <si>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</si>
  <si>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</si>
  <si>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</si>
  <si>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</si>
  <si>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</si>
  <si>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</si>
  <si>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</si>
  <si>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</si>
  <si>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</si>
  <si>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</si>
  <si>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</si>
  <si>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</si>
  <si>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</si>
  <si>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</si>
  <si>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</si>
  <si>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</si>
  <si>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</si>
  <si>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</si>
  <si>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</si>
  <si>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</si>
  <si>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</si>
  <si>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</si>
  <si>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</si>
  <si>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</si>
  <si>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</si>
  <si>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</si>
  <si>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</si>
  <si>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</si>
  <si>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</si>
  <si>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</si>
  <si>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</si>
  <si>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</si>
  <si>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</si>
  <si>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</si>
  <si>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</si>
  <si>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</si>
  <si>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</si>
  <si>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</si>
  <si>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</si>
  <si>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</si>
  <si>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</si>
  <si>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</si>
  <si>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</si>
  <si>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</si>
  <si>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</si>
  <si>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</si>
  <si>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</si>
  <si>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</si>
  <si>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</si>
  <si>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</si>
  <si>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</si>
  <si>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</si>
  <si>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</si>
  <si>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</si>
  <si>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</si>
  <si>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</si>
  <si>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</si>
  <si>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</si>
  <si>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</si>
  <si>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</si>
  <si>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</si>
  <si>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</si>
  <si>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</si>
  <si>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</si>
  <si>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</si>
  <si>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</si>
  <si>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</si>
  <si>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</si>
  <si>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</si>
  <si>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</si>
  <si>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</si>
  <si>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</si>
  <si>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</si>
  <si>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</si>
  <si>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</si>
  <si>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</si>
  <si>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</si>
  <si>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</si>
  <si>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</si>
  <si>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</si>
  <si>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</si>
  <si>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</si>
  <si>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</si>
  <si>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</si>
  <si>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</si>
  <si>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</si>
  <si>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</si>
  <si>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</si>
  <si>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</si>
  <si>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</si>
  <si>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</si>
  <si>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</si>
  <si>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</si>
  <si>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</si>
  <si>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</si>
  <si>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</si>
  <si>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</si>
  <si>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</si>
  <si>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</si>
  <si>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</si>
  <si>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</si>
  <si>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</si>
  <si>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</si>
  <si>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</si>
  <si>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</si>
  <si>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</si>
  <si>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</si>
  <si>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</si>
  <si>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</si>
  <si>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</si>
  <si>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</si>
  <si>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</si>
  <si>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</si>
  <si>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</si>
  <si>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</si>
  <si>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</si>
  <si>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</si>
  <si>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</si>
  <si>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</si>
  <si>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</si>
  <si>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</si>
  <si>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</si>
  <si>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</si>
  <si>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</si>
  <si>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</si>
  <si>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</si>
  <si>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</si>
  <si>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</si>
  <si>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</si>
  <si>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</si>
  <si>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</si>
  <si>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</si>
  <si>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</si>
  <si>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</si>
  <si>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</si>
  <si>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</si>
  <si>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</si>
  <si>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</si>
  <si>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</si>
  <si>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</si>
  <si>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</si>
  <si>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</si>
  <si>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</si>
  <si>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</si>
  <si>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</si>
  <si>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</si>
  <si>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</si>
  <si>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</si>
  <si>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</si>
  <si>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</si>
  <si>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</si>
  <si>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</si>
  <si>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</si>
  <si>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</si>
  <si>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</si>
  <si>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</si>
  <si>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</si>
  <si>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</si>
  <si>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</si>
  <si>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</si>
  <si>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</si>
  <si>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</si>
  <si>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</si>
  <si>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</si>
  <si>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</si>
  <si>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</si>
  <si>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</si>
  <si>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</si>
  <si>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</si>
  <si>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</si>
  <si>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</si>
  <si>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</si>
  <si>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</si>
  <si>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</si>
  <si>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</si>
  <si>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</si>
  <si>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</si>
  <si>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</si>
  <si>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</si>
  <si>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</si>
  <si>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</si>
  <si>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</si>
  <si>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</si>
  <si>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</si>
  <si>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</si>
  <si>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</si>
  <si>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</si>
  <si>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</si>
  <si>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</si>
  <si>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</si>
  <si>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</si>
  <si>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</si>
  <si>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</si>
  <si>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</si>
  <si>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</si>
  <si>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</si>
  <si>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</si>
  <si>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</si>
  <si>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</si>
  <si>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</si>
  <si>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</si>
  <si>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</si>
  <si>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</si>
  <si>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</si>
  <si>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</si>
  <si>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</si>
  <si>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</si>
  <si>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</si>
  <si>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</si>
  <si>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</si>
  <si>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</si>
  <si>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</si>
  <si>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</si>
  <si>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</si>
  <si>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</si>
  <si>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</si>
  <si>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</si>
  <si>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</si>
  <si>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</si>
  <si>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</si>
  <si>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</si>
  <si>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</si>
  <si>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</si>
  <si>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</si>
  <si>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</si>
  <si>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</si>
  <si>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</si>
  <si>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</si>
  <si>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</si>
  <si>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</si>
  <si>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</si>
  <si>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</si>
  <si>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</si>
  <si>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</si>
  <si>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</si>
  <si>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</si>
  <si>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</si>
  <si>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</si>
  <si>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</si>
  <si>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</si>
  <si>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</si>
  <si>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</si>
  <si>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</si>
  <si>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</si>
  <si>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</si>
  <si>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</si>
  <si>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</si>
  <si>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</si>
  <si>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</si>
  <si>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</si>
  <si>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</si>
  <si>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</si>
  <si>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</si>
  <si>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</si>
  <si>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</si>
  <si>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</si>
  <si>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</si>
  <si>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</si>
  <si>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</si>
  <si>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</si>
  <si>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</si>
  <si>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</si>
  <si>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</si>
  <si>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</si>
  <si>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</si>
  <si>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</si>
  <si>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</si>
  <si>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</si>
  <si>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</si>
  <si>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</si>
  <si>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</si>
  <si>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</si>
  <si>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</si>
  <si>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</si>
  <si>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</si>
  <si>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</si>
  <si>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</si>
  <si>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</si>
  <si>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</si>
  <si>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</si>
  <si>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</si>
  <si>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</si>
  <si>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</si>
  <si>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</si>
  <si>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</si>
  <si>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</si>
  <si>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</si>
  <si>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</si>
  <si>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</si>
  <si>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</si>
  <si>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</si>
  <si>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</si>
  <si>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</si>
  <si>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</si>
  <si>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</si>
  <si>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</si>
  <si>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</si>
  <si>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</si>
  <si>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</si>
  <si>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</si>
  <si>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</si>
  <si>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</si>
  <si>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</si>
  <si>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</si>
  <si>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</si>
  <si>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</si>
  <si>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</si>
  <si>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</si>
  <si>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</si>
  <si>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</si>
  <si>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</si>
  <si>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</si>
  <si>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</si>
  <si>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</si>
  <si>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</si>
  <si>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</si>
  <si>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</si>
  <si>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</si>
  <si>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</si>
  <si>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</si>
  <si>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</si>
  <si>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</si>
  <si>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</si>
  <si>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</si>
  <si>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</si>
  <si>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</si>
  <si>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</si>
  <si>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</si>
  <si>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</si>
  <si>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</si>
  <si>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</si>
  <si>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</si>
  <si>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</si>
  <si>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</si>
  <si>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</si>
  <si>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</si>
  <si>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</si>
  <si>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</si>
  <si>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</si>
  <si>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</si>
  <si>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</si>
  <si>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</si>
  <si>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</si>
  <si>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</si>
  <si>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</si>
  <si>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</si>
  <si>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</si>
  <si>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</si>
  <si>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</si>
  <si>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</si>
  <si>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</si>
  <si>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</si>
  <si>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</si>
  <si>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</si>
  <si>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</si>
  <si>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</si>
  <si>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</si>
  <si>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</si>
  <si>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</si>
  <si>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</si>
  <si>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</si>
  <si>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</si>
  <si>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</si>
  <si>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</si>
  <si>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</si>
  <si>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</si>
  <si>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</si>
  <si>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</si>
  <si>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</si>
  <si>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</si>
  <si>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</si>
  <si>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</si>
  <si>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</si>
  <si>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</si>
  <si>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</si>
  <si>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</si>
  <si>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</si>
  <si>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</si>
  <si>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</si>
  <si>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</si>
  <si>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</si>
  <si>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</si>
  <si>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</si>
  <si>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</si>
  <si>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</si>
  <si>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</si>
  <si>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</si>
  <si>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</si>
  <si>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</si>
  <si>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</si>
  <si>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</si>
  <si>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</si>
  <si>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</si>
  <si>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</si>
  <si>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</si>
  <si>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</si>
  <si>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</si>
  <si>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</si>
  <si>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</si>
  <si>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</si>
  <si>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</si>
  <si>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</si>
  <si>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</si>
  <si>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</si>
  <si>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</si>
  <si>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</si>
  <si>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</si>
  <si>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</si>
  <si>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</si>
  <si>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</si>
  <si>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</si>
  <si>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</si>
  <si>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</si>
  <si>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</si>
  <si>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</si>
  <si>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</si>
  <si>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</si>
  <si>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</si>
  <si>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</si>
  <si>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</si>
  <si>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</si>
  <si>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</si>
  <si>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</si>
  <si>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</si>
  <si>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</si>
  <si>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</si>
  <si>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</si>
  <si>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</si>
  <si>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</si>
  <si>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</si>
  <si>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</si>
  <si>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</si>
  <si>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</si>
  <si>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</si>
  <si>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</si>
  <si>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</si>
  <si>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</si>
  <si>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</si>
  <si>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</si>
  <si>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</si>
  <si>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</si>
  <si>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</si>
  <si>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</si>
  <si>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</si>
  <si>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</si>
  <si>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</si>
  <si>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</si>
  <si>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</si>
  <si>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</si>
  <si>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</si>
  <si>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</si>
  <si>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</si>
  <si>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</si>
  <si>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</si>
  <si>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</si>
  <si>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</si>
  <si>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</si>
  <si>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</si>
  <si>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</si>
  <si>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</si>
  <si>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</si>
  <si>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</si>
  <si>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</si>
  <si>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</si>
  <si>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</si>
  <si>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</si>
  <si>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</si>
  <si>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</si>
  <si>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</si>
  <si>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</si>
  <si>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</si>
  <si>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</si>
  <si>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</si>
  <si>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</si>
  <si>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</si>
  <si>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</si>
  <si>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</si>
  <si>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</si>
  <si>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</si>
  <si>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</si>
  <si>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</si>
  <si>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</si>
  <si>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</si>
  <si>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</si>
  <si>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</si>
  <si>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</si>
  <si>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</si>
  <si>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</si>
  <si>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</si>
  <si>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</si>
  <si>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</si>
  <si>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</si>
  <si>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</si>
  <si>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</si>
  <si>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</si>
  <si>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</si>
  <si>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</si>
  <si>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</si>
  <si>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</si>
  <si>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</si>
  <si>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</si>
  <si>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</si>
  <si>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</si>
  <si>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</si>
  <si>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</si>
  <si>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</si>
  <si>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</si>
  <si>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</si>
  <si>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</si>
  <si>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</si>
  <si>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</si>
  <si>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</si>
  <si>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</si>
  <si>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</si>
  <si>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</si>
  <si>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</si>
  <si>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</si>
  <si>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</si>
  <si>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</si>
  <si>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</si>
  <si>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</si>
  <si>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</si>
  <si>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</si>
  <si>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</si>
  <si>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</si>
  <si>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</si>
  <si>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</si>
  <si>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</si>
  <si>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</si>
  <si>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</si>
  <si>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</si>
  <si>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</si>
  <si>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</si>
  <si>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</si>
  <si>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</si>
  <si>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</si>
  <si>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</si>
  <si>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</si>
  <si>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</si>
  <si>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</si>
  <si>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</si>
  <si>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</si>
  <si>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</si>
  <si>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</si>
  <si>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</si>
  <si>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</si>
  <si>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</si>
  <si>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</si>
  <si>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</si>
  <si>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</si>
  <si>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</si>
  <si>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</si>
  <si>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</si>
  <si>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</si>
  <si>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</si>
  <si>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</si>
  <si>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</si>
  <si>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</si>
  <si>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</si>
  <si>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</si>
  <si>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</si>
  <si>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</si>
  <si>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</si>
  <si>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</si>
  <si>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</si>
  <si>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</si>
  <si>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</si>
  <si>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</si>
  <si>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</si>
  <si>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</si>
  <si>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</si>
  <si>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</si>
  <si>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</si>
  <si>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</si>
  <si>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</si>
  <si>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</si>
  <si>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</si>
  <si>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</si>
  <si>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</si>
  <si>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</si>
  <si>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</si>
  <si>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</si>
  <si>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</si>
  <si>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</si>
  <si>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</si>
  <si>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</si>
  <si>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</si>
  <si>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</si>
  <si>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</si>
  <si>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</si>
  <si>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</si>
  <si>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</si>
  <si>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</si>
  <si>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</si>
  <si>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</si>
  <si>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</si>
  <si>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</si>
  <si>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</si>
  <si>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</si>
  <si>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</si>
  <si>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</si>
  <si>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</si>
  <si>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</si>
  <si>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</si>
  <si>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</si>
  <si>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</si>
  <si>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</si>
  <si>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</si>
  <si>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</si>
  <si>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</si>
  <si>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</si>
  <si>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</si>
  <si>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</si>
  <si>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</si>
  <si>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</si>
  <si>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</si>
  <si>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</si>
  <si>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</si>
  <si>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</si>
  <si>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</si>
  <si>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</si>
  <si>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</si>
  <si>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</si>
  <si>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</si>
  <si>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</si>
  <si>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</si>
  <si>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</si>
  <si>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</si>
  <si>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</si>
  <si>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</si>
  <si>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</si>
  <si>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</si>
  <si>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</si>
  <si>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</si>
  <si>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</si>
  <si>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</si>
  <si>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</si>
  <si>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</si>
  <si>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</si>
  <si>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</si>
  <si>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</si>
  <si>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</si>
  <si>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</si>
  <si>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</si>
  <si>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</si>
  <si>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</si>
  <si>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</si>
  <si>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</si>
  <si>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</si>
  <si>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</si>
  <si>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</si>
  <si>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</si>
  <si>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</si>
  <si>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</si>
  <si>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</si>
  <si>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</si>
  <si>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</si>
  <si>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</si>
  <si>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</si>
  <si>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</si>
  <si>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</si>
  <si>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</si>
  <si>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</si>
  <si>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</si>
  <si>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</si>
  <si>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</si>
  <si>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</si>
  <si>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</si>
  <si>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</si>
  <si>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</si>
  <si>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</si>
  <si>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</si>
  <si>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</si>
  <si>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</si>
  <si>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</si>
  <si>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</si>
  <si>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</si>
  <si>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</si>
  <si>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</si>
  <si>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</si>
  <si>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</si>
  <si>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</si>
  <si>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</si>
  <si>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</si>
  <si>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</si>
  <si>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</si>
  <si>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</si>
  <si>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</si>
  <si>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</si>
  <si>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</si>
  <si>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</si>
  <si>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</si>
  <si>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</si>
  <si>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</si>
  <si>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</si>
  <si>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</si>
  <si>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</si>
  <si>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</si>
  <si>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</si>
  <si>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</si>
  <si>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</si>
  <si>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</si>
  <si>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</si>
  <si>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</si>
  <si>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</si>
  <si>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</si>
  <si>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</si>
  <si>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</si>
  <si>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</si>
  <si>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</si>
  <si>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</si>
  <si>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</si>
  <si>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</si>
  <si>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</si>
  <si>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</si>
  <si>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</si>
  <si>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</si>
  <si>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</si>
  <si>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</si>
  <si>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</si>
  <si>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</si>
  <si>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</si>
  <si>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</si>
  <si>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</si>
  <si>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</si>
  <si>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</si>
  <si>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</si>
  <si>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</si>
  <si>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</si>
  <si>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</si>
  <si>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</si>
  <si>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</si>
  <si>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</si>
  <si>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</si>
  <si>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</si>
  <si>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</si>
  <si>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</si>
  <si>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</si>
  <si>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</si>
  <si>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</si>
  <si>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</si>
  <si>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</si>
  <si>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</si>
  <si>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</si>
  <si>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</si>
  <si>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</si>
  <si>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</si>
  <si>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</si>
  <si>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</si>
  <si>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</si>
  <si>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</si>
  <si>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</si>
  <si>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</si>
  <si>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</si>
  <si>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</si>
  <si>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</si>
  <si>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</si>
  <si>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</si>
  <si>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</si>
  <si>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</si>
  <si>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</si>
  <si>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</si>
  <si>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</si>
  <si>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</si>
  <si>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</si>
  <si>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</si>
  <si>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</si>
  <si>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</si>
  <si>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</si>
  <si>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</si>
  <si>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</si>
  <si>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</si>
  <si>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</si>
  <si>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</si>
  <si>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</si>
  <si>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</si>
  <si>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</si>
  <si>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</si>
  <si>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</si>
  <si>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</si>
  <si>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</si>
  <si>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</si>
  <si>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</si>
  <si>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</si>
  <si>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</si>
  <si>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</si>
  <si>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</si>
  <si>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</si>
  <si>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</si>
  <si>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</si>
  <si>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</si>
  <si>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</si>
  <si>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</si>
  <si>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</si>
  <si>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</si>
  <si>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</si>
  <si>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</si>
  <si>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</si>
  <si>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</si>
  <si>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</si>
  <si>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</si>
  <si>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</si>
  <si>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</si>
  <si>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</si>
  <si>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</si>
  <si>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</si>
  <si>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</si>
  <si>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</si>
  <si>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</si>
  <si>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</si>
  <si>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</si>
  <si>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</si>
  <si>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</si>
  <si>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</si>
  <si>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</si>
  <si>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</si>
  <si>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</si>
  <si>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</si>
  <si>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</si>
  <si>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</si>
  <si>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</si>
  <si>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</si>
  <si>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</si>
  <si>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</si>
  <si>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</si>
  <si>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</si>
  <si>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</si>
  <si>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</si>
  <si>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</si>
  <si>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</si>
  <si>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</si>
  <si>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</si>
  <si>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</si>
  <si>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</si>
  <si>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</si>
  <si>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</si>
  <si>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</si>
  <si>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</si>
  <si>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</si>
  <si>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</si>
  <si>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</si>
  <si>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</si>
  <si>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</si>
  <si>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</si>
  <si>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</si>
  <si>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</si>
  <si>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</si>
  <si>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</si>
  <si>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</si>
  <si>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</si>
  <si>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</si>
  <si>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</si>
  <si>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</si>
  <si>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</si>
  <si>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</si>
  <si>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</si>
  <si>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</si>
  <si>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</si>
  <si>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</si>
  <si>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</si>
  <si>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</si>
  <si>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</si>
  <si>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</si>
  <si>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</si>
  <si>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</si>
  <si>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</si>
  <si>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</si>
  <si>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</si>
  <si>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</si>
  <si>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</si>
  <si>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</si>
  <si>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</si>
  <si>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</si>
  <si>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</si>
  <si>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</si>
  <si>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</si>
  <si>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</si>
  <si>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</si>
  <si>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</si>
  <si>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</si>
  <si>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</si>
  <si>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</si>
  <si>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</si>
  <si>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</si>
  <si>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</si>
  <si>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</si>
  <si>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</si>
  <si>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</si>
  <si>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</si>
  <si>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</si>
  <si>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</si>
  <si>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</si>
  <si>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</si>
  <si>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</si>
  <si>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</si>
  <si>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</si>
  <si>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</si>
  <si>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</si>
  <si>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</si>
  <si>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</si>
  <si>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</si>
  <si>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</si>
  <si>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</si>
  <si>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</si>
  <si>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</si>
  <si>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</si>
  <si>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</si>
  <si>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</si>
  <si>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</si>
  <si>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</si>
  <si>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</si>
  <si>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</si>
  <si>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</si>
  <si>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</si>
  <si>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</si>
  <si>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</si>
  <si>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</si>
  <si>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</si>
  <si>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</si>
  <si>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</si>
  <si>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</si>
  <si>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</si>
  <si>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</si>
  <si>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</si>
  <si>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</si>
  <si>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</si>
  <si>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</si>
  <si>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</si>
  <si>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</si>
  <si>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</si>
  <si>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</si>
  <si>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</si>
  <si>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</si>
  <si>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</si>
  <si>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</si>
  <si>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</si>
  <si>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</si>
  <si>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</si>
  <si>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</si>
  <si>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</si>
  <si>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</si>
  <si>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</si>
  <si>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</si>
  <si>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</si>
  <si>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</si>
  <si>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</si>
  <si>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</si>
  <si>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</si>
  <si>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</si>
  <si>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</si>
  <si>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</si>
  <si>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</si>
  <si>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</si>
  <si>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</si>
  <si>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</si>
  <si>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</si>
  <si>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</si>
  <si>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</si>
  <si>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</si>
  <si>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</si>
  <si>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</si>
  <si>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</si>
  <si>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</si>
  <si>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</si>
  <si>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</si>
  <si>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</si>
  <si>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</si>
  <si>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</si>
  <si>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</si>
  <si>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</si>
  <si>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</si>
  <si>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</si>
  <si>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</si>
  <si>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</si>
  <si>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</si>
  <si>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</si>
  <si>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</si>
  <si>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</si>
  <si>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</si>
  <si>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</si>
  <si>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</si>
  <si>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</si>
  <si>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</si>
  <si>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</si>
  <si>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</si>
  <si>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</si>
  <si>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</si>
  <si>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</si>
  <si>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</si>
  <si>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</si>
  <si>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</si>
  <si>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</si>
  <si>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</si>
  <si>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</si>
  <si>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</si>
  <si>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</si>
  <si>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</si>
  <si>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</si>
  <si>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</si>
  <si>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</si>
  <si>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</si>
  <si>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</si>
  <si>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</si>
  <si>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</si>
  <si>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</si>
  <si>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</si>
  <si>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</si>
  <si>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</si>
  <si>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</si>
  <si>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</si>
  <si>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</si>
  <si>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</si>
  <si>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</si>
  <si>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</si>
  <si>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</si>
  <si>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</si>
  <si>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</si>
  <si>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</si>
  <si>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</si>
  <si>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</si>
  <si>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</si>
  <si>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</si>
  <si>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</si>
  <si>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</si>
  <si>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</si>
  <si>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</si>
  <si>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</si>
  <si>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</si>
  <si>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</si>
  <si>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</si>
  <si>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</si>
  <si>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</si>
  <si>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</si>
  <si>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</si>
  <si>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</si>
  <si>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</si>
  <si>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</si>
  <si>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</si>
  <si>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</si>
  <si>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</si>
  <si>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</si>
  <si>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</si>
  <si>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</si>
  <si>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</si>
  <si>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</si>
  <si>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</si>
  <si>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</si>
  <si>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</si>
  <si>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</si>
  <si>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</si>
  <si>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</si>
  <si>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</si>
  <si>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</si>
  <si>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</si>
  <si>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</si>
  <si>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</si>
  <si>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</si>
  <si>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</si>
  <si>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</si>
  <si>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</si>
  <si>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</si>
  <si>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</si>
  <si>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</si>
  <si>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</si>
  <si>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</si>
  <si>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</si>
  <si>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</si>
  <si>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</si>
  <si>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</si>
  <si>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</si>
  <si>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</si>
  <si>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</si>
  <si>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</si>
  <si>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</si>
  <si>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</si>
  <si>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</si>
  <si>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</si>
  <si>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</si>
  <si>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</si>
  <si>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</si>
  <si>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</si>
  <si>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</si>
  <si>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</si>
  <si>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</si>
  <si>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</si>
  <si>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</si>
  <si>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</si>
  <si>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</si>
  <si>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</si>
  <si>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</si>
  <si>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</si>
  <si>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</si>
  <si>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</si>
  <si>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</si>
  <si>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</si>
  <si>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</si>
  <si>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</si>
  <si>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</si>
  <si>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</si>
  <si>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</si>
  <si>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</si>
  <si>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</si>
  <si>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</si>
  <si>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</si>
  <si>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</si>
  <si>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</si>
  <si>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</si>
  <si>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</si>
  <si>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</si>
  <si>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</si>
  <si>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</si>
  <si>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</si>
  <si>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</si>
  <si>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</si>
  <si>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</si>
  <si>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</si>
  <si>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</si>
  <si>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</si>
  <si>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</si>
  <si>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</si>
  <si>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</si>
  <si>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</si>
  <si>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</si>
  <si>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</si>
  <si>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</si>
  <si>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</si>
  <si>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</si>
  <si>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</si>
  <si>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</si>
  <si>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</si>
  <si>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</si>
  <si>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</si>
  <si>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</si>
  <si>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</si>
  <si>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</si>
  <si>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</si>
  <si>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</si>
  <si>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</si>
  <si>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</si>
  <si>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</si>
  <si>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</si>
  <si>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</si>
  <si>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</si>
  <si>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</si>
  <si>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</si>
  <si>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</si>
  <si>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</si>
  <si>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</si>
  <si>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</si>
  <si>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</si>
  <si>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</si>
  <si>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</si>
  <si>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</si>
  <si>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</si>
  <si>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</si>
  <si>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</si>
  <si>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</si>
  <si>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</si>
  <si>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</si>
  <si>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</si>
  <si>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</si>
  <si>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</si>
  <si>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</si>
  <si>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</si>
  <si>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</si>
  <si>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</si>
  <si>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</si>
  <si>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</si>
  <si>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</si>
  <si>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</si>
  <si>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</si>
  <si>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</si>
  <si>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</si>
  <si>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</si>
  <si>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</si>
  <si>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</si>
  <si>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</si>
  <si>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</si>
  <si>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</si>
  <si>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</si>
  <si>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</si>
  <si>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</si>
  <si>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</si>
  <si>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</si>
  <si>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</si>
  <si>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</si>
  <si>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</si>
  <si>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</si>
  <si>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</si>
  <si>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</si>
  <si>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</si>
  <si>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</si>
  <si>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</si>
  <si>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</si>
  <si>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</si>
  <si>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</si>
  <si>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</si>
  <si>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</si>
  <si>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</si>
  <si>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</si>
  <si>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</si>
  <si>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</si>
  <si>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</si>
  <si>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</si>
  <si>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</si>
  <si>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</si>
  <si>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</si>
  <si>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</si>
  <si>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</si>
  <si>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</si>
  <si>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</si>
  <si>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</si>
  <si>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</si>
  <si>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</si>
  <si>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</si>
  <si>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</si>
  <si>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</si>
  <si>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</si>
  <si>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</si>
  <si>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</si>
  <si>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</si>
  <si>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</si>
  <si>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</si>
  <si>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</si>
  <si>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</si>
  <si>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</si>
  <si>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</si>
  <si>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</si>
  <si>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</si>
  <si>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</si>
  <si>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</si>
  <si>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</si>
  <si>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</si>
  <si>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</si>
  <si>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</si>
  <si>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</si>
  <si>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</si>
  <si>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</si>
  <si>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</si>
  <si>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</si>
  <si>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</si>
  <si>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</si>
  <si>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</si>
  <si>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</si>
  <si>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</si>
  <si>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</si>
  <si>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</si>
  <si>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</si>
  <si>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</si>
  <si>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</si>
  <si>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</si>
  <si>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</si>
  <si>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</si>
  <si>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</si>
  <si>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</si>
  <si>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</si>
  <si>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</si>
  <si>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</si>
  <si>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</si>
  <si>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</si>
  <si>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</si>
  <si>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</si>
  <si>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</si>
  <si>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</si>
  <si>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</si>
  <si>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</si>
  <si>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</si>
  <si>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</si>
  <si>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</si>
  <si>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</si>
  <si>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</si>
  <si>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</si>
  <si>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</si>
  <si>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</si>
  <si>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</si>
  <si>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</si>
  <si>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</si>
  <si>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</si>
  <si>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</si>
  <si>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</si>
  <si>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</si>
  <si>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</si>
  <si>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</si>
  <si>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</si>
  <si>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</si>
  <si>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</si>
  <si>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</si>
  <si>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</si>
  <si>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</si>
  <si>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</si>
  <si>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</si>
  <si>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</si>
  <si>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</si>
  <si>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</si>
  <si>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</si>
  <si>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</si>
  <si>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</si>
  <si>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</si>
  <si>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</si>
  <si>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</si>
  <si>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</si>
  <si>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</si>
  <si>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</si>
  <si>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</si>
  <si>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</si>
  <si>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</si>
  <si>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</si>
  <si>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</si>
  <si>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</si>
  <si>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</si>
  <si>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</si>
  <si>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</si>
  <si>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</si>
  <si>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</si>
  <si>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</si>
  <si>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</si>
  <si>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</si>
  <si>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</si>
  <si>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</si>
  <si>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</si>
  <si>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</si>
  <si>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</si>
  <si>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</si>
  <si>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</si>
  <si>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</si>
  <si>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</si>
  <si>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</si>
  <si>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</si>
  <si>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</si>
  <si>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</si>
  <si>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</si>
  <si>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</si>
  <si>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</si>
  <si>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</si>
  <si>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</si>
  <si>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</si>
  <si>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</si>
  <si>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</si>
  <si>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</si>
  <si>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</si>
  <si>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</si>
  <si>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</si>
  <si>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</si>
  <si>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</si>
  <si>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</si>
  <si>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</si>
  <si>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</si>
  <si>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</si>
  <si>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</si>
  <si>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</si>
  <si>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</si>
  <si>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</si>
  <si>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</si>
  <si>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</si>
  <si>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</si>
  <si>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</si>
  <si>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</si>
  <si>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</si>
  <si>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</si>
  <si>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</si>
  <si>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</si>
  <si>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</si>
  <si>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</si>
  <si>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</si>
  <si>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</si>
  <si>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</si>
  <si>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</si>
  <si>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</si>
  <si>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</si>
  <si>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</si>
  <si>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</si>
  <si>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</si>
  <si>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</si>
  <si>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</si>
  <si>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</si>
  <si>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</si>
  <si>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</si>
  <si>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</si>
  <si>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</si>
  <si>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</si>
  <si>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</si>
  <si>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</si>
  <si>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</si>
  <si>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</si>
  <si>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</si>
  <si>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</si>
  <si>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</si>
  <si>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</si>
  <si>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</si>
  <si>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</si>
  <si>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</si>
  <si>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</si>
  <si>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</si>
  <si>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</si>
  <si>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</si>
  <si>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</si>
  <si>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</si>
  <si>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</si>
  <si>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</si>
  <si>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</si>
  <si>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</si>
  <si>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</si>
  <si>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</si>
  <si>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</si>
  <si>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</si>
  <si>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</si>
  <si>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</si>
  <si>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</si>
  <si>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</si>
  <si>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</si>
  <si>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</si>
  <si>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</si>
  <si>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</si>
  <si>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</si>
  <si>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</si>
  <si>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</si>
  <si>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</si>
  <si>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</si>
  <si>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</si>
  <si>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</si>
  <si>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</si>
  <si>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</si>
  <si>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</si>
  <si>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</si>
  <si>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</si>
  <si>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</si>
  <si>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</si>
  <si>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</si>
  <si>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</si>
  <si>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</si>
  <si>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</si>
  <si>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</si>
  <si>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</si>
  <si>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</si>
  <si>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</si>
  <si>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</si>
  <si>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</si>
  <si>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</si>
  <si>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</si>
  <si>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</si>
  <si>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</si>
  <si>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</si>
  <si>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</si>
  <si>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</si>
  <si>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</si>
  <si>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</si>
  <si>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</si>
  <si>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</si>
  <si>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</si>
  <si>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</si>
  <si>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</si>
  <si>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</si>
  <si>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</si>
  <si>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</si>
  <si>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</si>
  <si>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</si>
  <si>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</si>
  <si>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</si>
  <si>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</si>
  <si>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</si>
  <si>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</si>
  <si>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</si>
  <si>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</si>
  <si>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</si>
  <si>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</si>
  <si>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</si>
  <si>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</si>
  <si>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</si>
  <si>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</si>
  <si>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</si>
  <si>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</si>
  <si>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</si>
  <si>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</si>
  <si>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</si>
  <si>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</si>
  <si>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</si>
  <si>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</si>
  <si>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</si>
  <si>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</si>
  <si>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</si>
  <si>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</si>
  <si>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</si>
  <si>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</si>
  <si>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</si>
  <si>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</si>
  <si>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</si>
  <si>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</si>
  <si>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</si>
  <si>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</si>
  <si>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</si>
  <si>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</si>
  <si>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</si>
  <si>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</si>
  <si>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</si>
  <si>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</si>
  <si>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</si>
  <si>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</si>
  <si>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</si>
  <si>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</si>
  <si>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</si>
  <si>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</si>
  <si>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</si>
  <si>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</si>
  <si>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</si>
  <si>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</si>
  <si>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</si>
  <si>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</si>
  <si>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</si>
  <si>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</si>
  <si>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</si>
  <si>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</si>
  <si>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</si>
  <si>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</si>
  <si>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</si>
  <si>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</si>
  <si>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</si>
  <si>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</si>
  <si>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</si>
  <si>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</si>
  <si>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</si>
  <si>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</si>
  <si>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</si>
  <si>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</si>
  <si>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</si>
  <si>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</si>
  <si>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</si>
  <si>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</si>
  <si>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</si>
  <si>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</si>
  <si>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</si>
  <si>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</si>
  <si>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</si>
  <si>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</si>
  <si>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</si>
  <si>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</si>
  <si>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</si>
  <si>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</si>
  <si>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</si>
  <si>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</si>
  <si>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</si>
  <si>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</si>
  <si>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</si>
  <si>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</si>
  <si>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</si>
  <si>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</si>
  <si>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</si>
  <si>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</si>
  <si>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</si>
  <si>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</si>
  <si>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</si>
  <si>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</si>
  <si>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</si>
  <si>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</si>
  <si>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</si>
  <si>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</si>
  <si>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</si>
  <si>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</si>
  <si>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</si>
  <si>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</si>
  <si>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</si>
  <si>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</si>
  <si>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</si>
  <si>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</si>
  <si>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</si>
  <si>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</si>
  <si>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</si>
  <si>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</si>
  <si>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</si>
  <si>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</si>
  <si>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</si>
  <si>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</si>
  <si>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</si>
  <si>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</si>
  <si>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</si>
  <si>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</si>
  <si>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</si>
  <si>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</si>
  <si>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</si>
  <si>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</si>
  <si>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</si>
  <si>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</si>
  <si>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</si>
  <si>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</si>
  <si>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</si>
  <si>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t>地上</t>
  </si>
  <si>
    <t>是</t>
  </si>
  <si>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</si>
  <si>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</si>
  <si>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</si>
  <si>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</si>
  <si>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</si>
  <si>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</si>
  <si>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</si>
  <si>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</si>
  <si>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</si>
  <si>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</si>
  <si>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</si>
  <si>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</si>
  <si>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</si>
  <si>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</si>
  <si>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</si>
  <si>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</si>
  <si>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</si>
  <si>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</si>
  <si>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</si>
  <si>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</si>
  <si>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</si>
  <si>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</si>
  <si>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</si>
  <si>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</si>
  <si>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</si>
  <si>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</si>
  <si>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</si>
  <si>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</si>
  <si>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</si>
  <si>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</si>
  <si>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</si>
  <si>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</si>
  <si>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</si>
  <si>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</si>
  <si>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</si>
  <si>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</si>
  <si>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</si>
  <si>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</si>
  <si>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</si>
  <si>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</si>
  <si>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</si>
  <si>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</si>
  <si>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</si>
  <si>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</si>
  <si>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</si>
  <si>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</si>
  <si>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</si>
  <si>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</si>
  <si>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</si>
  <si>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</si>
  <si>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</si>
  <si>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</si>
  <si>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</si>
  <si>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</si>
  <si>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</si>
  <si>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</si>
  <si>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</si>
  <si>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</si>
  <si>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</si>
  <si>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</si>
  <si>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</si>
  <si>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</si>
  <si>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</si>
  <si>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</si>
  <si>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</si>
  <si>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</si>
  <si>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</si>
  <si>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</si>
  <si>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</si>
  <si>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</si>
  <si>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</si>
  <si>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</si>
  <si>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</si>
  <si>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</si>
  <si>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</si>
  <si>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</si>
  <si>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</si>
  <si>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</si>
  <si>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</si>
  <si>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</si>
  <si>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</si>
  <si>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</si>
  <si>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</si>
  <si>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</si>
  <si>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</si>
  <si>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</si>
  <si>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</si>
  <si>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</si>
  <si>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</si>
  <si>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</si>
  <si>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</si>
  <si>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</si>
  <si>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</si>
  <si>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</si>
  <si>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</si>
  <si>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</si>
  <si>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</si>
  <si>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</si>
  <si>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</si>
  <si>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</si>
  <si>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</si>
  <si>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</si>
  <si>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</si>
  <si>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</si>
  <si>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</si>
  <si>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</si>
  <si>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</si>
  <si>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</si>
  <si>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</si>
  <si>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</si>
  <si>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</si>
  <si>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</si>
  <si>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</si>
  <si>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</si>
  <si>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</si>
  <si>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</si>
  <si>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</si>
  <si>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</si>
  <si>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</si>
  <si>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</si>
  <si>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</si>
  <si>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</si>
  <si>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</si>
  <si>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</si>
  <si>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</si>
  <si>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</si>
  <si>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</si>
  <si>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</si>
  <si>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</si>
  <si>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</si>
  <si>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</si>
  <si>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</si>
  <si>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</si>
  <si>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</si>
  <si>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</si>
  <si>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</si>
  <si>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</si>
  <si>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</si>
  <si>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</si>
  <si>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</si>
  <si>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</si>
  <si>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</si>
  <si>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</si>
  <si>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</si>
  <si>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</si>
  <si>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</si>
  <si>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</si>
  <si>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</si>
  <si>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</si>
  <si>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</si>
  <si>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</si>
  <si>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</si>
  <si>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</si>
  <si>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</si>
  <si>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</si>
  <si>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</si>
  <si>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</si>
  <si>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</si>
  <si>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</si>
  <si>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</si>
  <si>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</si>
  <si>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</si>
  <si>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</si>
  <si>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</si>
  <si>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</si>
  <si>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</si>
  <si>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</si>
  <si>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</si>
  <si>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</si>
  <si>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</si>
  <si>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</si>
  <si>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</si>
  <si>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</si>
  <si>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</si>
  <si>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</si>
  <si>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</si>
  <si>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</si>
  <si>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</si>
  <si>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</si>
  <si>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</si>
  <si>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</si>
  <si>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</si>
  <si>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</si>
  <si>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</si>
  <si>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</si>
  <si>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</si>
  <si>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</si>
  <si>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</si>
  <si>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</si>
  <si>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</si>
  <si>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</si>
  <si>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</si>
  <si>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</si>
  <si>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</si>
  <si>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</si>
  <si>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</si>
  <si>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</si>
  <si>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</si>
  <si>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</si>
  <si>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</si>
  <si>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</si>
  <si>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</si>
  <si>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</si>
  <si>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</si>
  <si>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</si>
  <si>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</si>
  <si>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</si>
  <si>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</si>
  <si>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</si>
  <si>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</si>
  <si>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</si>
  <si>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</si>
  <si>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</si>
  <si>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</si>
  <si>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</si>
  <si>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</si>
  <si>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</si>
  <si>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</si>
  <si>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</si>
  <si>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</si>
  <si>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</si>
  <si>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</si>
  <si>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</si>
  <si>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</si>
  <si>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</si>
  <si>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</si>
  <si>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</si>
  <si>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t>按公示增长率计算</t>
  </si>
  <si>
    <t>基准地价</t>
  </si>
  <si>
    <t>2018-1-0027-P01DYGJ1</t>
    <phoneticPr fontId="6" type="noConversion"/>
  </si>
  <si>
    <t>已注销</t>
  </si>
  <si>
    <t>2.估价师知悉的除抵押担保权以外的法定优先受偿款</t>
  </si>
  <si>
    <t>注销后放款</t>
  </si>
  <si>
    <t>建筑面积</t>
  </si>
  <si>
    <t>分摊土地面积</t>
  </si>
  <si>
    <t>建筑物价值</t>
  </si>
  <si>
    <t>宏远天竺仓储商铺租赁明细</t>
    <phoneticPr fontId="143" type="noConversion"/>
  </si>
  <si>
    <t>砖混</t>
    <phoneticPr fontId="143" type="noConversion"/>
  </si>
  <si>
    <t>北京北工药业有限公司</t>
    <phoneticPr fontId="6" type="noConversion"/>
  </si>
  <si>
    <r>
      <t>50</t>
    </r>
    <r>
      <rPr>
        <sz val="12"/>
        <color theme="9" tint="-0.249977111117893"/>
        <rFont val="宋体"/>
        <family val="3"/>
        <charset val="134"/>
      </rPr>
      <t>年</t>
    </r>
    <phoneticPr fontId="6" type="noConversion"/>
  </si>
  <si>
    <t>《房屋所有权证》</t>
    <phoneticPr fontId="6" type="noConversion"/>
  </si>
  <si>
    <t>《国有土地使用证》</t>
    <phoneticPr fontId="6"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</si>
  <si>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</si>
  <si>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</si>
  <si>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1</t>
    </r>
    <r>
      <rPr>
        <sz val="10"/>
        <color indexed="8"/>
        <rFont val="宋体"/>
        <family val="3"/>
        <charset val="134"/>
      </rPr>
      <t>层钢</t>
    </r>
    <phoneticPr fontId="3" type="noConversion"/>
  </si>
  <si>
    <t>标准厂房</t>
  </si>
  <si>
    <t>厂房</t>
  </si>
  <si>
    <t>厂房</t>
    <phoneticPr fontId="7" type="noConversion"/>
  </si>
  <si>
    <t>混合</t>
    <phoneticPr fontId="3" type="noConversion"/>
  </si>
  <si>
    <t>钢</t>
    <phoneticPr fontId="3" type="noConversion"/>
  </si>
  <si>
    <t>直线折旧</t>
    <phoneticPr fontId="3" type="noConversion"/>
  </si>
  <si>
    <t>综合</t>
    <phoneticPr fontId="3" type="noConversion"/>
  </si>
  <si>
    <t>五通一平</t>
  </si>
  <si>
    <t>成本比率</t>
  </si>
  <si>
    <t>地块名称</t>
  </si>
  <si>
    <t>城市</t>
  </si>
  <si>
    <t>用地性质</t>
  </si>
  <si>
    <t>区县</t>
  </si>
  <si>
    <t>成交日期</t>
  </si>
  <si>
    <t>成交每亩价(万元/亩)</t>
  </si>
  <si>
    <t>成交楼面价(元/㎡)</t>
  </si>
  <si>
    <t>顺义新城第14街区SY00-0014-6001M1一类工业用地项目</t>
  </si>
  <si>
    <t>顺义区</t>
  </si>
  <si>
    <t>顺义区天竺综合保税区3-4(C12地块局部)地块</t>
  </si>
  <si>
    <t>顺义区新城第26街区C-19(网内8号地)</t>
  </si>
  <si>
    <t>顺义区赵全营镇SY19-0107-0001至0003(即SY10-0107-6003)地块</t>
  </si>
  <si>
    <t>顺义区金马工业区D1-01-1地块</t>
  </si>
  <si>
    <t>顺义区高丽营镇中关村临空国际3-2-4(南区)地块工业项目</t>
  </si>
  <si>
    <t>顺义区高丽营镇中关村临空国际5-3-2地块工业项目</t>
  </si>
  <si>
    <t>顺义区赵全营B5-02地块工业项目</t>
  </si>
  <si>
    <t>顺义区高丽营镇中关村临空国际5-3-3地块工业项目</t>
  </si>
  <si>
    <t>土地成交最高</t>
    <phoneticPr fontId="8" type="noConversion"/>
  </si>
  <si>
    <t>每亩价</t>
    <phoneticPr fontId="8" type="noConversion"/>
  </si>
  <si>
    <t>未包含在土地购买价格中</t>
  </si>
  <si>
    <t>顺义区京密路马坡段西侧</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</si>
</sst>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 numFmtId="197" formatCode="#,##0_);[Red]\(#,##0\)"/>
    <numFmt numFmtId="198" formatCode="#,##0.0_);[Red]\(#,##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font>
    <font>
      <u/>
      <sz val="11"/>
      <color theme="10"/>
      <name val="宋体"/>
      <family val="3"/>
      <charset val="134"/>
      <scheme val="minor"/>
    </font>
    <font>
      <b/>
      <sz val="9"/>
      <color rgb="FF444444"/>
      <name val="Verdana"/>
      <family val="2"/>
    </font>
    <font>
      <sz val="9"/>
      <color rgb="FF3333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D6D6D6"/>
      </bottom>
      <diagonal/>
    </border>
    <border>
      <left/>
      <right style="medium">
        <color rgb="FFD6D6D6"/>
      </right>
      <top/>
      <bottom style="medium">
        <color rgb="FFD6D6D6"/>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xf numFmtId="0" fontId="270" fillId="0" borderId="0" applyNumberFormat="0" applyFill="0" applyBorder="0" applyAlignment="0" applyProtection="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49" fontId="224" fillId="0" borderId="4" xfId="0" applyNumberFormat="1" applyFont="1" applyFill="1" applyBorder="1" applyAlignment="1" applyProtection="1">
      <alignment horizontal="left" vertical="center"/>
      <protection locked="0"/>
    </xf>
    <xf numFmtId="0" fontId="64" fillId="11" borderId="0" xfId="0" applyFont="1" applyFill="1" applyBorder="1" applyAlignment="1" applyProtection="1">
      <alignment vertical="center"/>
      <protection locked="0"/>
    </xf>
    <xf numFmtId="0" fontId="64" fillId="11" borderId="13" xfId="0" applyFont="1" applyFill="1" applyBorder="1" applyAlignment="1" applyProtection="1">
      <alignment horizontal="left" vertical="center"/>
      <protection locked="0"/>
    </xf>
    <xf numFmtId="0" fontId="50" fillId="11" borderId="15" xfId="0" applyFont="1" applyFill="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0" fontId="47" fillId="0" borderId="2" xfId="0" applyNumberFormat="1" applyFont="1" applyBorder="1" applyAlignment="1" applyProtection="1">
      <alignment horizontal="center" vertical="center" wrapText="1"/>
      <protection locked="0"/>
    </xf>
    <xf numFmtId="0" fontId="271" fillId="13" borderId="156" xfId="0" applyFont="1" applyFill="1" applyBorder="1" applyAlignment="1">
      <alignment horizontal="center" vertical="center"/>
    </xf>
    <xf numFmtId="0" fontId="271" fillId="13" borderId="157" xfId="0" applyFont="1" applyFill="1" applyBorder="1" applyAlignment="1">
      <alignment horizontal="center" vertical="center"/>
    </xf>
    <xf numFmtId="0" fontId="270" fillId="13" borderId="156" xfId="15" applyFill="1" applyBorder="1" applyAlignment="1">
      <alignment horizontal="left" vertical="center"/>
    </xf>
    <xf numFmtId="0" fontId="272" fillId="13" borderId="156" xfId="0" applyFont="1" applyFill="1" applyBorder="1">
      <alignment vertical="center"/>
    </xf>
    <xf numFmtId="0" fontId="272" fillId="13" borderId="157" xfId="0" applyFont="1" applyFill="1" applyBorder="1">
      <alignment vertical="center"/>
    </xf>
    <xf numFmtId="0" fontId="272" fillId="13" borderId="156" xfId="0" applyFont="1" applyFill="1" applyBorder="1" applyAlignment="1">
      <alignment horizontal="left" vertical="center"/>
    </xf>
    <xf numFmtId="14" fontId="272" fillId="13" borderId="156" xfId="0" applyNumberFormat="1" applyFont="1" applyFill="1" applyBorder="1" applyAlignment="1">
      <alignment horizontal="left" vertical="center"/>
    </xf>
    <xf numFmtId="0" fontId="272" fillId="13" borderId="156" xfId="0" applyFont="1" applyFill="1" applyBorder="1" applyAlignment="1">
      <alignment horizontal="right" vertical="center"/>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0" borderId="1" xfId="0" applyFont="1" applyBorder="1" applyAlignment="1">
      <alignment horizontal="center" vertical="center"/>
    </xf>
    <xf numFmtId="0" fontId="37" fillId="19" borderId="1" xfId="0" applyFont="1"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6">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5" builtinId="8"/>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141696</xdr:colOff>
      <xdr:row>41</xdr:row>
      <xdr:rowOff>56522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52650"/>
          <a:ext cx="9438096" cy="5028572"/>
        </a:xfrm>
        <a:prstGeom prst="rect">
          <a:avLst/>
        </a:prstGeom>
      </xdr:spPr>
    </xdr:pic>
    <xdr:clientData/>
  </xdr:twoCellAnchor>
  <xdr:twoCellAnchor editAs="oneCell">
    <xdr:from>
      <xdr:col>0</xdr:col>
      <xdr:colOff>0</xdr:colOff>
      <xdr:row>42</xdr:row>
      <xdr:rowOff>0</xdr:rowOff>
    </xdr:from>
    <xdr:to>
      <xdr:col>13</xdr:col>
      <xdr:colOff>389315</xdr:colOff>
      <xdr:row>56</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96150"/>
          <a:ext cx="9685715" cy="2561905"/>
        </a:xfrm>
        <a:prstGeom prst="rect">
          <a:avLst/>
        </a:prstGeom>
      </xdr:spPr>
    </xdr:pic>
    <xdr:clientData/>
  </xdr:twoCellAnchor>
  <xdr:twoCellAnchor editAs="oneCell">
    <xdr:from>
      <xdr:col>0</xdr:col>
      <xdr:colOff>0</xdr:colOff>
      <xdr:row>58</xdr:row>
      <xdr:rowOff>0</xdr:rowOff>
    </xdr:from>
    <xdr:to>
      <xdr:col>13</xdr:col>
      <xdr:colOff>160744</xdr:colOff>
      <xdr:row>66</xdr:row>
      <xdr:rowOff>85543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039350"/>
          <a:ext cx="9457144" cy="1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398886</xdr:colOff>
      <xdr:row>41</xdr:row>
      <xdr:rowOff>103884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14286" cy="7133334"/>
        </a:xfrm>
        <a:prstGeom prst="rect">
          <a:avLst/>
        </a:prstGeom>
      </xdr:spPr>
    </xdr:pic>
    <xdr:clientData/>
  </xdr:twoCellAnchor>
  <xdr:twoCellAnchor editAs="oneCell">
    <xdr:from>
      <xdr:col>0</xdr:col>
      <xdr:colOff>0</xdr:colOff>
      <xdr:row>42</xdr:row>
      <xdr:rowOff>0</xdr:rowOff>
    </xdr:from>
    <xdr:to>
      <xdr:col>13</xdr:col>
      <xdr:colOff>522696</xdr:colOff>
      <xdr:row>55</xdr:row>
      <xdr:rowOff>152103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9438096" cy="2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8" Type="http://schemas.openxmlformats.org/officeDocument/2006/relationships/hyperlink" Target="http://land.creis.fang.com/Detail?sParceliD=6ec21a0c-f1b4-42f7-8bc9-e145f2fd3c5f" TargetMode="External"/><Relationship Id="rId3" Type="http://schemas.openxmlformats.org/officeDocument/2006/relationships/hyperlink" Target="http://land.creis.fang.com/Detail?sParceliD=8d1f9dd1-7a37-48bb-bb8e-b7446bd3bb75" TargetMode="External"/><Relationship Id="rId7" Type="http://schemas.openxmlformats.org/officeDocument/2006/relationships/hyperlink" Target="http://land.creis.fang.com/Detail?sParceliD=ce09a615-1f04-4407-a015-595d84b97481" TargetMode="External"/><Relationship Id="rId2" Type="http://schemas.openxmlformats.org/officeDocument/2006/relationships/hyperlink" Target="http://land.creis.fang.com/Detail?sParceliD=4b7fe86f-a362-4d86-99e2-2e0adf2b2c47" TargetMode="External"/><Relationship Id="rId1" Type="http://schemas.openxmlformats.org/officeDocument/2006/relationships/hyperlink" Target="http://land.creis.fang.com/Detail?sParceliD=f057c036-38fa-46a1-a87e-747329d107f2" TargetMode="External"/><Relationship Id="rId6" Type="http://schemas.openxmlformats.org/officeDocument/2006/relationships/hyperlink" Target="http://land.creis.fang.com/Detail?sParceliD=86935845-45dc-4f45-9fea-cfa9a45f3501" TargetMode="External"/><Relationship Id="rId5" Type="http://schemas.openxmlformats.org/officeDocument/2006/relationships/hyperlink" Target="http://land.creis.fang.com/Detail?sParceliD=a474aaef-9c39-4b48-a527-399d8c49d88c" TargetMode="External"/><Relationship Id="rId10" Type="http://schemas.openxmlformats.org/officeDocument/2006/relationships/drawing" Target="../drawings/drawing3.xml"/><Relationship Id="rId4" Type="http://schemas.openxmlformats.org/officeDocument/2006/relationships/hyperlink" Target="http://land.creis.fang.com/Detail?sParceliD=99345c03-d9e8-4666-997e-9dfe9a7fe598" TargetMode="External"/><Relationship Id="rId9" Type="http://schemas.openxmlformats.org/officeDocument/2006/relationships/hyperlink" Target="http://land.creis.fang.com/Detail?sParceliD=27764e6f-9139-4899-b9b0-88cf13508c67"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北京市顺义区京密路马坡段西侧房地产抵押价值预评估</v>
      </c>
    </row>
    <row r="3" spans="1:2" s="1594" customFormat="1">
      <c r="A3" s="1592" t="s">
        <v>1221</v>
      </c>
      <c r="B3" s="1593" t="str">
        <f>'预评函-封皮'!B40</f>
        <v>北京北工药业有限公司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康正预评字2018-1-0027-P01DYGJ1号</v>
      </c>
    </row>
    <row r="6" spans="1:2" s="1591" customFormat="1" ht="15" thickTop="1">
      <c r="A6" s="1589" t="s">
        <v>1224</v>
      </c>
      <c r="B6" s="1590" t="str">
        <f>'预评函-1'!A4</f>
        <v>受贵公司委托，我公司对北京市顺义区京密路马坡段西侧房地产抵押价值进行了预评估。</v>
      </c>
    </row>
    <row r="7" spans="1:2" s="1594" customFormat="1">
      <c r="A7" s="1592" t="s">
        <v>1264</v>
      </c>
      <c r="B7" s="1593" t="str">
        <f>'预评函-1'!A7</f>
        <v>估价对象为北京市顺义区京密路马坡段西侧房地产，为北京北工药业有限公司所有。根据《国有土地使用证》，估价对象（分摊）出让国有建设用地使用权面积为8089.25平方米。根据《房屋所有权证》，估价对象建筑面积为5755.45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京密路马坡段西侧房地产,为北京北工药业有限公司开发建设的工业项目，该项目尚在开发建设中。根据《国有土地使用证》，估价对象（分摊）出让国有建设用地使用权面积为8089.25平方米。根据《房屋所有权证》，估价对象规划建筑面积为5755.45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2018年2月7日（评估专业人员实地查勘之日）</v>
      </c>
    </row>
    <row r="13" spans="1:2" s="1594" customFormat="1">
      <c r="A13" s="1592" t="s">
        <v>1227</v>
      </c>
      <c r="B13" s="1593" t="str">
        <f>'预评函-1'!A18</f>
        <v>本次估价的“房地产价值”是指在正常市场情况下，在价值时点2018年2月7日，估价对象规划用途为工业，土地取得方式为出让，出让国有建设用地使用权剩余土地使用年限为50年，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七通”（即通路、通电、通讯、通上水、通下水、燃气、）、红线内场地平整条件下，剩余土地使用年限为50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3368</v>
      </c>
    </row>
    <row r="21" spans="1:2" s="1594" customFormat="1">
      <c r="A21" s="1592" t="s">
        <v>1235</v>
      </c>
      <c r="B21" s="1593">
        <f ca="1">'预评函-2'!D7</f>
        <v>5852</v>
      </c>
    </row>
    <row r="22" spans="1:2" s="1594" customFormat="1">
      <c r="A22" s="1592" t="s">
        <v>1236</v>
      </c>
      <c r="B22" s="1593" t="str">
        <f ca="1">'预评函-2'!D6</f>
        <v>叁仟叁佰陆拾捌万元整</v>
      </c>
    </row>
    <row r="23" spans="1:2" s="1594" customFormat="1">
      <c r="A23" s="1592" t="s">
        <v>1287</v>
      </c>
      <c r="B23" s="1593" t="str">
        <f>'预评函-2'!B8</f>
        <v>2.估价师知悉的除抵押担保权以外的法定优先受偿款</v>
      </c>
    </row>
    <row r="24" spans="1:2" s="1594" customFormat="1">
      <c r="A24" s="1592" t="s">
        <v>1293</v>
      </c>
      <c r="B24" s="1593">
        <f ca="1">'预评函-2'!D8</f>
        <v>249</v>
      </c>
    </row>
    <row r="25" spans="1:2" s="1594" customFormat="1">
      <c r="A25" s="1592" t="s">
        <v>1237</v>
      </c>
      <c r="B25" s="1593" t="str">
        <f ca="1">'预评函-2'!D9</f>
        <v>贰佰肆拾玖万元整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 ca="1">'预评函-2'!D12</f>
        <v>249</v>
      </c>
    </row>
    <row r="29" spans="1:2" s="1594" customFormat="1">
      <c r="A29" s="1592" t="s">
        <v>1291</v>
      </c>
      <c r="B29" s="1593" t="str">
        <f>'预评函-2'!B13</f>
        <v>——</v>
      </c>
    </row>
    <row r="30" spans="1:2" s="1594" customFormat="1">
      <c r="A30" s="1592" t="s">
        <v>1292</v>
      </c>
      <c r="B30" s="1593" t="str">
        <f>'预评函-2'!D13</f>
        <v>——</v>
      </c>
    </row>
    <row r="31" spans="1:2" s="1594" customFormat="1">
      <c r="A31" s="1592" t="s">
        <v>1274</v>
      </c>
      <c r="B31" s="1593" t="e">
        <f>'预评函-2'!D15</f>
        <v>#VALUE!</v>
      </c>
    </row>
    <row r="32" spans="1:2" s="1594" customFormat="1">
      <c r="A32" s="1592" t="s">
        <v>1241</v>
      </c>
      <c r="B32" s="1593" t="e">
        <f>'预评函-2'!D14</f>
        <v>#VALUE!</v>
      </c>
    </row>
    <row r="33" spans="1:2" s="1594" customFormat="1">
      <c r="A33" s="1592" t="s">
        <v>1276</v>
      </c>
      <c r="B33" s="1593" t="str">
        <f>'预评函-2'!B16</f>
        <v>3.抵押担保权已注销时的房地产抵押价值</v>
      </c>
    </row>
    <row r="34" spans="1:2" s="1594" customFormat="1">
      <c r="A34" s="1592" t="s">
        <v>1294</v>
      </c>
      <c r="B34" s="1593">
        <f ca="1">'预评函-2'!D16</f>
        <v>3119</v>
      </c>
    </row>
    <row r="35" spans="1:2" s="1594" customFormat="1">
      <c r="A35" s="1592" t="s">
        <v>1275</v>
      </c>
      <c r="B35" s="1593">
        <f ca="1">'预评函-2'!D18</f>
        <v>5419</v>
      </c>
    </row>
    <row r="36" spans="1:2" s="1594" customFormat="1">
      <c r="A36" s="1592" t="s">
        <v>1242</v>
      </c>
      <c r="B36" s="1593" t="str">
        <f ca="1">'预评函-2'!D17</f>
        <v>叁仟壹佰壹拾玖万元整</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北京市顺义区京密路马坡段西侧房地产</v>
      </c>
    </row>
    <row r="42" spans="1:2" s="1594" customFormat="1">
      <c r="A42" s="1592" t="s">
        <v>1288</v>
      </c>
      <c r="B42" s="1593" t="str">
        <f>'预评函-3'!B2</f>
        <v>建筑面积</v>
      </c>
    </row>
    <row r="43" spans="1:2" s="1594" customFormat="1">
      <c r="A43" s="1592" t="s">
        <v>1289</v>
      </c>
      <c r="B43" s="1593">
        <f>'预评函-3'!B4</f>
        <v>5755.45</v>
      </c>
    </row>
    <row r="44" spans="1:2" s="1594" customFormat="1">
      <c r="A44" s="1592" t="s">
        <v>1273</v>
      </c>
      <c r="B44" s="1593" t="str">
        <f>'预评函-3'!C2</f>
        <v>(分摊)土地面积</v>
      </c>
    </row>
    <row r="45" spans="1:2" s="1594" customFormat="1">
      <c r="A45" s="1592" t="s">
        <v>1245</v>
      </c>
      <c r="B45" s="1593">
        <f>'预评函-3'!C4</f>
        <v>8089.25</v>
      </c>
    </row>
    <row r="46" spans="1:2" s="1594" customFormat="1">
      <c r="A46" s="1592" t="s">
        <v>1271</v>
      </c>
      <c r="B46" s="1593" t="str">
        <f>'预评函-3'!D2</f>
        <v>出让国有建设用地使用权价值</v>
      </c>
    </row>
    <row r="47" spans="1:2" s="1594" customFormat="1">
      <c r="A47" s="1592" t="s">
        <v>1246</v>
      </c>
      <c r="B47" s="1593">
        <f ca="1">'预评函-3'!D4</f>
        <v>2351</v>
      </c>
    </row>
    <row r="48" spans="1:2" s="1594" customFormat="1">
      <c r="A48" s="1592" t="s">
        <v>1247</v>
      </c>
      <c r="B48" s="1593">
        <f ca="1">'预评函-3'!E4</f>
        <v>4085</v>
      </c>
    </row>
    <row r="49" spans="1:2" s="1594" customFormat="1">
      <c r="A49" s="1592" t="s">
        <v>1248</v>
      </c>
      <c r="B49" s="1593" t="str">
        <f ca="1">'预评函-3'!D5</f>
        <v>贰仟叁佰伍拾壹万元整</v>
      </c>
    </row>
    <row r="50" spans="1:2" s="1594" customFormat="1">
      <c r="A50" s="1592" t="s">
        <v>1272</v>
      </c>
      <c r="B50" s="1593" t="str">
        <f>'预评函-3'!F2</f>
        <v>建筑物价值</v>
      </c>
    </row>
    <row r="51" spans="1:2" s="1594" customFormat="1">
      <c r="A51" s="1592" t="s">
        <v>1249</v>
      </c>
      <c r="B51" s="1593">
        <f ca="1">'预评函-3'!F4</f>
        <v>1017</v>
      </c>
    </row>
    <row r="52" spans="1:2" s="1594" customFormat="1">
      <c r="A52" s="1592" t="s">
        <v>1250</v>
      </c>
      <c r="B52" s="1593">
        <f ca="1">'预评函-3'!G4</f>
        <v>1767</v>
      </c>
    </row>
    <row r="53" spans="1:2" s="1594" customFormat="1">
      <c r="A53" s="1592" t="s">
        <v>1278</v>
      </c>
      <c r="B53" s="1593" t="str">
        <f ca="1">'预评函-3'!F5</f>
        <v>壹仟零壹拾柒万元整</v>
      </c>
    </row>
    <row r="54" spans="1:2" s="1594" customFormat="1">
      <c r="A54" s="1592" t="s">
        <v>1296</v>
      </c>
      <c r="B54" s="1593" t="str">
        <f>'预评函-3'!A8</f>
        <v/>
      </c>
    </row>
    <row r="55" spans="1:2" s="1594" customFormat="1">
      <c r="A55" s="1592" t="s">
        <v>1279</v>
      </c>
      <c r="B55" s="1593" t="str">
        <f>'预评函-3'!A10</f>
        <v>抵押担保权已注销时的房地产抵押价值</v>
      </c>
    </row>
    <row r="56" spans="1:2" s="1594" customFormat="1">
      <c r="A56" s="1592" t="s">
        <v>1280</v>
      </c>
      <c r="B56" s="1593" t="str">
        <f>'预评函-3'!A12</f>
        <v/>
      </c>
    </row>
    <row r="57" spans="1:2" s="1588" customFormat="1" ht="15" thickBot="1">
      <c r="A57" s="1595" t="s">
        <v>1297</v>
      </c>
      <c r="B57" s="1596" t="str">
        <f>'预评函-3'!A6</f>
        <v>估价师知悉的除抵押担保权以外的法定优先受偿款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 ca="1">'预评函-4'!A18</f>
        <v>故，本次评估估价师知悉的除抵押担保权以外的法定优先受偿款为人民币249万元整。</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5" t="s">
        <v>1731</v>
      </c>
      <c r="C5" s="2016" t="s">
        <v>763</v>
      </c>
      <c r="F5" s="2017" t="s">
        <v>1732</v>
      </c>
      <c r="H5" s="2017" t="s">
        <v>1733</v>
      </c>
      <c r="I5" s="2017" t="s">
        <v>1734</v>
      </c>
      <c r="K5" s="2017" t="s">
        <v>1735</v>
      </c>
      <c r="L5" s="2017" t="s">
        <v>1735</v>
      </c>
      <c r="M5" s="2017" t="s">
        <v>1735</v>
      </c>
      <c r="N5" s="2017" t="s">
        <v>1735</v>
      </c>
      <c r="O5" s="2017" t="s">
        <v>1735</v>
      </c>
      <c r="P5" s="2017" t="s">
        <v>1735</v>
      </c>
      <c r="Q5" s="2017" t="s">
        <v>1735</v>
      </c>
      <c r="R5" s="2017" t="s">
        <v>1142</v>
      </c>
      <c r="S5" s="2017" t="s">
        <v>1735</v>
      </c>
      <c r="T5" s="2017" t="s">
        <v>1736</v>
      </c>
      <c r="U5" s="2017" t="s">
        <v>1735</v>
      </c>
      <c r="W5" s="2017" t="s">
        <v>1735</v>
      </c>
    </row>
    <row r="6" spans="1:23">
      <c r="A6" s="2015" t="s">
        <v>1737</v>
      </c>
      <c r="B6" s="2018" t="s">
        <v>1146</v>
      </c>
      <c r="C6" s="2021" t="s">
        <v>30</v>
      </c>
      <c r="F6" s="2017" t="s">
        <v>1733</v>
      </c>
      <c r="H6" s="2017" t="s">
        <v>1738</v>
      </c>
      <c r="I6" s="2017" t="s">
        <v>1739</v>
      </c>
      <c r="K6" s="2017" t="s">
        <v>1740</v>
      </c>
      <c r="L6" s="2017" t="s">
        <v>1740</v>
      </c>
      <c r="M6" s="2017" t="s">
        <v>1740</v>
      </c>
      <c r="N6" s="2017" t="s">
        <v>1740</v>
      </c>
      <c r="O6" s="2017" t="s">
        <v>1740</v>
      </c>
      <c r="P6" s="2017" t="s">
        <v>1740</v>
      </c>
      <c r="Q6" s="2017" t="s">
        <v>1740</v>
      </c>
      <c r="R6" s="2017" t="s">
        <v>1143</v>
      </c>
      <c r="S6" s="2017" t="s">
        <v>1740</v>
      </c>
      <c r="T6" s="2017"/>
      <c r="U6" s="2017" t="s">
        <v>1740</v>
      </c>
      <c r="W6" s="2017" t="s">
        <v>1740</v>
      </c>
    </row>
    <row r="7" spans="1:23">
      <c r="A7" s="2015" t="s">
        <v>1741</v>
      </c>
      <c r="B7" s="2018" t="s">
        <v>1147</v>
      </c>
      <c r="C7" s="2016" t="s">
        <v>31</v>
      </c>
      <c r="F7" s="2017" t="s">
        <v>1742</v>
      </c>
      <c r="H7" s="2017" t="s">
        <v>1743</v>
      </c>
      <c r="I7" s="2017" t="s">
        <v>1744</v>
      </c>
    </row>
    <row r="8" spans="1:23">
      <c r="A8" s="2015" t="s">
        <v>1745</v>
      </c>
      <c r="B8" s="2015" t="s">
        <v>1746</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757</v>
      </c>
      <c r="C17" s="2016"/>
    </row>
    <row r="18" spans="1:3">
      <c r="A18" s="2015" t="s">
        <v>1766</v>
      </c>
      <c r="B18" s="2015" t="s">
        <v>757</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工药业有限公司拟使用北京市顺义区京密路马坡段西侧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12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20"/>
      <c r="B54" s="2023" t="s">
        <v>864</v>
      </c>
      <c r="C54" s="2020" t="s">
        <v>1281</v>
      </c>
    </row>
    <row r="55" spans="1:4">
      <c r="A55" s="3120"/>
      <c r="B55" s="2023" t="s">
        <v>865</v>
      </c>
      <c r="C55" s="2020" t="s">
        <v>1282</v>
      </c>
    </row>
    <row r="56" spans="1:4">
      <c r="A56" s="3120"/>
      <c r="B56" s="2023" t="s">
        <v>866</v>
      </c>
      <c r="C56" s="2020" t="s">
        <v>1286</v>
      </c>
    </row>
    <row r="57" spans="1:4">
      <c r="A57" s="312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10" sqref="F10"/>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1775</v>
      </c>
      <c r="B1" s="3121" t="str">
        <f>IF(B10="北京市","北京市",C10)&amp;F10&amp;IF(结果表!G1="在建","出让国有建设用地使用权及在建建筑物",IF(结果表!G1="土地","出让国有建设用地使用权",))&amp;B9&amp;"预评估"</f>
        <v>北京市顺义区京密路马坡段西侧房地产抵押价值预评估</v>
      </c>
      <c r="C1" s="3122"/>
      <c r="D1" s="3122"/>
      <c r="E1" s="3122"/>
      <c r="F1" s="3122"/>
      <c r="G1" s="3122"/>
      <c r="H1" s="3122"/>
      <c r="I1" s="312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北京市顺义区京密路马坡段西侧房地产抵押价值</v>
      </c>
    </row>
    <row r="2" spans="1:19" ht="18" customHeight="1">
      <c r="A2" s="2027" t="s">
        <v>1776</v>
      </c>
      <c r="B2" s="3063" t="s">
        <v>3277</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北京市顺义区京密路马坡段西侧房地产</v>
      </c>
    </row>
    <row r="3" spans="1:19" ht="18" customHeight="1">
      <c r="A3" s="2036" t="s">
        <v>1777</v>
      </c>
      <c r="B3" s="2037">
        <v>43138</v>
      </c>
      <c r="C3" s="2038" t="s">
        <v>1778</v>
      </c>
      <c r="D3" s="2037">
        <f>B3</f>
        <v>43138</v>
      </c>
      <c r="E3" s="2027"/>
      <c r="F3" s="2027"/>
      <c r="G3" s="2027"/>
      <c r="H3" s="2027"/>
      <c r="I3" s="2027"/>
      <c r="J3" s="2027"/>
      <c r="K3" s="2028"/>
      <c r="L3" s="2029"/>
      <c r="M3" s="2029"/>
      <c r="N3" s="2030"/>
      <c r="O3" s="2031"/>
      <c r="P3" s="2030"/>
      <c r="Q3" s="2030"/>
      <c r="R3" s="2030"/>
      <c r="S3" s="2032"/>
    </row>
    <row r="4" spans="1:19" ht="18" customHeight="1" thickBot="1">
      <c r="A4" s="2039" t="s">
        <v>1779</v>
      </c>
      <c r="B4" s="2040" t="s">
        <v>3027</v>
      </c>
      <c r="C4" s="1039">
        <f ca="1">SUMIF(注册房地产估价师,B4,估价师及机构信息!B3:B24)</f>
        <v>1120000080</v>
      </c>
      <c r="D4" s="2040" t="s">
        <v>3028</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1780</v>
      </c>
      <c r="B5" s="2935" t="s">
        <v>3286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1781</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1782</v>
      </c>
      <c r="B7" s="2053" t="str">
        <f>B5</f>
        <v>北京北工药业有限公司</v>
      </c>
      <c r="C7" s="2050"/>
      <c r="D7" s="2051"/>
      <c r="E7" s="2035"/>
      <c r="F7" s="2043"/>
      <c r="G7" s="2043"/>
      <c r="H7" s="2043"/>
      <c r="I7" s="2043"/>
      <c r="J7" s="2043"/>
      <c r="K7" s="2054"/>
      <c r="L7" s="2029"/>
      <c r="M7" s="2029"/>
      <c r="N7" s="2030"/>
      <c r="O7" s="2031"/>
      <c r="P7" s="2030"/>
      <c r="Q7" s="2030"/>
      <c r="R7" s="2030"/>
    </row>
    <row r="8" spans="1:19" ht="18" customHeight="1">
      <c r="A8" s="2048" t="s">
        <v>1783</v>
      </c>
      <c r="B8" s="2055" t="s">
        <v>3029</v>
      </c>
      <c r="C8" s="2056"/>
      <c r="D8" s="3124" t="s">
        <v>1784</v>
      </c>
      <c r="E8" s="3064" t="s">
        <v>3278</v>
      </c>
      <c r="F8" s="2057"/>
      <c r="G8" s="2027"/>
      <c r="H8" s="2027"/>
      <c r="I8" s="2027"/>
      <c r="J8" s="2043"/>
      <c r="K8" s="2044"/>
      <c r="L8" s="2029"/>
      <c r="M8" s="2029"/>
      <c r="N8" s="2030"/>
      <c r="O8" s="2031"/>
      <c r="P8" s="2030"/>
      <c r="Q8" s="2030"/>
      <c r="R8" s="2030"/>
    </row>
    <row r="9" spans="1:19" ht="18" customHeight="1" thickBot="1">
      <c r="A9" s="2041" t="s">
        <v>1785</v>
      </c>
      <c r="B9" s="2058" t="s">
        <v>3030</v>
      </c>
      <c r="C9" s="2059"/>
      <c r="D9" s="3125"/>
      <c r="E9" s="2058"/>
      <c r="F9" s="2060"/>
      <c r="G9" s="2061"/>
      <c r="H9" s="2061"/>
      <c r="I9" s="2061"/>
      <c r="J9" s="2043"/>
      <c r="K9" s="2054"/>
      <c r="L9" s="2029"/>
      <c r="M9" s="2029"/>
      <c r="N9" s="2030"/>
      <c r="O9" s="2031"/>
      <c r="P9" s="2030"/>
      <c r="Q9" s="2030"/>
      <c r="R9" s="2030"/>
    </row>
    <row r="10" spans="1:19" ht="18" customHeight="1" thickTop="1">
      <c r="A10" s="2062" t="s">
        <v>1786</v>
      </c>
      <c r="B10" s="2063" t="s">
        <v>3031</v>
      </c>
      <c r="C10" s="2064"/>
      <c r="D10" s="2047"/>
      <c r="E10" s="2065" t="s">
        <v>1787</v>
      </c>
      <c r="F10" s="3062" t="s">
        <v>3322</v>
      </c>
      <c r="G10" s="2066"/>
      <c r="H10" s="2067"/>
      <c r="I10" s="2047"/>
      <c r="J10" s="2043"/>
      <c r="K10" s="2054"/>
      <c r="L10" s="2029"/>
      <c r="M10" s="2029"/>
      <c r="N10" s="2030"/>
      <c r="O10" s="2031"/>
      <c r="P10" s="2030"/>
      <c r="Q10" s="2030"/>
      <c r="R10" s="2030"/>
    </row>
    <row r="11" spans="1:19" ht="18" customHeight="1">
      <c r="A11" s="2068" t="s">
        <v>1788</v>
      </c>
      <c r="B11" s="2069" t="s">
        <v>3032</v>
      </c>
      <c r="C11" s="2070" t="str">
        <f>B7</f>
        <v>北京北工药业有限公司</v>
      </c>
      <c r="D11" s="2071"/>
      <c r="E11" s="2043"/>
      <c r="F11" s="2043"/>
      <c r="G11" s="2043"/>
      <c r="H11" s="2043"/>
      <c r="I11" s="2043"/>
      <c r="J11" s="2043"/>
      <c r="K11" s="2054"/>
      <c r="L11" s="2029"/>
      <c r="M11" s="2029"/>
      <c r="N11" s="2030"/>
      <c r="O11" s="2031"/>
      <c r="P11" s="2030"/>
      <c r="Q11" s="2030"/>
      <c r="R11" s="2030"/>
    </row>
    <row r="12" spans="1:19" ht="18" customHeight="1">
      <c r="A12" s="2072" t="s">
        <v>1789</v>
      </c>
      <c r="B12" s="2069" t="s">
        <v>3033</v>
      </c>
      <c r="C12" s="2073" t="s">
        <v>1790</v>
      </c>
      <c r="D12" s="2074" t="s">
        <v>1791</v>
      </c>
      <c r="E12" s="2074" t="s">
        <v>1792</v>
      </c>
      <c r="F12" s="2074" t="s">
        <v>1793</v>
      </c>
      <c r="G12" s="2074" t="s">
        <v>1794</v>
      </c>
      <c r="H12" s="2074" t="s">
        <v>1795</v>
      </c>
      <c r="I12" s="2074" t="s">
        <v>1796</v>
      </c>
      <c r="J12" s="2043"/>
      <c r="K12" s="2054"/>
      <c r="L12" s="2029"/>
      <c r="M12" s="2029"/>
      <c r="N12" s="2030"/>
      <c r="O12" s="2031"/>
      <c r="P12" s="2030"/>
      <c r="Q12" s="2030"/>
      <c r="R12" s="2030"/>
    </row>
    <row r="13" spans="1:19" ht="18" customHeight="1">
      <c r="A13" s="2075"/>
      <c r="B13" s="2076"/>
      <c r="C13" s="2077" t="s">
        <v>1797</v>
      </c>
      <c r="D13" s="2078"/>
      <c r="E13" s="2078"/>
      <c r="F13" s="2078"/>
      <c r="G13" s="2078"/>
      <c r="H13" s="2078"/>
      <c r="I13" s="1048">
        <v>61400</v>
      </c>
      <c r="J13" s="2043"/>
      <c r="K13" s="2054"/>
      <c r="L13" s="2029"/>
      <c r="M13" s="2029"/>
      <c r="N13" s="2030"/>
      <c r="O13" s="2031"/>
      <c r="P13" s="2030"/>
      <c r="Q13" s="2030"/>
      <c r="R13" s="2030"/>
    </row>
    <row r="14" spans="1:19" ht="18" customHeight="1">
      <c r="A14" s="2075"/>
      <c r="B14" s="2076"/>
      <c r="C14" s="2077" t="s">
        <v>1798</v>
      </c>
      <c r="D14" s="1051"/>
      <c r="E14" s="1051"/>
      <c r="F14" s="1051"/>
      <c r="G14" s="1051"/>
      <c r="H14" s="1051"/>
      <c r="I14" s="1051">
        <v>50</v>
      </c>
      <c r="J14" s="2043"/>
      <c r="K14" s="2079"/>
      <c r="L14" s="2029"/>
      <c r="M14" s="2029"/>
      <c r="N14" s="2030"/>
      <c r="O14" s="2031"/>
      <c r="P14" s="2030"/>
      <c r="Q14" s="2030"/>
      <c r="R14" s="2030"/>
    </row>
    <row r="15" spans="1:19" ht="18" customHeight="1">
      <c r="A15" s="2062"/>
      <c r="B15" s="2080"/>
      <c r="C15" s="2077" t="s">
        <v>1799</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50</v>
      </c>
      <c r="J15" s="2043"/>
      <c r="K15" s="2081"/>
      <c r="L15" s="2082"/>
      <c r="M15" s="2082"/>
      <c r="N15" s="2083"/>
      <c r="O15" s="2082"/>
      <c r="P15" s="2083"/>
      <c r="Q15" s="2030"/>
      <c r="R15" s="2030"/>
    </row>
    <row r="16" spans="1:19" ht="30.75" customHeight="1">
      <c r="A16" s="2065" t="s">
        <v>1800</v>
      </c>
      <c r="B16" s="3131" t="s">
        <v>3034</v>
      </c>
      <c r="C16" s="3132"/>
      <c r="D16" s="3133"/>
      <c r="E16" s="2084" t="s">
        <v>1801</v>
      </c>
      <c r="F16" s="3134" t="s">
        <v>3287</v>
      </c>
      <c r="G16" s="3135"/>
      <c r="H16" s="3135"/>
      <c r="I16" s="3136"/>
      <c r="J16" s="2030"/>
      <c r="K16" s="2081"/>
      <c r="L16" s="2082"/>
      <c r="M16" s="2082"/>
      <c r="N16" s="2083"/>
      <c r="O16" s="2082"/>
      <c r="P16" s="2083"/>
      <c r="Q16" s="2030"/>
      <c r="R16" s="2030"/>
    </row>
    <row r="17" spans="1:22" ht="18" customHeight="1">
      <c r="A17" s="2085" t="s">
        <v>1802</v>
      </c>
      <c r="B17" s="2036" t="s">
        <v>1803</v>
      </c>
      <c r="C17" s="1055">
        <f>'数据-汇总表'!E3</f>
        <v>5755.45</v>
      </c>
      <c r="D17" s="2086" t="s">
        <v>1804</v>
      </c>
      <c r="E17" s="3137" t="s">
        <v>3288</v>
      </c>
      <c r="F17" s="3138"/>
      <c r="G17" s="3138"/>
      <c r="H17" s="3138"/>
      <c r="I17" s="3139"/>
      <c r="J17" s="2030"/>
      <c r="K17" s="2087"/>
      <c r="L17" s="2082"/>
      <c r="M17" s="2082"/>
      <c r="N17" s="2083"/>
      <c r="O17" s="2082"/>
      <c r="P17" s="2083"/>
      <c r="Q17" s="2030"/>
      <c r="R17" s="2030"/>
      <c r="S17" s="2030"/>
      <c r="T17" s="2030"/>
      <c r="U17" s="2030"/>
      <c r="V17" s="2030"/>
    </row>
    <row r="18" spans="1:22" ht="36" customHeight="1" thickBot="1">
      <c r="A18" s="2088" t="s">
        <v>70</v>
      </c>
      <c r="B18" s="2039" t="s">
        <v>1805</v>
      </c>
      <c r="C18" s="1445">
        <f>'数据-汇总表'!D3</f>
        <v>8089.25</v>
      </c>
      <c r="D18" s="2089" t="s">
        <v>1804</v>
      </c>
      <c r="E18" s="3140" t="s">
        <v>3289</v>
      </c>
      <c r="F18" s="3141"/>
      <c r="G18" s="3141"/>
      <c r="H18" s="3141"/>
      <c r="I18" s="3142"/>
      <c r="J18" s="2030"/>
      <c r="K18" s="2087"/>
      <c r="L18" s="2082"/>
      <c r="M18" s="2082"/>
      <c r="N18" s="2083"/>
      <c r="O18" s="2082"/>
      <c r="P18" s="2083"/>
      <c r="Q18" s="2030"/>
      <c r="R18" s="2030"/>
      <c r="S18" s="2030"/>
      <c r="T18" s="2030"/>
      <c r="U18" s="2030"/>
      <c r="V18" s="2030"/>
    </row>
    <row r="19" spans="1:22" ht="37.5" customHeight="1" thickTop="1" thickBot="1">
      <c r="A19" s="372" t="s">
        <v>1806</v>
      </c>
      <c r="B19" s="351" t="s">
        <v>1807</v>
      </c>
      <c r="C19" s="3065" t="s">
        <v>3047</v>
      </c>
      <c r="D19" s="2090" t="s">
        <v>1808</v>
      </c>
      <c r="E19" s="2091" t="s">
        <v>3047</v>
      </c>
      <c r="F19" s="2092" t="str">
        <f>IF(AND(C19="是",E19="否"),"是否提供他项权证或相关说明","")</f>
        <v/>
      </c>
      <c r="G19" s="2093" t="s">
        <v>70</v>
      </c>
      <c r="H19" s="2043"/>
      <c r="I19" s="2043"/>
      <c r="J19" s="2043"/>
      <c r="K19" s="2054"/>
      <c r="L19" s="2029"/>
      <c r="M19" s="2029"/>
      <c r="N19" s="2083"/>
      <c r="O19" s="2082"/>
      <c r="P19" s="2083"/>
      <c r="Q19" s="2030"/>
      <c r="R19" s="2030"/>
      <c r="S19" s="2030"/>
      <c r="T19" s="2030"/>
      <c r="U19" s="2030"/>
      <c r="V19" s="2030"/>
    </row>
    <row r="20" spans="1:22" ht="18" customHeight="1">
      <c r="A20" s="2094" t="s">
        <v>1809</v>
      </c>
      <c r="B20" s="3127" t="s">
        <v>1810</v>
      </c>
      <c r="C20" s="3128"/>
      <c r="D20" s="3129" t="s">
        <v>1811</v>
      </c>
      <c r="E20" s="3130"/>
      <c r="F20" s="2095" t="s">
        <v>1812</v>
      </c>
      <c r="G20" s="2043"/>
      <c r="H20" s="2043"/>
      <c r="I20" s="2043"/>
      <c r="J20" s="2043"/>
      <c r="K20" s="3126"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3"/>
      <c r="O20" s="2082"/>
      <c r="P20" s="2083"/>
      <c r="Q20" s="2030"/>
      <c r="R20" s="2030"/>
      <c r="S20" s="2030"/>
      <c r="T20" s="2030"/>
      <c r="U20" s="2030"/>
      <c r="V20" s="2030"/>
    </row>
    <row r="21" spans="1:22" ht="24.75" customHeight="1">
      <c r="A21" s="2094"/>
      <c r="B21" s="2096" t="s">
        <v>1814</v>
      </c>
      <c r="C21" s="2097" t="s">
        <v>3036</v>
      </c>
      <c r="D21" s="2098"/>
      <c r="E21" s="2099" t="s">
        <v>70</v>
      </c>
      <c r="F21" s="2100"/>
      <c r="G21" s="2043"/>
      <c r="H21" s="2043"/>
      <c r="I21" s="2043"/>
      <c r="J21" s="2043"/>
      <c r="K21" s="312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3"/>
      <c r="O21" s="2082"/>
      <c r="P21" s="2083"/>
      <c r="Q21" s="2030"/>
      <c r="R21" s="2030"/>
      <c r="S21" s="2030"/>
      <c r="T21" s="2030"/>
      <c r="U21" s="2030"/>
      <c r="V21" s="2030"/>
    </row>
    <row r="22" spans="1:22" ht="24.75" customHeight="1" thickBot="1">
      <c r="A22" s="2094"/>
      <c r="B22" s="2101" t="s">
        <v>1815</v>
      </c>
      <c r="C22" s="2097" t="s">
        <v>1816</v>
      </c>
      <c r="D22" s="2027"/>
      <c r="E22" s="2027"/>
      <c r="F22" s="2102"/>
      <c r="G22" s="2043"/>
      <c r="H22" s="2043"/>
      <c r="I22" s="2043"/>
      <c r="J22" s="2043"/>
      <c r="K22" s="312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9"/>
      <c r="N22" s="2083"/>
      <c r="O22" s="2082"/>
      <c r="P22" s="2083"/>
      <c r="Q22" s="2030"/>
      <c r="R22" s="2030"/>
      <c r="S22" s="2030"/>
      <c r="T22" s="2030"/>
      <c r="U22" s="2030"/>
      <c r="V22" s="2030"/>
    </row>
    <row r="23" spans="1:22" ht="18" customHeight="1">
      <c r="A23" s="2103" t="s">
        <v>1817</v>
      </c>
      <c r="B23" s="182" t="s">
        <v>1818</v>
      </c>
      <c r="C23" s="2104"/>
      <c r="D23" s="2105" t="s">
        <v>1818</v>
      </c>
      <c r="E23" s="2106"/>
      <c r="F23" s="2102"/>
      <c r="G23" s="2043"/>
      <c r="H23" s="2043"/>
      <c r="I23" s="2043"/>
      <c r="J23" s="2043"/>
      <c r="K23" s="2107"/>
      <c r="L23" s="747"/>
      <c r="M23" s="2029"/>
      <c r="N23" s="2083"/>
      <c r="O23" s="2082"/>
      <c r="P23" s="2083"/>
      <c r="Q23" s="2030"/>
      <c r="R23" s="2030"/>
      <c r="S23" s="2030"/>
      <c r="T23" s="2030"/>
      <c r="U23" s="2030"/>
      <c r="V23" s="2030"/>
    </row>
    <row r="24" spans="1:22" ht="18" customHeight="1">
      <c r="A24" s="2108"/>
      <c r="B24" s="182" t="s">
        <v>1819</v>
      </c>
      <c r="C24" s="3057"/>
      <c r="D24" s="2103" t="s">
        <v>1819</v>
      </c>
      <c r="E24" s="2110"/>
      <c r="F24" s="2102"/>
      <c r="G24" s="2043"/>
      <c r="H24" s="2043"/>
      <c r="I24" s="2043"/>
      <c r="J24" s="2043"/>
      <c r="K24" s="2107"/>
      <c r="L24" s="747"/>
      <c r="M24" s="2029"/>
      <c r="N24" s="2083"/>
      <c r="O24" s="2082"/>
      <c r="P24" s="2083"/>
      <c r="Q24" s="2030"/>
      <c r="R24" s="2030"/>
      <c r="S24" s="2030"/>
      <c r="T24" s="2030"/>
      <c r="U24" s="2030"/>
      <c r="V24" s="2030"/>
    </row>
    <row r="25" spans="1:22" ht="18" customHeight="1">
      <c r="A25" s="2108"/>
      <c r="B25" s="182" t="s">
        <v>1820</v>
      </c>
      <c r="C25" s="2109"/>
      <c r="D25" s="2103" t="s">
        <v>1820</v>
      </c>
      <c r="E25" s="2110"/>
      <c r="F25" s="2102"/>
      <c r="G25" s="2043"/>
      <c r="H25" s="2043"/>
      <c r="I25" s="2043"/>
      <c r="J25" s="2043"/>
      <c r="K25" s="2054"/>
      <c r="L25" s="2029"/>
      <c r="M25" s="2029"/>
      <c r="N25" s="2083"/>
      <c r="O25" s="2082"/>
      <c r="P25" s="2083"/>
      <c r="Q25" s="2030"/>
      <c r="R25" s="2030"/>
      <c r="S25" s="2030"/>
      <c r="T25" s="2030"/>
      <c r="U25" s="2030"/>
      <c r="V25" s="2030"/>
    </row>
    <row r="26" spans="1:22" ht="18" customHeight="1" thickBot="1">
      <c r="A26" s="2111"/>
      <c r="B26" s="2112" t="s">
        <v>1821</v>
      </c>
      <c r="C26" s="2113"/>
      <c r="D26" s="2114" t="s">
        <v>1822</v>
      </c>
      <c r="E26" s="2115"/>
      <c r="F26" s="2116"/>
      <c r="G26" s="2061"/>
      <c r="H26" s="2061"/>
      <c r="I26" s="2061"/>
      <c r="J26" s="2043"/>
      <c r="K26" s="2054"/>
      <c r="L26" s="2029"/>
      <c r="M26" s="2029"/>
      <c r="N26" s="2083"/>
      <c r="O26" s="2082"/>
      <c r="P26" s="2083"/>
      <c r="Q26" s="2030"/>
      <c r="R26" s="2030"/>
      <c r="S26" s="2030"/>
      <c r="T26" s="2030"/>
      <c r="U26" s="2030"/>
      <c r="V26" s="2030"/>
    </row>
    <row r="27" spans="1:22" ht="18" customHeight="1" thickTop="1">
      <c r="A27" s="3144" t="s">
        <v>1823</v>
      </c>
      <c r="B27" s="2062" t="s">
        <v>1824</v>
      </c>
      <c r="C27" s="2117" t="s">
        <v>3037</v>
      </c>
      <c r="D27" s="2118"/>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144"/>
      <c r="B28" s="2036" t="s">
        <v>1825</v>
      </c>
      <c r="C28" s="2119" t="s">
        <v>3038</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144"/>
      <c r="B29" s="2036" t="s">
        <v>1826</v>
      </c>
      <c r="C29" s="2122" t="s">
        <v>3035</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145"/>
      <c r="B30" s="2036" t="s">
        <v>1827</v>
      </c>
      <c r="C30" s="3146"/>
      <c r="D30" s="3147"/>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148" t="s">
        <v>1828</v>
      </c>
      <c r="B31" s="2124" t="s">
        <v>3039</v>
      </c>
      <c r="C31" s="2125" t="str">
        <f>IF(B31="现房","成新及维护状况正常否",IF(B31="在建","工程状态是否正常",IF(B31="土地","是否闲置","-")))</f>
        <v>成新及维护状况正常否</v>
      </c>
      <c r="D31" s="2126"/>
      <c r="E31" s="2936" t="s">
        <v>3040</v>
      </c>
      <c r="F31" s="2043"/>
      <c r="G31" s="2043"/>
      <c r="H31" s="2043"/>
      <c r="I31" s="2043"/>
      <c r="J31" s="2043"/>
      <c r="K31" s="2052"/>
      <c r="L31" s="2029"/>
      <c r="M31" s="2029"/>
      <c r="N31" s="2030"/>
      <c r="O31" s="2031"/>
      <c r="P31" s="2030"/>
      <c r="Q31" s="2030"/>
      <c r="R31" s="2030"/>
      <c r="S31" s="2030"/>
      <c r="T31" s="2030"/>
      <c r="U31" s="2030"/>
      <c r="V31" s="2030"/>
    </row>
    <row r="32" spans="1:22" ht="18" customHeight="1">
      <c r="A32" s="3149"/>
      <c r="B32" s="2124"/>
      <c r="C32" s="2125" t="str">
        <f>IF(B32="现房","成新及维护状况是否正常",IF(B32="在建","工程状态是否正常",IF(B32="土地","是否闲置","-")))</f>
        <v>-</v>
      </c>
      <c r="D32" s="2126"/>
      <c r="E32" s="2127"/>
      <c r="F32" s="2043"/>
      <c r="G32" s="2043"/>
      <c r="H32" s="2043"/>
      <c r="I32" s="2043"/>
      <c r="J32" s="2043"/>
      <c r="K32" s="2054"/>
      <c r="L32" s="2029"/>
      <c r="M32" s="2029"/>
      <c r="N32" s="2030"/>
      <c r="O32" s="2031"/>
      <c r="P32" s="2030"/>
      <c r="Q32" s="2030"/>
      <c r="R32" s="2030"/>
      <c r="S32" s="2030"/>
      <c r="T32" s="2030"/>
      <c r="U32" s="2030"/>
      <c r="V32" s="2030"/>
    </row>
    <row r="33" spans="1:22" ht="18" customHeight="1">
      <c r="A33" s="3149"/>
      <c r="B33" s="2128"/>
      <c r="C33" s="2068" t="str">
        <f>IF(B33="现房","成新及维护状况是否正常",IF(B33="在建","工程状态是否正常",IF(B33="土地","是否闲置","-")))</f>
        <v>-</v>
      </c>
      <c r="D33" s="2129"/>
      <c r="E33" s="2130"/>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1829</v>
      </c>
      <c r="B34" s="2131" t="s">
        <v>3041</v>
      </c>
      <c r="C34" s="2131" t="s">
        <v>3042</v>
      </c>
      <c r="D34" s="2131" t="s">
        <v>3043</v>
      </c>
      <c r="E34" s="2131" t="s">
        <v>3044</v>
      </c>
      <c r="F34" s="2131" t="s">
        <v>3045</v>
      </c>
      <c r="G34" s="2131" t="s">
        <v>3227</v>
      </c>
      <c r="H34" s="2131"/>
      <c r="I34" s="2043"/>
      <c r="J34" s="2043"/>
      <c r="K34" s="1796">
        <f>COUNTIF(B34:H34,"——")</f>
        <v>0</v>
      </c>
      <c r="L34" s="2073" t="s">
        <v>1830</v>
      </c>
      <c r="M34" s="2073" t="s">
        <v>1831</v>
      </c>
      <c r="N34" s="2073" t="s">
        <v>1832</v>
      </c>
      <c r="O34" s="2073" t="s">
        <v>1833</v>
      </c>
      <c r="P34" s="2073" t="s">
        <v>1834</v>
      </c>
      <c r="Q34" s="2073" t="s">
        <v>1835</v>
      </c>
      <c r="R34" s="2073" t="s">
        <v>1836</v>
      </c>
      <c r="S34" s="3143" t="s">
        <v>1837</v>
      </c>
      <c r="T34" s="2132" t="str">
        <f>NUMBERSTRING(7-K34,1)&amp;"通"</f>
        <v>七通</v>
      </c>
      <c r="U34" s="2030"/>
      <c r="V34" s="2030"/>
    </row>
    <row r="35" spans="1:22" ht="18" customHeight="1">
      <c r="A35" s="2133"/>
      <c r="B35" s="3150" t="s">
        <v>1838</v>
      </c>
      <c r="C35" s="3150"/>
      <c r="D35" s="3150"/>
      <c r="E35" s="3150"/>
      <c r="F35" s="2134">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43"/>
      <c r="T35" s="48" t="str">
        <f>IF(T34="一通",L35,IF(T34="二通",M35,IF(T34="三通",N35,IF(T34="四通",O35,IF(T34="五通",P35,IF(T34="六通",Q35,R35))))))</f>
        <v>通路、通电、通讯、通上水、通下水、燃气、</v>
      </c>
      <c r="U35" s="2030"/>
      <c r="V35" s="2030"/>
    </row>
    <row r="36" spans="1:22" ht="18" customHeight="1">
      <c r="A36" s="2135"/>
      <c r="B36" s="2134" t="s">
        <v>1839</v>
      </c>
      <c r="C36" s="2134" t="s">
        <v>1840</v>
      </c>
      <c r="D36" s="2134" t="s">
        <v>1841</v>
      </c>
      <c r="E36" s="2134" t="s">
        <v>1842</v>
      </c>
      <c r="F36" s="2136"/>
      <c r="G36" s="2043"/>
      <c r="H36" s="2043"/>
      <c r="I36" s="2043"/>
      <c r="J36" s="2043"/>
      <c r="K36" s="2054"/>
      <c r="L36" s="2029"/>
      <c r="M36" s="2029"/>
      <c r="N36" s="2030"/>
      <c r="O36" s="2031"/>
      <c r="P36" s="2030"/>
      <c r="Q36" s="2030"/>
      <c r="R36" s="2030"/>
      <c r="S36" s="2030"/>
      <c r="T36" s="2030"/>
      <c r="U36" s="2030"/>
      <c r="V36" s="2030"/>
    </row>
    <row r="37" spans="1:22" ht="18" customHeight="1">
      <c r="A37" s="2137" t="s">
        <v>1843</v>
      </c>
      <c r="B37" s="2138"/>
      <c r="C37" s="2138"/>
      <c r="D37" s="2138"/>
      <c r="E37" s="2138" t="s">
        <v>526</v>
      </c>
      <c r="F37" s="2136"/>
      <c r="G37" s="2043"/>
      <c r="H37" s="2043"/>
      <c r="I37" s="2043"/>
      <c r="J37" s="2043"/>
      <c r="K37" s="2054"/>
      <c r="L37" s="2029"/>
      <c r="M37" s="2029"/>
      <c r="N37" s="2030"/>
      <c r="O37" s="2031"/>
      <c r="P37" s="2030"/>
      <c r="Q37" s="2030"/>
      <c r="R37" s="2030"/>
      <c r="S37" s="2030"/>
      <c r="T37" s="2030"/>
      <c r="U37" s="2030"/>
      <c r="V37" s="2030"/>
    </row>
    <row r="38" spans="1:22" ht="18" customHeight="1" thickBot="1">
      <c r="A38" s="2139" t="s">
        <v>1844</v>
      </c>
      <c r="B38" s="2140"/>
      <c r="C38" s="2140"/>
      <c r="D38" s="2140"/>
      <c r="E38" s="2140" t="s">
        <v>378</v>
      </c>
      <c r="F38" s="2141"/>
      <c r="G38" s="2061"/>
      <c r="H38" s="2061"/>
      <c r="I38" s="2061"/>
      <c r="J38" s="2043"/>
      <c r="K38" s="2054"/>
      <c r="L38" s="2029"/>
      <c r="M38" s="2029"/>
      <c r="N38" s="2030"/>
      <c r="O38" s="2031"/>
      <c r="P38" s="2030"/>
      <c r="Q38" s="2030"/>
      <c r="R38" s="2030"/>
      <c r="S38" s="2030"/>
      <c r="T38" s="2030"/>
      <c r="U38" s="2030"/>
      <c r="V38" s="2030"/>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3"/>
      <c r="K40" s="665"/>
      <c r="L40" s="2082"/>
      <c r="M40" s="2082"/>
      <c r="N40" s="2083"/>
      <c r="O40" s="2082"/>
      <c r="P40" s="2030"/>
      <c r="Q40" s="2030"/>
      <c r="R40" s="2030"/>
      <c r="S40" s="2030"/>
      <c r="T40" s="2030"/>
      <c r="U40" s="2030"/>
      <c r="V40" s="2030"/>
    </row>
    <row r="41" spans="1:22" ht="18" customHeight="1">
      <c r="A41" s="8" t="s">
        <v>1846</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3" t="s">
        <v>1847</v>
      </c>
      <c r="B42" s="1796" t="s">
        <v>1848</v>
      </c>
      <c r="C42" s="1796" t="s">
        <v>1849</v>
      </c>
      <c r="D42" s="1796" t="s">
        <v>1850</v>
      </c>
      <c r="E42" s="1796" t="s">
        <v>1851</v>
      </c>
      <c r="F42" s="1796" t="s">
        <v>1852</v>
      </c>
      <c r="G42" s="1796" t="s">
        <v>1853</v>
      </c>
      <c r="H42" s="1796" t="s">
        <v>1854</v>
      </c>
      <c r="I42" s="1796" t="s">
        <v>1855</v>
      </c>
      <c r="J42" s="2150" t="s">
        <v>1856</v>
      </c>
      <c r="K42" s="2074" t="s">
        <v>1857</v>
      </c>
      <c r="L42" s="2074" t="s">
        <v>1858</v>
      </c>
      <c r="M42" s="2074" t="s">
        <v>1859</v>
      </c>
      <c r="N42" s="1796" t="s">
        <v>1860</v>
      </c>
      <c r="O42" s="1796" t="s">
        <v>1861</v>
      </c>
      <c r="P42" s="1796" t="s">
        <v>1862</v>
      </c>
      <c r="Q42" s="2073" t="s">
        <v>1863</v>
      </c>
      <c r="R42" s="2073" t="s">
        <v>1864</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1870</v>
      </c>
      <c r="AZ2" s="1271"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8089.25</v>
      </c>
      <c r="B3" s="14">
        <f>IF(C3="否",G5-AT5,G5)</f>
        <v>5755.45</v>
      </c>
      <c r="C3" s="2937" t="s">
        <v>3047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0" customFormat="1" ht="13.5" thickBot="1">
      <c r="A4" s="2166"/>
      <c r="B4" s="2167"/>
      <c r="C4" s="2168"/>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9"/>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4"/>
      <c r="C5" s="1804"/>
      <c r="D5" s="1807"/>
      <c r="E5" s="16" t="s">
        <v>1</v>
      </c>
      <c r="F5" s="16">
        <f>SUM(F13:F587)</f>
        <v>0</v>
      </c>
      <c r="G5" s="16">
        <f>SUM(G13:G587)</f>
        <v>5755.45</v>
      </c>
      <c r="H5" s="16">
        <f t="shared" ref="H5:AT5" si="0">SUM(H13:H656)</f>
        <v>5755.45</v>
      </c>
      <c r="I5" s="16">
        <f t="shared" si="0"/>
        <v>5755.45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1873</v>
      </c>
      <c r="AW5" s="1804"/>
      <c r="AX5" s="1804"/>
      <c r="AY5" s="17" t="s">
        <v>3</v>
      </c>
      <c r="AZ5" s="18">
        <f t="shared" ref="AZ5:BT5" si="1">SUM(AZ13:AZ656)</f>
        <v>5755.45</v>
      </c>
      <c r="BA5" s="18">
        <f t="shared" si="1"/>
        <v>5755.45</v>
      </c>
      <c r="BB5" s="18">
        <f t="shared" si="1"/>
        <v>5755.45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8089.25</v>
      </c>
      <c r="F6" s="16" t="s">
        <v>1</v>
      </c>
      <c r="G6" s="16" t="s">
        <v>2</v>
      </c>
      <c r="H6" s="20">
        <f>SUMIF(I$12:AB$12,"总值",I6:AB6)</f>
        <v>8089.25</v>
      </c>
      <c r="I6" s="16">
        <f t="shared" ref="I6:AB6" si="2">ROUND($A$3*I5/$B$3,2)</f>
        <v>8089.25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8089.25</v>
      </c>
      <c r="AZ6" s="16" t="s">
        <v>3</v>
      </c>
      <c r="BA6" s="16">
        <f>ROUND($AY$6*BA5/$AZ$5,2)</f>
        <v>8089.25</v>
      </c>
      <c r="BB6" s="16">
        <f>ROUND($AY$6*BB5/$AZ$5,2)</f>
        <v>8089.25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1882</v>
      </c>
      <c r="AV7" s="23" t="s">
        <v>1883</v>
      </c>
      <c r="AW7" s="2164" t="s">
        <v>1884</v>
      </c>
      <c r="AX7" s="23" t="s">
        <v>1877</v>
      </c>
      <c r="AY7" s="1804"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9"/>
      <c r="K8" s="1819"/>
      <c r="L8" s="1819"/>
      <c r="M8" s="1819"/>
      <c r="N8" s="1819"/>
      <c r="O8" s="1819"/>
      <c r="P8" s="1819"/>
      <c r="Q8" s="1819"/>
      <c r="R8" s="1819"/>
      <c r="S8" s="1819"/>
      <c r="T8" s="1819"/>
      <c r="U8" s="1819"/>
      <c r="V8" s="2183"/>
      <c r="W8" s="1819"/>
      <c r="X8" s="1819"/>
      <c r="Y8" s="1819"/>
      <c r="Z8" s="1819"/>
      <c r="AA8" s="2183"/>
      <c r="AB8" s="2184"/>
      <c r="AC8" s="983" t="s">
        <v>1888</v>
      </c>
      <c r="AD8" s="2185"/>
      <c r="AE8" s="2177"/>
      <c r="AF8" s="1819"/>
      <c r="AG8" s="1819"/>
      <c r="AH8" s="1819"/>
      <c r="AI8" s="1819"/>
      <c r="AJ8" s="1819"/>
      <c r="AK8" s="1819"/>
      <c r="AL8" s="1819"/>
      <c r="AM8" s="1819"/>
      <c r="AN8" s="1819"/>
      <c r="AO8" s="1819"/>
      <c r="AP8" s="1819"/>
      <c r="AQ8" s="1819"/>
      <c r="AR8" s="1819"/>
      <c r="AS8" s="1819"/>
      <c r="AT8" s="1293" t="s">
        <v>1889</v>
      </c>
      <c r="AU8" s="2179" t="s">
        <v>1890</v>
      </c>
      <c r="AV8" s="1293"/>
      <c r="AW8" s="2163"/>
      <c r="AX8" s="1293"/>
      <c r="AY8" s="2164" t="s">
        <v>1891</v>
      </c>
      <c r="AZ8" s="1818" t="s">
        <v>1892</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1893</v>
      </c>
      <c r="I9" s="2188" t="s">
        <v>3046</v>
      </c>
      <c r="J9" s="983"/>
      <c r="K9" s="2188"/>
      <c r="L9" s="983"/>
      <c r="M9" s="2188"/>
      <c r="N9" s="983"/>
      <c r="O9" s="2188"/>
      <c r="P9" s="983"/>
      <c r="Q9" s="2188"/>
      <c r="R9" s="983"/>
      <c r="S9" s="2188"/>
      <c r="T9" s="983"/>
      <c r="U9" s="2188"/>
      <c r="V9" s="983"/>
      <c r="W9" s="2188"/>
      <c r="X9" s="2189"/>
      <c r="Y9" s="2188"/>
      <c r="Z9" s="983"/>
      <c r="AA9" s="2188"/>
      <c r="AB9" s="983"/>
      <c r="AC9" s="2180" t="s">
        <v>1893</v>
      </c>
      <c r="AD9" s="15" t="s">
        <v>1894</v>
      </c>
      <c r="AE9" s="1299"/>
      <c r="AF9" s="15" t="s">
        <v>1895</v>
      </c>
      <c r="AG9" s="1299"/>
      <c r="AH9" s="15" t="s">
        <v>1894</v>
      </c>
      <c r="AI9" s="1299"/>
      <c r="AJ9" s="15" t="s">
        <v>1895</v>
      </c>
      <c r="AK9" s="1299"/>
      <c r="AL9" s="15" t="s">
        <v>1894</v>
      </c>
      <c r="AM9" s="1299"/>
      <c r="AN9" s="15" t="s">
        <v>1895</v>
      </c>
      <c r="AO9" s="1299"/>
      <c r="AP9" s="15" t="s">
        <v>1894</v>
      </c>
      <c r="AQ9" s="1299"/>
      <c r="AR9" s="15" t="s">
        <v>1895</v>
      </c>
      <c r="AS9" s="2190"/>
      <c r="AT9" s="2179"/>
      <c r="AU9" s="2179" t="s">
        <v>1896</v>
      </c>
      <c r="AV9" s="1293"/>
      <c r="AW9" s="2163"/>
      <c r="AX9" s="1293"/>
      <c r="AY9" s="28"/>
      <c r="AZ9" s="28" t="s">
        <v>1886</v>
      </c>
      <c r="BA9" s="2191" t="s">
        <v>1897</v>
      </c>
      <c r="BB9" s="2192"/>
      <c r="BC9" s="1339"/>
      <c r="BD9" s="1339"/>
      <c r="BE9" s="1339"/>
      <c r="BF9" s="1339"/>
      <c r="BG9" s="1339"/>
      <c r="BH9" s="1339"/>
      <c r="BI9" s="1339"/>
      <c r="BJ9" s="1339"/>
      <c r="BK9" s="2193"/>
      <c r="BL9" s="15" t="s">
        <v>1898</v>
      </c>
      <c r="BM9" s="1819"/>
      <c r="BN9" s="2182"/>
      <c r="BO9" s="1819"/>
      <c r="BP9" s="1819"/>
      <c r="BQ9" s="1819"/>
      <c r="BR9" s="1819"/>
      <c r="BS9" s="1819"/>
      <c r="BT9" s="26"/>
    </row>
    <row r="10" spans="1:72" s="2186" customFormat="1" ht="12.75">
      <c r="A10" s="2179"/>
      <c r="B10" s="2179"/>
      <c r="C10" s="2179"/>
      <c r="D10" s="2179"/>
      <c r="E10" s="2179"/>
      <c r="F10" s="2179"/>
      <c r="G10" s="1293"/>
      <c r="H10" s="28"/>
      <c r="I10" s="2188" t="s">
        <v>6</v>
      </c>
      <c r="J10" s="983"/>
      <c r="K10" s="2194"/>
      <c r="L10" s="983"/>
      <c r="M10" s="2194"/>
      <c r="N10" s="983"/>
      <c r="O10" s="2194"/>
      <c r="P10" s="983"/>
      <c r="Q10" s="2194"/>
      <c r="R10" s="983"/>
      <c r="S10" s="2194"/>
      <c r="T10" s="983"/>
      <c r="U10" s="2194"/>
      <c r="V10" s="983"/>
      <c r="W10" s="2194"/>
      <c r="X10" s="983"/>
      <c r="Y10" s="2194"/>
      <c r="Z10" s="983"/>
      <c r="AA10" s="2194"/>
      <c r="AB10" s="983"/>
      <c r="AC10" s="1293"/>
      <c r="AD10" s="15" t="s">
        <v>1899</v>
      </c>
      <c r="AE10" s="2195"/>
      <c r="AF10" s="15" t="s">
        <v>1899</v>
      </c>
      <c r="AG10" s="2195"/>
      <c r="AH10" s="15" t="s">
        <v>1900</v>
      </c>
      <c r="AI10" s="2195"/>
      <c r="AJ10" s="15" t="s">
        <v>1900</v>
      </c>
      <c r="AK10" s="2195"/>
      <c r="AL10" s="15" t="s">
        <v>1901</v>
      </c>
      <c r="AM10" s="1299"/>
      <c r="AN10" s="15" t="s">
        <v>1901</v>
      </c>
      <c r="AO10" s="1299"/>
      <c r="AP10" s="15" t="s">
        <v>1902</v>
      </c>
      <c r="AQ10" s="1299"/>
      <c r="AR10" s="15" t="s">
        <v>1902</v>
      </c>
      <c r="AS10" s="1299"/>
      <c r="AT10" s="2179"/>
      <c r="AU10" s="2179"/>
      <c r="AV10" s="1293"/>
      <c r="AW10" s="2163"/>
      <c r="AX10" s="1293"/>
      <c r="AY10" s="28"/>
      <c r="AZ10" s="28"/>
      <c r="BA10" s="2196" t="s">
        <v>1893</v>
      </c>
      <c r="BB10" s="2197" t="str">
        <f>I9</f>
        <v>地上</v>
      </c>
      <c r="BC10" s="29">
        <f>K9</f>
        <v>0</v>
      </c>
      <c r="BD10" s="29">
        <f>M9</f>
        <v>0</v>
      </c>
      <c r="BE10" s="29">
        <f>O9</f>
        <v>0</v>
      </c>
      <c r="BF10" s="29">
        <f>Q9</f>
        <v>0</v>
      </c>
      <c r="BG10" s="29">
        <f>S9</f>
        <v>0</v>
      </c>
      <c r="BH10" s="29">
        <f>U9</f>
        <v>0</v>
      </c>
      <c r="BI10" s="29">
        <f>W9</f>
        <v>0</v>
      </c>
      <c r="BJ10" s="29">
        <f>Y9</f>
        <v>0</v>
      </c>
      <c r="BK10" s="29">
        <f>AA9</f>
        <v>0</v>
      </c>
      <c r="BL10" s="25" t="s">
        <v>1893</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3293</v>
      </c>
      <c r="J11" s="2200"/>
      <c r="K11" s="2199"/>
      <c r="L11" s="2200"/>
      <c r="M11" s="2199"/>
      <c r="N11" s="2200"/>
      <c r="O11" s="2199"/>
      <c r="P11" s="2200"/>
      <c r="Q11" s="2199"/>
      <c r="R11" s="2200"/>
      <c r="S11" s="2199"/>
      <c r="T11" s="2200"/>
      <c r="U11" s="2199"/>
      <c r="V11" s="2200"/>
      <c r="W11" s="2199"/>
      <c r="X11" s="2200"/>
      <c r="Y11" s="2199"/>
      <c r="Z11" s="2200"/>
      <c r="AA11" s="2199"/>
      <c r="AB11" s="2200"/>
      <c r="AC11" s="1293"/>
      <c r="AD11" s="2201" t="s">
        <v>1903</v>
      </c>
      <c r="AE11" s="1820"/>
      <c r="AF11" s="2201" t="s">
        <v>1903</v>
      </c>
      <c r="AG11" s="1820"/>
      <c r="AH11" s="2201" t="s">
        <v>1904</v>
      </c>
      <c r="AI11" s="2202"/>
      <c r="AJ11" s="2201" t="s">
        <v>1904</v>
      </c>
      <c r="AK11" s="1820"/>
      <c r="AL11" s="1818"/>
      <c r="AM11" s="1820"/>
      <c r="AN11" s="1818"/>
      <c r="AO11" s="1820"/>
      <c r="AP11" s="1818"/>
      <c r="AQ11" s="1820"/>
      <c r="AR11" s="1818"/>
      <c r="AS11" s="1820"/>
      <c r="AT11" s="2163"/>
      <c r="AU11" s="2179"/>
      <c r="AV11" s="1293"/>
      <c r="AW11" s="2163"/>
      <c r="AX11" s="1293"/>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5" customFormat="1" ht="12.75">
      <c r="A12" s="2204"/>
      <c r="B12" s="2204"/>
      <c r="C12" s="2204"/>
      <c r="D12" s="2204"/>
      <c r="E12" s="2204"/>
      <c r="F12" s="2204"/>
      <c r="G12" s="30"/>
      <c r="H12" s="2205"/>
      <c r="I12" s="180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3" t="s">
        <v>1906</v>
      </c>
      <c r="W12" s="11" t="s">
        <v>1905</v>
      </c>
      <c r="X12" s="11" t="s">
        <v>1906</v>
      </c>
      <c r="Y12" s="11" t="s">
        <v>1905</v>
      </c>
      <c r="Z12" s="11" t="s">
        <v>1906</v>
      </c>
      <c r="AA12" s="11" t="s">
        <v>1905</v>
      </c>
      <c r="AB12" s="11" t="s">
        <v>1906</v>
      </c>
      <c r="AC12" s="2206"/>
      <c r="AD12" s="180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4"/>
      <c r="AX12" s="31"/>
      <c r="AY12" s="2208"/>
      <c r="AZ12" s="28"/>
      <c r="BA12" s="2196"/>
      <c r="BB12" s="24" t="str">
        <f>I11</f>
        <v>标准厂房</v>
      </c>
      <c r="BC12" s="2209">
        <f>K11</f>
        <v>0</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5" customFormat="1" ht="12.75">
      <c r="A13" s="1273" t="s">
        <v>3290</v>
      </c>
      <c r="B13" s="1273">
        <v>2000</v>
      </c>
      <c r="C13" s="1273">
        <v>1</v>
      </c>
      <c r="D13" s="2210" t="s">
        <v>3047</v>
      </c>
      <c r="E13" s="16">
        <f>IF($C$3="是",ROUND($A$3*G13/$B$3,2),ROUND($A$3*(G13-AT13)/$B$3,2))</f>
        <v>715.57</v>
      </c>
      <c r="F13" s="32"/>
      <c r="G13" s="33">
        <f>H13+AC13+AT13</f>
        <v>509.12</v>
      </c>
      <c r="H13" s="20">
        <f>SUMIF(I$12:AB$12,"总值",I13:AB13)</f>
        <v>509.12</v>
      </c>
      <c r="I13" s="2211">
        <v>509.12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2层</v>
      </c>
      <c r="AW13" s="11">
        <f t="shared" si="6"/>
        <v>2000</v>
      </c>
      <c r="AX13" s="11">
        <f t="shared" si="6"/>
        <v>1</v>
      </c>
      <c r="AY13" s="1807">
        <f>ROUND($AY$6*AZ13/$AZ$5,2)</f>
        <v>715.57</v>
      </c>
      <c r="AZ13" s="16">
        <f>BA13+BL13</f>
        <v>509.12</v>
      </c>
      <c r="BA13" s="16">
        <f>SUM(BB13:BK13)</f>
        <v>509.12</v>
      </c>
      <c r="BB13" s="16">
        <f>IF($D13="是",I13-J13,0)</f>
        <v>509.12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t="s">
        <v>3291</v>
      </c>
      <c r="B14" s="1273">
        <v>1996</v>
      </c>
      <c r="C14" s="1273">
        <v>2</v>
      </c>
      <c r="D14" s="2210" t="s">
        <v>3047</v>
      </c>
      <c r="E14" s="16">
        <f>IF($C$3="是",ROUND($A$3*G14/$B$3,2),ROUND($A$3*(G14-AT14)/$B$3,2))</f>
        <v>330.36</v>
      </c>
      <c r="F14" s="32"/>
      <c r="G14" s="33">
        <f>H14+AC14+AT14</f>
        <v>235.05</v>
      </c>
      <c r="H14" s="20">
        <f>SUMIF(I$12:AB$12,"总值",I14:AB14)</f>
        <v>235.05</v>
      </c>
      <c r="I14" s="2211">
        <v>235.05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t="str">
        <f t="shared" si="6"/>
        <v>1层</v>
      </c>
      <c r="AW14" s="11">
        <f t="shared" si="6"/>
        <v>1996</v>
      </c>
      <c r="AX14" s="11">
        <f t="shared" si="6"/>
        <v>2</v>
      </c>
      <c r="AY14" s="1807">
        <f>ROUND($AY$6*AZ14/$AZ$5,2)</f>
        <v>330.36</v>
      </c>
      <c r="AZ14" s="16">
        <f>BA14+BL14</f>
        <v>235.05</v>
      </c>
      <c r="BA14" s="16">
        <f>SUM(BB14:BK14)</f>
        <v>235.05</v>
      </c>
      <c r="BB14" s="16">
        <f>IF($D14="是",I14-J14,0)</f>
        <v>235.05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t="s">
        <v>3290</v>
      </c>
      <c r="B15" s="1273">
        <v>2000</v>
      </c>
      <c r="C15" s="1273">
        <v>3</v>
      </c>
      <c r="D15" s="2210" t="s">
        <v>3047</v>
      </c>
      <c r="E15" s="16">
        <f>IF($C$3="是",ROUND($A$3*G15/$B$3,2),ROUND($A$3*(G15-AT15)/$B$3,2))</f>
        <v>660.16</v>
      </c>
      <c r="F15" s="32"/>
      <c r="G15" s="33">
        <f>H15+AC15+AT15</f>
        <v>469.7</v>
      </c>
      <c r="H15" s="20">
        <f>SUMIF(I$12:AB$12,"总值",I15:AB15)</f>
        <v>469.7</v>
      </c>
      <c r="I15" s="2211">
        <v>469.7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2层</v>
      </c>
      <c r="AW15" s="11">
        <f t="shared" si="6"/>
        <v>2000</v>
      </c>
      <c r="AX15" s="11">
        <f t="shared" si="6"/>
        <v>3</v>
      </c>
      <c r="AY15" s="1807">
        <f>ROUND($AY$6*AZ15/$AZ$5,2)</f>
        <v>660.16</v>
      </c>
      <c r="AZ15" s="16">
        <f>BA15+BL15</f>
        <v>469.7</v>
      </c>
      <c r="BA15" s="16">
        <f>SUM(BB15:BK15)</f>
        <v>469.7</v>
      </c>
      <c r="BB15" s="16">
        <f>IF($D15="是",I15-J15,0)</f>
        <v>469.7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t="s">
        <v>3291</v>
      </c>
      <c r="B16" s="1273">
        <v>2000</v>
      </c>
      <c r="C16" s="1273">
        <v>4</v>
      </c>
      <c r="D16" s="2210" t="s">
        <v>3047</v>
      </c>
      <c r="E16" s="16">
        <f>IF($C$3="是",ROUND($A$3*G16/$B$3,2),ROUND($A$3*(G16-AT16)/$B$3,2))</f>
        <v>439.98</v>
      </c>
      <c r="F16" s="32"/>
      <c r="G16" s="33">
        <f>H16+AC16+AT16</f>
        <v>313.04000000000002</v>
      </c>
      <c r="H16" s="20">
        <f>SUMIF(I$12:AB$12,"总值",I16:AB16)</f>
        <v>313.04000000000002</v>
      </c>
      <c r="I16" s="2211">
        <v>313.04000000000002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1层</v>
      </c>
      <c r="AW16" s="11">
        <f t="shared" si="6"/>
        <v>2000</v>
      </c>
      <c r="AX16" s="11">
        <f t="shared" si="6"/>
        <v>4</v>
      </c>
      <c r="AY16" s="1807">
        <f>ROUND($AY$6*AZ16/$AZ$5,2)</f>
        <v>439.98</v>
      </c>
      <c r="AZ16" s="16">
        <f>BA16+BL16</f>
        <v>313.04000000000002</v>
      </c>
      <c r="BA16" s="16">
        <f>SUM(BB16:BK16)</f>
        <v>313.04000000000002</v>
      </c>
      <c r="BB16" s="16">
        <f>IF($D16="是",I16-J16,0)</f>
        <v>313.04000000000002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t="s">
        <v>3291</v>
      </c>
      <c r="B17" s="1273">
        <v>1996</v>
      </c>
      <c r="C17" s="1273">
        <v>5</v>
      </c>
      <c r="D17" s="2210" t="s">
        <v>3047</v>
      </c>
      <c r="E17" s="16">
        <f>IF($C$3="是",ROUND($A$3*G17/$B$3,2),ROUND($A$3*(G17-AT17)/$B$3,2))</f>
        <v>73.319999999999993</v>
      </c>
      <c r="F17" s="32"/>
      <c r="G17" s="33">
        <f>H17+AC17+AT17</f>
        <v>52.17</v>
      </c>
      <c r="H17" s="20">
        <f>SUMIF(I$12:AB$12,"总值",I17:AB17)</f>
        <v>52.17</v>
      </c>
      <c r="I17" s="3058">
        <v>52.17</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1层</v>
      </c>
      <c r="AW17" s="11">
        <f t="shared" si="6"/>
        <v>1996</v>
      </c>
      <c r="AX17" s="11">
        <f t="shared" si="6"/>
        <v>5</v>
      </c>
      <c r="AY17" s="1807">
        <f>ROUND($AY$6*AZ17/$AZ$5,2)</f>
        <v>73.319999999999993</v>
      </c>
      <c r="AZ17" s="16">
        <f>BA17+BL17</f>
        <v>52.17</v>
      </c>
      <c r="BA17" s="16">
        <f>SUM(BB17:BK17)</f>
        <v>52.17</v>
      </c>
      <c r="BB17" s="16">
        <f>IF($D17="是",I17-J17,0)</f>
        <v>52.17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3" t="s">
        <v>3292</v>
      </c>
      <c r="B18" s="34">
        <v>2000</v>
      </c>
      <c r="C18" s="34">
        <v>6</v>
      </c>
      <c r="D18" s="2210" t="s">
        <v>3047</v>
      </c>
      <c r="E18" s="35">
        <f t="shared" ref="E18:E112" si="7">IF($C$3="是",ROUND($A$3*G18/$B$3,2),ROUND($A$3*(G18-AT18)/$B$3,2))</f>
        <v>898.15</v>
      </c>
      <c r="F18" s="36"/>
      <c r="G18" s="37">
        <f t="shared" ref="G18:G109" si="8">H18+AC18+AT18</f>
        <v>639.03</v>
      </c>
      <c r="H18" s="38">
        <f t="shared" ref="H18:H109" si="9">SUMIF(I$12:AB$12,"总值",I18:AB18)</f>
        <v>639.03</v>
      </c>
      <c r="I18" s="3059">
        <v>639.03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t="str">
        <f t="shared" ref="AV18:AV112" si="11">A18</f>
        <v>1层钢</v>
      </c>
      <c r="AW18" s="1796">
        <f t="shared" ref="AW18:AW112" si="12">B18</f>
        <v>2000</v>
      </c>
      <c r="AX18" s="1796">
        <f t="shared" ref="AX18:AX112" si="13">C18</f>
        <v>6</v>
      </c>
      <c r="AY18" s="42">
        <f t="shared" ref="AY18:AY109" si="14">ROUND($AY$6*AZ18/$AZ$5,2)</f>
        <v>898.15</v>
      </c>
      <c r="AZ18" s="35">
        <f t="shared" ref="AZ18:AZ109" si="15">BA18+BL18</f>
        <v>639.03</v>
      </c>
      <c r="BA18" s="35">
        <f t="shared" ref="BA18:BA109" si="16">SUM(BB18:BK18)</f>
        <v>639.03</v>
      </c>
      <c r="BB18" s="35">
        <f t="shared" ref="BB18:BB109" si="17">IF($D18="是",I18-J18,0)</f>
        <v>639.03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3" t="s">
        <v>3290</v>
      </c>
      <c r="B19" s="34">
        <v>2000</v>
      </c>
      <c r="C19" s="34">
        <v>7</v>
      </c>
      <c r="D19" s="2210" t="s">
        <v>3047</v>
      </c>
      <c r="E19" s="35">
        <f t="shared" si="7"/>
        <v>1411.13</v>
      </c>
      <c r="F19" s="36"/>
      <c r="G19" s="37">
        <f t="shared" si="8"/>
        <v>1004.01</v>
      </c>
      <c r="H19" s="38">
        <f t="shared" si="9"/>
        <v>1004.01</v>
      </c>
      <c r="I19" s="3059">
        <v>1004.01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t="str">
        <f t="shared" si="11"/>
        <v>2层</v>
      </c>
      <c r="AW19" s="1796">
        <f t="shared" si="12"/>
        <v>2000</v>
      </c>
      <c r="AX19" s="1796">
        <f t="shared" si="13"/>
        <v>7</v>
      </c>
      <c r="AY19" s="42">
        <f t="shared" si="14"/>
        <v>1411.13</v>
      </c>
      <c r="AZ19" s="35">
        <f t="shared" si="15"/>
        <v>1004.01</v>
      </c>
      <c r="BA19" s="35">
        <f t="shared" si="16"/>
        <v>1004.01</v>
      </c>
      <c r="BB19" s="35">
        <f t="shared" si="17"/>
        <v>1004.01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3" t="s">
        <v>3292</v>
      </c>
      <c r="B20" s="34">
        <v>2000</v>
      </c>
      <c r="C20" s="34">
        <v>8</v>
      </c>
      <c r="D20" s="2210" t="s">
        <v>3047</v>
      </c>
      <c r="E20" s="35">
        <f t="shared" si="7"/>
        <v>1457.67</v>
      </c>
      <c r="F20" s="36"/>
      <c r="G20" s="37">
        <f t="shared" si="8"/>
        <v>1037.1199999999999</v>
      </c>
      <c r="H20" s="38">
        <f t="shared" si="9"/>
        <v>1037.1199999999999</v>
      </c>
      <c r="I20" s="3059">
        <v>1037.1199999999999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16"/>
      <c r="AV20" s="1796" t="str">
        <f t="shared" si="11"/>
        <v>1层钢</v>
      </c>
      <c r="AW20" s="1796">
        <f t="shared" si="12"/>
        <v>2000</v>
      </c>
      <c r="AX20" s="1796">
        <f t="shared" si="13"/>
        <v>8</v>
      </c>
      <c r="AY20" s="42">
        <f t="shared" si="14"/>
        <v>1457.67</v>
      </c>
      <c r="AZ20" s="35">
        <f t="shared" si="15"/>
        <v>1037.1199999999999</v>
      </c>
      <c r="BA20" s="35">
        <f t="shared" si="16"/>
        <v>1037.1199999999999</v>
      </c>
      <c r="BB20" s="35">
        <f t="shared" si="17"/>
        <v>1037.1199999999999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3" t="s">
        <v>3290</v>
      </c>
      <c r="B21" s="34">
        <v>2000</v>
      </c>
      <c r="C21" s="34">
        <v>9</v>
      </c>
      <c r="D21" s="2210" t="s">
        <v>3047</v>
      </c>
      <c r="E21" s="35">
        <f t="shared" si="7"/>
        <v>1030.28</v>
      </c>
      <c r="F21" s="36"/>
      <c r="G21" s="37">
        <f t="shared" si="8"/>
        <v>733.04</v>
      </c>
      <c r="H21" s="38">
        <f t="shared" si="9"/>
        <v>733.04</v>
      </c>
      <c r="I21" s="3059">
        <v>733.04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t="str">
        <f t="shared" si="11"/>
        <v>2层</v>
      </c>
      <c r="AW21" s="1796">
        <f t="shared" si="12"/>
        <v>2000</v>
      </c>
      <c r="AX21" s="1796">
        <f t="shared" si="13"/>
        <v>9</v>
      </c>
      <c r="AY21" s="42">
        <f t="shared" si="14"/>
        <v>1030.28</v>
      </c>
      <c r="AZ21" s="35">
        <f t="shared" si="15"/>
        <v>733.04</v>
      </c>
      <c r="BA21" s="35">
        <f t="shared" si="16"/>
        <v>733.04</v>
      </c>
      <c r="BB21" s="35">
        <f t="shared" si="17"/>
        <v>733.04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3" t="s">
        <v>3290</v>
      </c>
      <c r="B22" s="34">
        <v>2000</v>
      </c>
      <c r="C22" s="34">
        <v>10</v>
      </c>
      <c r="D22" s="2210" t="s">
        <v>3047</v>
      </c>
      <c r="E22" s="35">
        <f t="shared" si="7"/>
        <v>1072.6300000000001</v>
      </c>
      <c r="F22" s="36"/>
      <c r="G22" s="37">
        <f t="shared" si="8"/>
        <v>763.17</v>
      </c>
      <c r="H22" s="38">
        <f t="shared" si="9"/>
        <v>763.17</v>
      </c>
      <c r="I22" s="39">
        <v>763.17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t="str">
        <f t="shared" si="11"/>
        <v>2层</v>
      </c>
      <c r="AW22" s="1796">
        <f t="shared" si="12"/>
        <v>2000</v>
      </c>
      <c r="AX22" s="1796">
        <f t="shared" si="13"/>
        <v>10</v>
      </c>
      <c r="AY22" s="42">
        <f t="shared" si="14"/>
        <v>1072.6300000000001</v>
      </c>
      <c r="AZ22" s="35">
        <f t="shared" si="15"/>
        <v>763.17</v>
      </c>
      <c r="BA22" s="35">
        <f t="shared" si="16"/>
        <v>763.17</v>
      </c>
      <c r="BB22" s="35">
        <f t="shared" si="17"/>
        <v>763.17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3066" t="s">
        <v>3296</v>
      </c>
      <c r="B23" s="34">
        <v>30</v>
      </c>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t="str">
        <f t="shared" si="11"/>
        <v>混合</v>
      </c>
      <c r="AW23" s="1796">
        <f t="shared" si="12"/>
        <v>30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3066" t="s">
        <v>3297</v>
      </c>
      <c r="B24" s="34">
        <v>50</v>
      </c>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t="str">
        <f t="shared" si="11"/>
        <v>钢</v>
      </c>
      <c r="AW24" s="1796">
        <f t="shared" si="12"/>
        <v>50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3066" t="s">
        <v>3298</v>
      </c>
      <c r="B25" s="3067">
        <f>ROUND(1-(1-2%)*(2018-C25)/B23,2)</f>
        <v>0.41</v>
      </c>
      <c r="C25" s="34">
        <v>2000</v>
      </c>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t="str">
        <f t="shared" si="11"/>
        <v>直线折旧</v>
      </c>
      <c r="AW25" s="1796">
        <f t="shared" si="12"/>
        <v>0.41</v>
      </c>
      <c r="AX25" s="1796">
        <f t="shared" si="13"/>
        <v>2000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67">
        <f>ROUND(1-(1-2%)*(2018-C26)/B23,2)</f>
        <v>0.28000000000000003</v>
      </c>
      <c r="C26" s="34">
        <v>1996</v>
      </c>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0.28000000000000003</v>
      </c>
      <c r="AX26" s="1796">
        <f t="shared" si="13"/>
        <v>1996</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67">
        <f>ROUND(1-(1-2%)*(2018-C27)/B24,2)</f>
        <v>0.65</v>
      </c>
      <c r="C27" s="34">
        <v>2000</v>
      </c>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0.65</v>
      </c>
      <c r="AX27" s="1796">
        <f t="shared" si="13"/>
        <v>2000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3066" t="s">
        <v>3299</v>
      </c>
      <c r="B28" s="3067">
        <f>ROUND((B25*(G13+G15+G16+G19+G21+G22)+B26*(G14+G17)+B27*(G18+G20))/G5,2)</f>
        <v>0.47</v>
      </c>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t="str">
        <f t="shared" si="11"/>
        <v>综合</v>
      </c>
      <c r="AW28" s="1796">
        <f t="shared" si="12"/>
        <v>0.47</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I37" sqref="I3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3"/>
      <c r="C1" s="1393"/>
      <c r="D1" s="1393"/>
      <c r="E1" s="1393"/>
      <c r="F1" s="1393"/>
      <c r="G1" s="1393"/>
      <c r="H1" s="1393"/>
      <c r="I1" s="1393"/>
      <c r="J1" s="1393"/>
      <c r="K1" s="1393"/>
      <c r="L1" s="1393"/>
      <c r="M1" s="1393"/>
      <c r="N1" s="1393"/>
      <c r="O1" s="1393"/>
      <c r="P1" s="1393"/>
    </row>
    <row r="2" spans="1:16" ht="15">
      <c r="A2" s="3162" t="s">
        <v>1933</v>
      </c>
      <c r="B2" s="3162"/>
      <c r="C2" s="3162"/>
      <c r="D2" s="969" t="s">
        <v>1909</v>
      </c>
      <c r="E2" s="2224" t="s">
        <v>1910</v>
      </c>
      <c r="F2" s="1393"/>
      <c r="G2" s="2225"/>
      <c r="H2" s="2226"/>
      <c r="I2" s="2227" t="s">
        <v>1934</v>
      </c>
      <c r="J2" s="1393"/>
      <c r="K2" s="1393"/>
      <c r="L2" s="1393"/>
      <c r="M2" s="1393"/>
      <c r="N2" s="1428"/>
      <c r="O2" s="1393"/>
      <c r="P2" s="1393"/>
    </row>
    <row r="3" spans="1:16" ht="15.75" thickBot="1">
      <c r="A3" s="3163" t="s">
        <v>1907</v>
      </c>
      <c r="B3" s="3163"/>
      <c r="C3" s="3163"/>
      <c r="D3" s="46">
        <f>'数据-基础表'!AY6</f>
        <v>8089.25</v>
      </c>
      <c r="E3" s="46">
        <f>'数据-基础表'!AZ5</f>
        <v>5755.45</v>
      </c>
      <c r="F3" s="1393"/>
      <c r="G3" s="1400"/>
      <c r="H3" s="1248" t="s">
        <v>1908</v>
      </c>
      <c r="I3" s="55">
        <f>ROUND('数据-基础表'!B3/'数据-基础表'!A3,2)</f>
        <v>0.71</v>
      </c>
      <c r="J3" s="1393"/>
      <c r="K3" s="1393"/>
      <c r="L3" s="1393"/>
      <c r="M3" s="1393"/>
      <c r="N3" s="1428"/>
      <c r="O3" s="1393"/>
      <c r="P3" s="1393"/>
    </row>
    <row r="4" spans="1:16" ht="15">
      <c r="A4" s="3164"/>
      <c r="B4" s="3165"/>
      <c r="C4" s="3166"/>
      <c r="D4" s="2228" t="s">
        <v>1909</v>
      </c>
      <c r="E4" s="2229" t="s">
        <v>1910</v>
      </c>
      <c r="F4" s="1393"/>
      <c r="G4" s="2230" t="s">
        <v>1935</v>
      </c>
      <c r="H4" s="1248" t="s">
        <v>1915</v>
      </c>
      <c r="I4" s="55">
        <f>ROUND(SUMIF('数据-基础表'!I9:AS9,"地上",'数据-基础表'!I5:AS5)/'数据-基础表'!A3,2)</f>
        <v>0.71</v>
      </c>
      <c r="J4" s="1393"/>
      <c r="K4" s="1393"/>
      <c r="L4" s="1393"/>
      <c r="M4" s="1393"/>
      <c r="N4" s="1428"/>
      <c r="O4" s="1393"/>
      <c r="P4" s="1393"/>
    </row>
    <row r="5" spans="1:16">
      <c r="A5" s="47" t="s">
        <v>1911</v>
      </c>
      <c r="B5" s="3167" t="s">
        <v>1912</v>
      </c>
      <c r="C5" s="3167"/>
      <c r="D5" s="48">
        <f>ROUND($D$3*E5/$E$3,2)</f>
        <v>0</v>
      </c>
      <c r="E5" s="49">
        <f>SUMIF('数据-基础表'!$11:$11,"住宅",'数据-基础表'!$5:$5)</f>
        <v>0</v>
      </c>
      <c r="F5" s="1393"/>
      <c r="G5" s="1400"/>
      <c r="H5" s="1248" t="s">
        <v>1908</v>
      </c>
      <c r="I5" s="55">
        <f>ROUND(E31/D31,2)</f>
        <v>0.71</v>
      </c>
      <c r="J5" s="1393"/>
      <c r="K5" s="1393"/>
      <c r="L5" s="1393"/>
      <c r="M5" s="1393"/>
      <c r="N5" s="1393"/>
      <c r="O5" s="1393"/>
      <c r="P5" s="1393"/>
    </row>
    <row r="6" spans="1:16" ht="15" thickBot="1">
      <c r="A6" s="2231"/>
      <c r="B6" s="3167" t="s">
        <v>1913</v>
      </c>
      <c r="C6" s="3167"/>
      <c r="D6" s="48">
        <f>ROUND($D$3*E6/$E$3,2)</f>
        <v>8089.25</v>
      </c>
      <c r="E6" s="49">
        <f>E3-E5</f>
        <v>5755.45</v>
      </c>
      <c r="F6" s="1393"/>
      <c r="G6" s="2232" t="s">
        <v>1914</v>
      </c>
      <c r="H6" s="1400" t="s">
        <v>1915</v>
      </c>
      <c r="I6" s="941">
        <f>ROUND(F31/D31,2)</f>
        <v>0.71</v>
      </c>
      <c r="J6" s="1393"/>
      <c r="K6" s="1393"/>
      <c r="L6" s="1393"/>
      <c r="M6" s="1393"/>
      <c r="N6" s="1393"/>
      <c r="O6" s="1393"/>
      <c r="P6" s="1393"/>
    </row>
    <row r="7" spans="1:16" ht="15">
      <c r="A7" s="3159"/>
      <c r="B7" s="3160"/>
      <c r="C7" s="3161"/>
      <c r="D7" s="2228" t="s">
        <v>1909</v>
      </c>
      <c r="E7" s="2233" t="s">
        <v>1916</v>
      </c>
      <c r="F7" s="1393"/>
      <c r="G7" s="2225" t="s">
        <v>1917</v>
      </c>
      <c r="H7" s="64"/>
      <c r="I7" s="419"/>
      <c r="J7" s="1393"/>
      <c r="K7" s="1393"/>
      <c r="L7" s="1393"/>
      <c r="M7" s="1393"/>
      <c r="N7" s="1393"/>
      <c r="O7" s="1393"/>
      <c r="P7" s="1393"/>
    </row>
    <row r="8" spans="1:16">
      <c r="A8" s="47" t="s">
        <v>1918</v>
      </c>
      <c r="B8" s="50" t="s">
        <v>1919</v>
      </c>
      <c r="C8" s="48" t="s">
        <v>1920</v>
      </c>
      <c r="D8" s="48">
        <f t="shared" ref="D8:D15" si="0">ROUND($D$3*E8/$E$3,2)</f>
        <v>8089.25</v>
      </c>
      <c r="E8" s="51">
        <f>SUMIF('数据-基础表'!BB10:BK10,"地上",'数据-基础表'!BB5:BK5)</f>
        <v>5755.45</v>
      </c>
      <c r="F8" s="1393"/>
      <c r="G8" s="2234"/>
      <c r="H8" s="2234"/>
      <c r="I8" s="1393"/>
      <c r="J8" s="1393"/>
      <c r="K8" s="1393"/>
      <c r="L8" s="1393"/>
      <c r="M8" s="1393"/>
      <c r="N8" s="1393"/>
      <c r="O8" s="1393"/>
      <c r="P8" s="1393"/>
    </row>
    <row r="9" spans="1:16">
      <c r="A9" s="2235"/>
      <c r="B9" s="2236"/>
      <c r="C9" s="48" t="s">
        <v>1921</v>
      </c>
      <c r="D9" s="48">
        <f t="shared" si="0"/>
        <v>0</v>
      </c>
      <c r="E9" s="52">
        <v>0</v>
      </c>
      <c r="F9" s="1393"/>
      <c r="G9" s="2234"/>
      <c r="H9" s="2234"/>
      <c r="I9" s="1393"/>
      <c r="J9" s="1393"/>
      <c r="K9" s="1393"/>
      <c r="L9" s="1393"/>
      <c r="M9" s="1393"/>
      <c r="N9" s="1393"/>
      <c r="O9" s="1393"/>
      <c r="P9" s="1393"/>
    </row>
    <row r="10" spans="1:16">
      <c r="A10" s="2235"/>
      <c r="B10" s="2236"/>
      <c r="C10" s="48" t="s">
        <v>1930</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1922</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1923</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1924</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1936</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1931</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1925</v>
      </c>
      <c r="D16" s="50">
        <f>SUM(D8:D15)</f>
        <v>8089.25</v>
      </c>
      <c r="E16" s="53">
        <f>SUM(E8:E15)</f>
        <v>5755.45</v>
      </c>
      <c r="F16" s="1393"/>
      <c r="G16" s="2234"/>
      <c r="H16" s="2237" t="s">
        <v>1937</v>
      </c>
      <c r="I16" s="2238"/>
      <c r="J16" s="1393"/>
      <c r="K16" s="3156" t="s">
        <v>1937</v>
      </c>
      <c r="L16" s="3157"/>
      <c r="M16" s="3157"/>
      <c r="N16" s="3157"/>
      <c r="O16" s="3157"/>
      <c r="P16" s="3158"/>
    </row>
    <row r="17" spans="1:19" ht="15">
      <c r="A17" s="2239" t="s">
        <v>1938</v>
      </c>
      <c r="B17" s="2240" t="s">
        <v>1939</v>
      </c>
      <c r="C17" s="2241" t="s">
        <v>1940</v>
      </c>
      <c r="D17" s="2242" t="s">
        <v>1928</v>
      </c>
      <c r="E17" s="2243" t="s">
        <v>1929</v>
      </c>
      <c r="F17" s="2244"/>
      <c r="G17" s="2245"/>
      <c r="H17" s="2246" t="s">
        <v>1941</v>
      </c>
      <c r="I17" s="2247" t="s">
        <v>1926</v>
      </c>
      <c r="J17" s="1393"/>
      <c r="K17" s="3153" t="s">
        <v>1942</v>
      </c>
      <c r="L17" s="3154"/>
      <c r="M17" s="3155"/>
      <c r="N17" s="3153" t="s">
        <v>1943</v>
      </c>
      <c r="O17" s="3154"/>
      <c r="P17" s="3155"/>
      <c r="R17" s="2225" t="s">
        <v>1944</v>
      </c>
      <c r="S17" s="64"/>
    </row>
    <row r="18" spans="1:19" ht="15">
      <c r="A18" s="2235"/>
      <c r="B18" s="2248"/>
      <c r="C18" s="2249"/>
      <c r="D18" s="2250"/>
      <c r="E18" s="2251" t="s">
        <v>1945</v>
      </c>
      <c r="F18" s="2252" t="s">
        <v>1946</v>
      </c>
      <c r="G18" s="2253" t="s">
        <v>1947</v>
      </c>
      <c r="H18" s="1263" t="s">
        <v>1948</v>
      </c>
      <c r="I18" s="2254" t="s">
        <v>1949</v>
      </c>
      <c r="J18" s="1393"/>
      <c r="K18" s="1263" t="s">
        <v>1950</v>
      </c>
      <c r="L18" s="2255" t="s">
        <v>1951</v>
      </c>
      <c r="M18" s="1047" t="s">
        <v>1952</v>
      </c>
      <c r="N18" s="1263" t="s">
        <v>1950</v>
      </c>
      <c r="O18" s="2255" t="s">
        <v>1951</v>
      </c>
      <c r="P18" s="1047" t="s">
        <v>1952</v>
      </c>
      <c r="R18" s="1248" t="s">
        <v>1953</v>
      </c>
      <c r="S18" s="1248" t="s">
        <v>1954</v>
      </c>
    </row>
    <row r="19" spans="1:19">
      <c r="A19" s="2256"/>
      <c r="B19" s="50" t="s">
        <v>1927</v>
      </c>
      <c r="C19" s="2938" t="s">
        <v>3295</v>
      </c>
      <c r="D19" s="48">
        <f>ROUND($D$3*E19/$E$3,2)</f>
        <v>8089.25</v>
      </c>
      <c r="E19" s="56">
        <f t="shared" ref="E19:E26" si="1">SUM(F19:G19)</f>
        <v>5755.45</v>
      </c>
      <c r="F19" s="57">
        <f>'数据-基础表'!BB5</f>
        <v>5755.45</v>
      </c>
      <c r="G19" s="58">
        <f>'数据-基础表'!K5</f>
        <v>0</v>
      </c>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8089.25</v>
      </c>
      <c r="S19" s="1249">
        <f t="shared" si="5"/>
        <v>5755.45</v>
      </c>
    </row>
    <row r="20" spans="1:19">
      <c r="A20" s="2260"/>
      <c r="B20" s="50" t="s">
        <v>1955</v>
      </c>
      <c r="C20" s="2257"/>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0</v>
      </c>
      <c r="S20" s="1249">
        <f t="shared" si="5"/>
        <v>0</v>
      </c>
    </row>
    <row r="21" spans="1:19">
      <c r="A21" s="2260"/>
      <c r="B21" s="50" t="s">
        <v>1955</v>
      </c>
      <c r="C21" s="2257"/>
      <c r="D21" s="48">
        <f t="shared" si="6"/>
        <v>0</v>
      </c>
      <c r="E21" s="56">
        <f t="shared" si="1"/>
        <v>0</v>
      </c>
      <c r="F21" s="57"/>
      <c r="G21" s="58"/>
      <c r="H21" s="722">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1955</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1955</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1955</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1955</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1955</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1956</v>
      </c>
      <c r="D27" s="1394">
        <f>SUM(D19:D26)</f>
        <v>8089.25</v>
      </c>
      <c r="E27" s="1395">
        <f>IF(SUM(E19:E26)='数据-基础表'!BA5,SUM(E19:E26),IF(F27="地上面积有误","面积有误","地下面积有误"))</f>
        <v>5755.45</v>
      </c>
      <c r="F27" s="1394">
        <f>IF(SUM(F19:F26)=E8,SUM(F19:F26),"地上面积有误")</f>
        <v>5755.45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8089.25</v>
      </c>
      <c r="S27" s="1248">
        <f>IF(SUM(S19:S26)=$E$3,SUM(S19:S26),SUM(S19:S26)&amp;"误差"&amp;ROUND(SUM(S19:S26)-E3,2))</f>
        <v>5755.45</v>
      </c>
    </row>
    <row r="28" spans="1:19">
      <c r="A28" s="2260"/>
      <c r="B28" s="50" t="s">
        <v>1957</v>
      </c>
      <c r="C28" s="1260" t="s">
        <v>1958</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1957</v>
      </c>
      <c r="C29" s="2264" t="s">
        <v>1959</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1956</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1960</v>
      </c>
      <c r="D31" s="728">
        <f>D27+D30</f>
        <v>8089.25</v>
      </c>
      <c r="E31" s="728">
        <f>E27+E30</f>
        <v>5755.45</v>
      </c>
      <c r="F31" s="729">
        <f>F27+F30</f>
        <v>5755.45</v>
      </c>
      <c r="G31" s="730">
        <f>G27+G30</f>
        <v>0</v>
      </c>
      <c r="H31" s="1393"/>
      <c r="I31" s="1393"/>
      <c r="J31" s="1393"/>
      <c r="K31" s="1393"/>
      <c r="L31" s="1393"/>
      <c r="M31" s="1393"/>
      <c r="N31" s="1393"/>
      <c r="O31" s="1393"/>
      <c r="P31" s="1393"/>
    </row>
    <row r="32" spans="1:19">
      <c r="A32" s="2230"/>
      <c r="B32" s="2230" t="s">
        <v>1961</v>
      </c>
      <c r="C32" s="2230"/>
      <c r="D32" s="2230"/>
      <c r="E32" s="1275">
        <f>SUMIF(C19:C26,"*住宅*",E19:E26)</f>
        <v>0</v>
      </c>
      <c r="F32" s="2230"/>
      <c r="G32" s="2230"/>
      <c r="H32" s="1393"/>
      <c r="I32" s="1393"/>
      <c r="J32" s="1393"/>
      <c r="K32" s="1393"/>
      <c r="L32" s="1393"/>
      <c r="M32" s="1393"/>
      <c r="N32" s="1393"/>
      <c r="O32" s="1393"/>
      <c r="P32" s="1393"/>
    </row>
    <row r="33" spans="4:7">
      <c r="D33" s="2268"/>
    </row>
    <row r="37" spans="4:7">
      <c r="G37" s="2223">
        <f>'数据-汇总表'!E3/'数据-基础表'!G5*'数据-基础表'!A3</f>
        <v>8089.25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1963</v>
      </c>
      <c r="B2" s="1267">
        <f>项目基本情况!D3</f>
        <v>43138</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1970</v>
      </c>
      <c r="B5" s="2287" t="s">
        <v>1971</v>
      </c>
      <c r="C5" s="2288" t="s">
        <v>1972</v>
      </c>
      <c r="D5" s="2289" t="s">
        <v>1973</v>
      </c>
      <c r="E5" s="1269" t="s">
        <v>1974</v>
      </c>
      <c r="F5" s="2290" t="s">
        <v>1975</v>
      </c>
      <c r="G5" s="1269" t="s">
        <v>1976</v>
      </c>
      <c r="H5" s="1269" t="s">
        <v>1977</v>
      </c>
      <c r="I5" s="1269" t="s">
        <v>1978</v>
      </c>
      <c r="J5" s="2291" t="s">
        <v>1979</v>
      </c>
      <c r="K5" s="2292" t="s">
        <v>1980</v>
      </c>
      <c r="L5" s="2293" t="s">
        <v>1981</v>
      </c>
      <c r="M5" s="2294" t="s">
        <v>1982</v>
      </c>
      <c r="N5" s="2295" t="s">
        <v>3048</v>
      </c>
      <c r="O5" s="2293" t="s">
        <v>1983</v>
      </c>
      <c r="P5" s="2296" t="s">
        <v>1984</v>
      </c>
      <c r="Q5" s="69" t="s">
        <v>1985</v>
      </c>
      <c r="R5" s="2297" t="s">
        <v>1986</v>
      </c>
      <c r="S5" s="2298" t="s">
        <v>1987</v>
      </c>
      <c r="T5" s="2299" t="s">
        <v>1988</v>
      </c>
      <c r="U5" s="1268" t="s">
        <v>1989</v>
      </c>
      <c r="V5" s="1269" t="s">
        <v>1990</v>
      </c>
      <c r="W5" s="1269" t="s">
        <v>1991</v>
      </c>
      <c r="X5" s="71"/>
      <c r="Y5" s="70" t="s">
        <v>1992</v>
      </c>
      <c r="Z5" s="2300" t="s">
        <v>1989</v>
      </c>
      <c r="AA5" s="1269" t="s">
        <v>1990</v>
      </c>
      <c r="AB5" s="1269" t="s">
        <v>1991</v>
      </c>
      <c r="AC5" s="71"/>
      <c r="AD5" s="71" t="s">
        <v>1992</v>
      </c>
      <c r="AE5" s="1268" t="s">
        <v>1993</v>
      </c>
      <c r="AF5" s="1269" t="s">
        <v>1994</v>
      </c>
      <c r="AG5" s="70" t="s">
        <v>1995</v>
      </c>
      <c r="AH5" s="1268" t="s">
        <v>1996</v>
      </c>
      <c r="AI5" s="2300" t="s">
        <v>1997</v>
      </c>
      <c r="AJ5" s="2300" t="s">
        <v>1998</v>
      </c>
      <c r="AK5" s="1269" t="s">
        <v>1999</v>
      </c>
      <c r="AL5" s="1269" t="s">
        <v>2000</v>
      </c>
      <c r="AM5" s="70" t="s">
        <v>2001</v>
      </c>
      <c r="AN5" s="2301" t="s">
        <v>2002</v>
      </c>
      <c r="AO5" s="2073" t="s">
        <v>2003</v>
      </c>
      <c r="AP5" s="1250" t="s">
        <v>2004</v>
      </c>
      <c r="AQ5" s="2302" t="s">
        <v>2005</v>
      </c>
      <c r="AR5" s="2302"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厂房</v>
      </c>
      <c r="B6" s="2304" t="str">
        <f>IF(A6=0,"","经营性")</f>
        <v>经营性</v>
      </c>
      <c r="C6" s="2305" t="s">
        <v>6</v>
      </c>
      <c r="D6" s="1052">
        <f>SUMIF(项目基本情况!D$12:I$12,C6,项目基本情况!D$14:I$14)</f>
        <v>50</v>
      </c>
      <c r="E6" s="1049">
        <f>IF(B6="","",SUMIF(项目基本情况!D$12:I$12,C6,项目基本情况!D$13:I$13))</f>
        <v>61400</v>
      </c>
      <c r="F6" s="72">
        <f>SUMIF(项目基本情况!D$12:I$12,C6,项目基本情况!D$15:I$15)</f>
        <v>50</v>
      </c>
      <c r="G6" s="73">
        <f>IF(ISERROR(ROUND(POWER(1+H6,D6-F6)*(POWER(1+H6,F6)-1)/(POWER(1+H6,D6)-1),3)),0,ROUND(POWER(1+H6,D6-F6)*(POWER(1+H6,F6)-1)/(POWER(1+H6,D6)-1),3))</f>
        <v>1</v>
      </c>
      <c r="H6" s="801">
        <v>0.04</v>
      </c>
      <c r="I6" s="801">
        <v>0.05</v>
      </c>
      <c r="J6" s="74">
        <v>8.5000000000000006E-2</v>
      </c>
      <c r="K6" s="1252">
        <f>SUMIF('数据-汇总表'!C$19:C$33,A6,'数据-汇总表'!E$19:E$33)</f>
        <v>5755.45</v>
      </c>
      <c r="L6" s="802">
        <v>2000</v>
      </c>
      <c r="M6" s="75">
        <f t="shared" ref="M6:M14" si="0">ROUND(K6*L6/10000,0)</f>
        <v>1151</v>
      </c>
      <c r="N6" s="800">
        <v>0.6</v>
      </c>
      <c r="O6" s="75" t="str">
        <f>IF($N$5="成新度","——",ROUND(M6*N6,0))</f>
        <v>——</v>
      </c>
      <c r="P6" s="76" t="str">
        <f>IF($N$5="成新度","——",M6-O6)</f>
        <v>——</v>
      </c>
      <c r="Q6" s="803">
        <v>0.1</v>
      </c>
      <c r="R6" s="77">
        <f ca="1">SUMIF('数据-汇总表'!C$19:C$33,A6,'数据-汇总表'!R$19:R$27)</f>
        <v>8089.25</v>
      </c>
      <c r="S6" s="54">
        <f>IF('数据-汇总表'!$I$17="按面积比例",SUMIF('数据-汇总表'!C$19:C$33,A6,'数据-汇总表'!K$19:K$33),SUMIF('数据-汇总表'!C$19:C$33,A6,'数据-汇总表'!N$19:N$33))</f>
        <v>0</v>
      </c>
      <c r="T6" s="1444">
        <f>ROUND($L$14*S6/10000,0)</f>
        <v>0</v>
      </c>
      <c r="U6" s="78">
        <v>1</v>
      </c>
      <c r="V6" s="79">
        <v>0.02</v>
      </c>
      <c r="W6" s="79">
        <v>0.1</v>
      </c>
      <c r="X6" s="1262"/>
      <c r="Y6" s="80">
        <f>N6</f>
        <v>0.6</v>
      </c>
      <c r="Z6" s="81"/>
      <c r="AA6" s="74"/>
      <c r="AB6" s="74"/>
      <c r="AC6" s="1262"/>
      <c r="AD6" s="82"/>
      <c r="AE6" s="1263">
        <f ca="1">IF(AN6="",0,SUMIF(INDIRECT("'"&amp;AN6&amp;"'"&amp;"!E:E"),$AE$5,INDIRECT("'"&amp;AN6&amp;"'"&amp;"!F:F")))</f>
        <v>50</v>
      </c>
      <c r="AF6" s="3033"/>
      <c r="AG6" s="146">
        <f>IF(AF6="",0,AE6-AF6)</f>
        <v>0</v>
      </c>
      <c r="AH6" s="83"/>
      <c r="AI6" s="85">
        <v>365</v>
      </c>
      <c r="AJ6" s="86"/>
      <c r="AK6" s="87">
        <v>1.4999999999999999E-2</v>
      </c>
      <c r="AL6" s="88">
        <v>1.5E-3</v>
      </c>
      <c r="AM6" s="89">
        <v>1.4999999999999999E-2</v>
      </c>
      <c r="AN6" s="2306" t="s">
        <v>3220</v>
      </c>
      <c r="AO6" s="55">
        <f ca="1">SUMIF(INDIRECT("'"&amp;AN6&amp;"'"&amp;"!A:A"),"总价",INDIRECT("'"&amp;AN6&amp;"'"&amp;"!B:B"))</f>
        <v>3444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2007</v>
      </c>
      <c r="B14" s="2304" t="s">
        <v>2008</v>
      </c>
      <c r="C14" s="2309" t="s">
        <v>2007</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2009</v>
      </c>
      <c r="B15" s="2304" t="s">
        <v>2008</v>
      </c>
      <c r="C15" s="2309" t="s">
        <v>2010</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2011</v>
      </c>
      <c r="B16" s="97"/>
      <c r="C16" s="1007"/>
      <c r="D16" s="2311"/>
      <c r="E16" s="97"/>
      <c r="F16" s="97"/>
      <c r="G16" s="98">
        <f>ROUND(SUMPRODUCT(G6:G13,K6:K13)/SUMPRODUCT((G6:G13&gt;0)*(K6:K13)),3)</f>
        <v>1</v>
      </c>
      <c r="H16" s="99">
        <f>ROUND(SUMPRODUCT(H6:H13,K6:K13)/SUMPRODUCT((H6:H13&gt;0)*(K6:K13)),3)</f>
        <v>0.04</v>
      </c>
      <c r="I16" s="100"/>
      <c r="J16" s="100"/>
      <c r="K16" s="101">
        <f>SUM(K6:K15)</f>
        <v>5755.45</v>
      </c>
      <c r="L16" s="102">
        <f>ROUND(M16*10000/SUM(K6:K14),0)</f>
        <v>2000</v>
      </c>
      <c r="M16" s="102">
        <f>SUM(M6:M14)</f>
        <v>1151</v>
      </c>
      <c r="N16" s="103">
        <f>ROUND(SUMPRODUCT(M6:M14,N6:N14)/M16,3)</f>
        <v>0.6</v>
      </c>
      <c r="O16" s="102">
        <f>SUM(O6:O14)</f>
        <v>0</v>
      </c>
      <c r="P16" s="102">
        <f>SUM(P6:P14)</f>
        <v>0</v>
      </c>
      <c r="Q16" s="104">
        <f>ROUND(SUMPRODUCT(Q6:Q13,K6:K13)/SUMPRODUCT((Q6:Q13&gt;0)*(K6:K13)),2)</f>
        <v>0.1</v>
      </c>
      <c r="R16" s="1256">
        <f ca="1">SUM(R6:R13)</f>
        <v>8089.25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2012</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2013</v>
      </c>
      <c r="B19" s="112">
        <v>0</v>
      </c>
      <c r="C19" s="2274" t="s">
        <v>2014</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2015</v>
      </c>
      <c r="B20" s="113">
        <v>1</v>
      </c>
      <c r="C20" s="2274" t="s">
        <v>2016</v>
      </c>
      <c r="D20" s="2275"/>
      <c r="E20" s="2274"/>
      <c r="F20" s="2274"/>
      <c r="G20" s="2274"/>
      <c r="H20" s="2274"/>
      <c r="I20" s="2274"/>
      <c r="J20" s="2274"/>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2017</v>
      </c>
      <c r="B21" s="113">
        <v>1</v>
      </c>
      <c r="C21" s="2274"/>
      <c r="D21" s="2275"/>
      <c r="E21" s="2274"/>
      <c r="F21" s="2274"/>
      <c r="G21" s="2274"/>
      <c r="H21" s="2274"/>
      <c r="I21" s="2274"/>
      <c r="J21" s="2274"/>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2018</v>
      </c>
      <c r="B22" s="114">
        <f>B19+B20</f>
        <v>1</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f ca="1">结果表!G19</f>
        <v>3368</v>
      </c>
      <c r="AA22" s="1582"/>
      <c r="AB22" s="1582"/>
      <c r="AC22" s="1582"/>
      <c r="AD22" s="1582"/>
      <c r="AE22" s="1582"/>
      <c r="AF22" s="1582"/>
      <c r="AG22" s="1582"/>
      <c r="AH22" s="1582"/>
      <c r="AI22" s="1582"/>
      <c r="AJ22" s="1582"/>
      <c r="AK22" s="1582"/>
      <c r="AL22" s="1582"/>
      <c r="AM22" s="1582"/>
    </row>
    <row r="23" spans="1:67" ht="14.25">
      <c r="A23" s="2315" t="s">
        <v>2019</v>
      </c>
      <c r="B23" s="114">
        <f>B19+B21</f>
        <v>1</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2020</v>
      </c>
      <c r="B24" s="115">
        <f>B20-B21</f>
        <v>0</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2021</v>
      </c>
      <c r="B26" s="2317" t="s">
        <v>2022</v>
      </c>
      <c r="C26" s="2318" t="s">
        <v>2023</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2024</v>
      </c>
      <c r="B27" s="116"/>
      <c r="C27" s="1765" t="s">
        <v>2025</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2026</v>
      </c>
      <c r="B28" s="119">
        <v>200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2027</v>
      </c>
      <c r="B29" s="121">
        <f>ROUND(B28*K16/10000,0)</f>
        <v>115</v>
      </c>
      <c r="C29" s="1765" t="s">
        <v>2028</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2029</v>
      </c>
      <c r="B30" s="723">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2030</v>
      </c>
      <c r="B31" s="120">
        <f>B30-B32</f>
        <v>200</v>
      </c>
      <c r="C31" s="1765"/>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2031</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2032</v>
      </c>
      <c r="B33" s="725">
        <v>0.05</v>
      </c>
      <c r="C33" s="1764" t="s">
        <v>2033</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2034</v>
      </c>
      <c r="B34" s="122">
        <v>0</v>
      </c>
      <c r="C34" s="1764" t="s">
        <v>2035</v>
      </c>
      <c r="D34" s="2275" t="s">
        <v>2036</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2037</v>
      </c>
      <c r="B35" s="119">
        <v>200</v>
      </c>
      <c r="C35" s="1764" t="s">
        <v>2038</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2039</v>
      </c>
      <c r="B36" s="123">
        <v>1.4999999999999999E-2</v>
      </c>
      <c r="C36" s="1764" t="s">
        <v>2040</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2041</v>
      </c>
      <c r="B37" s="124">
        <v>0.02</v>
      </c>
      <c r="C37" s="1764" t="s">
        <v>2042</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2043</v>
      </c>
      <c r="B38" s="122">
        <v>0.02</v>
      </c>
      <c r="C38" s="1764" t="s">
        <v>2042</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2044</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2045</v>
      </c>
      <c r="B40" s="1301">
        <f ca="1">存贷款利率!G1</f>
        <v>4.3499999999999997E-2</v>
      </c>
      <c r="C40" s="1764" t="s">
        <v>2046</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2047</v>
      </c>
      <c r="B41" s="125">
        <f>B42+B43</f>
        <v>5.5000000000000007E-2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2048</v>
      </c>
      <c r="B42" s="126">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2049</v>
      </c>
      <c r="B43" s="127">
        <f>B42*(B44+B45+B46)+B47</f>
        <v>5.000000000000001E-3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2050</v>
      </c>
      <c r="B44" s="3035">
        <v>0.05</v>
      </c>
      <c r="C44" s="1764" t="s">
        <v>2051</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2052</v>
      </c>
      <c r="B45" s="126">
        <v>0.03</v>
      </c>
      <c r="C45" s="1765" t="s">
        <v>2053</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2054</v>
      </c>
      <c r="B46" s="126">
        <v>0.02</v>
      </c>
      <c r="C46" s="1765" t="s">
        <v>2055</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2056</v>
      </c>
      <c r="B47" s="128">
        <v>0</v>
      </c>
      <c r="C47" s="1765" t="s">
        <v>2057</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2058</v>
      </c>
      <c r="B48" s="129">
        <v>0.03</v>
      </c>
      <c r="C48" s="1772" t="s">
        <v>2059</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2060</v>
      </c>
      <c r="B49" s="126">
        <v>5.0000000000000001E-4</v>
      </c>
      <c r="C49" s="1772" t="s">
        <v>2061</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2062</v>
      </c>
      <c r="B50" s="130">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2063</v>
      </c>
      <c r="B51" s="131">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2064</v>
      </c>
      <c r="B52" s="132">
        <f>SUMIF(A54:A63,B53,B54:B63)</f>
        <v>1.5</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2065</v>
      </c>
      <c r="B53" s="3034" t="s">
        <v>56</v>
      </c>
      <c r="C53" s="1428" t="s">
        <v>2066</v>
      </c>
      <c r="D53" s="2333" t="s">
        <v>2067</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2068</v>
      </c>
      <c r="B54" s="84"/>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2069</v>
      </c>
      <c r="B55" s="84"/>
      <c r="C55" s="1428">
        <v>24</v>
      </c>
      <c r="D55" s="2275"/>
      <c r="E55" s="2274"/>
      <c r="F55" s="2274"/>
      <c r="G55" s="2274"/>
      <c r="H55" s="2274"/>
      <c r="I55" s="2335"/>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2070</v>
      </c>
      <c r="B56" s="84"/>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2071</v>
      </c>
      <c r="B57" s="84"/>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2072</v>
      </c>
      <c r="B58" s="84"/>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2073</v>
      </c>
      <c r="B59" s="84">
        <v>1.5</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2074</v>
      </c>
      <c r="B60" s="84"/>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2075</v>
      </c>
      <c r="B61" s="84"/>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2076</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2077</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68" t="s">
        <v>2078</v>
      </c>
      <c r="B1" s="3169"/>
      <c r="C1" s="3169"/>
      <c r="D1" s="3169"/>
      <c r="E1" s="3169"/>
      <c r="F1" s="3169"/>
      <c r="G1" s="316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3"/>
      <c r="G2" s="2361" t="s">
        <v>2080</v>
      </c>
      <c r="H2" s="2364"/>
      <c r="I2" s="2364"/>
      <c r="J2" s="2364"/>
      <c r="K2" s="2364"/>
      <c r="L2" s="2364"/>
      <c r="M2" s="2364"/>
      <c r="N2" s="2364"/>
      <c r="O2" s="2364"/>
      <c r="P2" s="2364"/>
      <c r="Q2" s="2364"/>
      <c r="R2" s="2364"/>
    </row>
    <row r="3" spans="1:29" ht="27">
      <c r="A3" s="414" t="s">
        <v>2081</v>
      </c>
      <c r="B3" s="1269" t="s">
        <v>2082</v>
      </c>
      <c r="C3" s="2366"/>
      <c r="D3" s="2367"/>
      <c r="E3" s="430" t="s">
        <v>2081</v>
      </c>
      <c r="F3" s="2368" t="s">
        <v>2083</v>
      </c>
      <c r="G3" s="3049" t="s">
        <v>3265</v>
      </c>
      <c r="H3" s="2364"/>
      <c r="I3" s="2364"/>
      <c r="J3" s="2364"/>
      <c r="K3" s="2364"/>
      <c r="L3" s="2364"/>
      <c r="M3" s="2364"/>
      <c r="N3" s="2364"/>
      <c r="O3" s="2364"/>
      <c r="P3" s="2364"/>
      <c r="Q3" s="2364"/>
      <c r="R3" s="2364"/>
    </row>
    <row r="4" spans="1:29" ht="15">
      <c r="A4" s="430"/>
      <c r="B4" s="1796" t="s">
        <v>2084</v>
      </c>
      <c r="C4" s="2369"/>
      <c r="D4" s="2367"/>
      <c r="E4" s="2370"/>
      <c r="F4" s="42" t="s">
        <v>2085</v>
      </c>
      <c r="G4" s="3050" t="s">
        <v>3266</v>
      </c>
      <c r="H4" s="2364"/>
      <c r="I4" s="2364"/>
      <c r="J4" s="2364"/>
      <c r="K4" s="2364"/>
      <c r="L4" s="2364"/>
      <c r="M4" s="2364"/>
      <c r="N4" s="2364"/>
      <c r="O4" s="2364"/>
      <c r="P4" s="2364"/>
      <c r="Q4" s="2364"/>
      <c r="R4" s="2364"/>
    </row>
    <row r="5" spans="1:29" ht="15">
      <c r="A5" s="430"/>
      <c r="B5" s="1796" t="s">
        <v>2086</v>
      </c>
      <c r="C5" s="2369"/>
      <c r="D5" s="2367"/>
      <c r="E5" s="2370"/>
      <c r="F5" s="1796" t="s">
        <v>2087</v>
      </c>
      <c r="G5" s="3050" t="s">
        <v>3266</v>
      </c>
      <c r="H5" s="2364"/>
      <c r="I5" s="2364"/>
      <c r="J5" s="2364"/>
      <c r="K5" s="2364"/>
      <c r="L5" s="2364"/>
      <c r="M5" s="2364"/>
      <c r="N5" s="2364"/>
      <c r="O5" s="2364"/>
      <c r="P5" s="2364"/>
      <c r="Q5" s="2364"/>
      <c r="R5" s="2364"/>
    </row>
    <row r="6" spans="1:29" ht="15">
      <c r="A6" s="430"/>
      <c r="B6" s="1796" t="s">
        <v>2088</v>
      </c>
      <c r="C6" s="2371"/>
      <c r="D6" s="2367"/>
      <c r="E6" s="2370"/>
      <c r="F6" s="1796" t="s">
        <v>2089</v>
      </c>
      <c r="G6" s="3050" t="s">
        <v>3267</v>
      </c>
      <c r="H6" s="2364"/>
      <c r="I6" s="2364"/>
      <c r="J6" s="2364"/>
      <c r="K6" s="2364"/>
      <c r="L6" s="2364"/>
      <c r="M6" s="2364"/>
      <c r="N6" s="2364"/>
      <c r="O6" s="2364"/>
      <c r="P6" s="2364"/>
      <c r="Q6" s="2364"/>
      <c r="R6" s="2364"/>
    </row>
    <row r="7" spans="1:29" ht="15.75" thickBot="1">
      <c r="A7" s="430"/>
      <c r="B7" s="1796" t="s">
        <v>2087</v>
      </c>
      <c r="C7" s="2371"/>
      <c r="D7" s="2372"/>
      <c r="E7" s="2373"/>
      <c r="F7" s="2374" t="s">
        <v>2090</v>
      </c>
      <c r="G7" s="3051" t="s">
        <v>3268</v>
      </c>
      <c r="H7" s="2364"/>
      <c r="I7" s="2364"/>
      <c r="J7" s="2364"/>
      <c r="K7" s="2364"/>
      <c r="L7" s="2364"/>
      <c r="M7" s="2364"/>
      <c r="N7" s="2364"/>
      <c r="O7" s="2364"/>
      <c r="P7" s="2364"/>
      <c r="Q7" s="2364"/>
      <c r="R7" s="2364"/>
    </row>
    <row r="8" spans="1:29" ht="15">
      <c r="A8" s="430"/>
      <c r="B8" s="1796" t="s">
        <v>2089</v>
      </c>
      <c r="C8" s="2371"/>
      <c r="D8" s="2372"/>
      <c r="E8" s="2372"/>
      <c r="F8" s="1134"/>
      <c r="G8" s="1134"/>
      <c r="H8" s="2364"/>
      <c r="I8" s="2364"/>
      <c r="J8" s="2364"/>
      <c r="K8" s="2364"/>
      <c r="L8" s="2364"/>
      <c r="M8" s="2364"/>
      <c r="N8" s="2364"/>
      <c r="O8" s="2364"/>
      <c r="P8" s="2364"/>
      <c r="Q8" s="2364"/>
      <c r="R8" s="2364"/>
    </row>
    <row r="9" spans="1:29" ht="15">
      <c r="A9" s="430"/>
      <c r="B9" s="1796" t="s">
        <v>2091</v>
      </c>
      <c r="C9" s="2369"/>
      <c r="D9" s="2367"/>
      <c r="E9" s="2372"/>
      <c r="F9" s="1134"/>
      <c r="G9" s="1134"/>
      <c r="H9" s="2364"/>
      <c r="I9" s="2364"/>
      <c r="J9" s="2364"/>
      <c r="K9" s="2364"/>
      <c r="L9" s="2364"/>
      <c r="M9" s="2364"/>
      <c r="N9" s="2364"/>
      <c r="O9" s="2364"/>
      <c r="P9" s="2364"/>
      <c r="Q9" s="2364"/>
      <c r="R9" s="2364"/>
    </row>
    <row r="10" spans="1:29" s="117" customFormat="1" ht="15.75" thickBot="1">
      <c r="A10" s="2375"/>
      <c r="B10" s="2376" t="s">
        <v>2092</v>
      </c>
      <c r="C10" s="2377"/>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2093</v>
      </c>
      <c r="B13" s="2382"/>
      <c r="C13" s="2382"/>
      <c r="D13" s="2389"/>
      <c r="E13" s="2382"/>
      <c r="F13" s="2382"/>
      <c r="G13" s="2382"/>
    </row>
    <row r="14" spans="1:29" ht="15.75" thickBot="1">
      <c r="A14" s="2393"/>
      <c r="B14" s="2394"/>
      <c r="C14" s="2395" t="s">
        <v>2094</v>
      </c>
      <c r="D14" s="2367"/>
      <c r="E14" s="2396"/>
      <c r="F14" s="2396"/>
      <c r="G14" s="2361" t="s">
        <v>2095</v>
      </c>
    </row>
    <row r="15" spans="1:29" ht="27">
      <c r="A15" s="68" t="s">
        <v>2096</v>
      </c>
      <c r="B15" s="1268" t="s">
        <v>2082</v>
      </c>
      <c r="C15" s="2397">
        <f>C3</f>
        <v>0</v>
      </c>
      <c r="D15" s="2367"/>
      <c r="E15" s="2398" t="s">
        <v>2097</v>
      </c>
      <c r="F15" s="1268" t="s">
        <v>2098</v>
      </c>
      <c r="G15" s="134" t="str">
        <f>G3</f>
        <v>较好</v>
      </c>
    </row>
    <row r="16" spans="1:29" ht="15">
      <c r="A16" s="644"/>
      <c r="B16" s="2399" t="s">
        <v>2084</v>
      </c>
      <c r="C16" s="2400">
        <f>C4</f>
        <v>0</v>
      </c>
      <c r="D16" s="2367"/>
      <c r="E16" s="2401"/>
      <c r="F16" s="2402" t="s">
        <v>2085</v>
      </c>
      <c r="G16" s="135" t="str">
        <f>G4</f>
        <v>较好</v>
      </c>
    </row>
    <row r="17" spans="1:18" ht="15">
      <c r="A17" s="644"/>
      <c r="B17" s="2399" t="s">
        <v>2086</v>
      </c>
      <c r="C17" s="2400">
        <f>C5</f>
        <v>0</v>
      </c>
      <c r="D17" s="2372"/>
      <c r="E17" s="2401"/>
      <c r="F17" s="2402" t="s">
        <v>2099</v>
      </c>
      <c r="G17" s="1570"/>
    </row>
    <row r="18" spans="1:18" ht="15">
      <c r="A18" s="644"/>
      <c r="B18" s="2402" t="s">
        <v>2088</v>
      </c>
      <c r="C18" s="135">
        <f>C6</f>
        <v>0</v>
      </c>
      <c r="D18" s="2372"/>
      <c r="E18" s="2401"/>
      <c r="F18" s="2402" t="s">
        <v>2090</v>
      </c>
      <c r="G18" s="135" t="str">
        <f>G7</f>
        <v>一般</v>
      </c>
    </row>
    <row r="19" spans="1:18" ht="15">
      <c r="A19" s="644"/>
      <c r="B19" s="2402" t="s">
        <v>2100</v>
      </c>
      <c r="C19" s="1570"/>
      <c r="D19" s="2367"/>
      <c r="E19" s="2401"/>
      <c r="F19" s="1796" t="s">
        <v>2087</v>
      </c>
      <c r="G19" s="135" t="str">
        <f>G5</f>
        <v>较好</v>
      </c>
    </row>
    <row r="20" spans="1:18" ht="15">
      <c r="A20" s="644"/>
      <c r="B20" s="2402" t="s">
        <v>2101</v>
      </c>
      <c r="C20" s="2400">
        <f>C9</f>
        <v>0</v>
      </c>
      <c r="D20" s="2372"/>
      <c r="E20" s="2401"/>
      <c r="F20" s="1796" t="s">
        <v>2102</v>
      </c>
      <c r="G20" s="135" t="str">
        <f>G6</f>
        <v>七通</v>
      </c>
    </row>
    <row r="21" spans="1:18" ht="15">
      <c r="A21" s="644"/>
      <c r="B21" s="1796" t="s">
        <v>2087</v>
      </c>
      <c r="C21" s="135">
        <f>C7</f>
        <v>0</v>
      </c>
      <c r="D21" s="2367"/>
      <c r="E21" s="2401"/>
      <c r="F21" s="2402" t="s">
        <v>2103</v>
      </c>
      <c r="G21" s="2403"/>
    </row>
    <row r="22" spans="1:18" ht="13.5" customHeight="1">
      <c r="A22" s="644"/>
      <c r="B22" s="1796" t="s">
        <v>2089</v>
      </c>
      <c r="C22" s="135">
        <f>C8</f>
        <v>0</v>
      </c>
      <c r="D22" s="2367"/>
      <c r="E22" s="2401"/>
      <c r="F22" s="2402" t="s">
        <v>2092</v>
      </c>
      <c r="G22" s="1570"/>
    </row>
    <row r="23" spans="1:18" s="2364" customFormat="1" ht="15.75" thickBot="1">
      <c r="A23" s="644"/>
      <c r="B23" s="2402" t="s">
        <v>2103</v>
      </c>
      <c r="C23" s="2403"/>
      <c r="D23" s="2390"/>
      <c r="E23" s="2404"/>
      <c r="F23" s="2405" t="s">
        <v>2104</v>
      </c>
      <c r="G23" s="2406"/>
      <c r="H23" s="2390"/>
      <c r="I23" s="2391"/>
      <c r="J23" s="2390"/>
      <c r="K23" s="2390"/>
      <c r="L23" s="2391"/>
      <c r="M23" s="2390"/>
      <c r="N23" s="2390"/>
      <c r="O23" s="2391"/>
      <c r="P23" s="2390"/>
      <c r="Q23" s="2390"/>
      <c r="R23" s="2392"/>
    </row>
    <row r="24" spans="1:18" s="2364" customFormat="1" ht="15.75" thickBot="1">
      <c r="A24" s="2407"/>
      <c r="B24" s="2405" t="s">
        <v>2105</v>
      </c>
      <c r="C24" s="136">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5755.45</v>
      </c>
      <c r="C1" s="1743"/>
      <c r="D1" s="1743"/>
      <c r="E1" s="1743"/>
      <c r="F1" s="1743"/>
      <c r="G1" s="1741"/>
    </row>
    <row r="2" spans="1:10" ht="16.5">
      <c r="A2" s="1744" t="s">
        <v>1353</v>
      </c>
      <c r="B2" s="1744">
        <f>SUM(C14:C23)</f>
        <v>8089.25</v>
      </c>
      <c r="C2" s="1743"/>
      <c r="D2" s="1743"/>
      <c r="E2" s="1743"/>
      <c r="F2" s="1743"/>
      <c r="G2" s="1741"/>
    </row>
    <row r="3" spans="1:10" ht="16.5">
      <c r="A3" s="1744" t="s">
        <v>1362</v>
      </c>
      <c r="B3" s="1745">
        <f>项目基本情况!D3</f>
        <v>43138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3368</v>
      </c>
      <c r="C5" s="1744">
        <f ca="1">ROUND(B5*10000/$B$1,0)</f>
        <v>5852</v>
      </c>
      <c r="D5" s="1744">
        <f ca="1">ROUND(B5*10000/$B$2,0)</f>
        <v>4164</v>
      </c>
      <c r="E5" s="1743"/>
      <c r="F5" s="1741"/>
      <c r="G5" s="1741"/>
    </row>
    <row r="6" spans="1:10" ht="16.5">
      <c r="A6" s="1744" t="s">
        <v>1356</v>
      </c>
      <c r="B6" s="1744">
        <f>SUM(G14:G23)</f>
        <v>0</v>
      </c>
      <c r="C6" s="1744">
        <f>ROUND(B6*10000/$B$1,0)</f>
        <v>0</v>
      </c>
      <c r="D6" s="1744">
        <f>ROUND(B6*10000/$B$2,0)</f>
        <v>0</v>
      </c>
      <c r="E6" s="1743"/>
      <c r="F6" s="1741"/>
      <c r="G6" s="1741"/>
    </row>
    <row r="7" spans="1:10" ht="16.5">
      <c r="A7" s="1744" t="s">
        <v>1364</v>
      </c>
      <c r="B7" s="1744">
        <f ca="1">SUM(H14:H23)</f>
        <v>3119</v>
      </c>
      <c r="C7" s="1744">
        <f ca="1">ROUND(B7*10000/$B$1,0)</f>
        <v>5419</v>
      </c>
      <c r="D7" s="1744">
        <f ca="1">ROUND(B7*10000/$B$2,0)</f>
        <v>3856</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5755.45</v>
      </c>
      <c r="C14" s="1742">
        <f>结果表!C118</f>
        <v>8089.25</v>
      </c>
      <c r="D14" s="1742">
        <f ca="1">结果表!H118</f>
        <v>3368</v>
      </c>
      <c r="E14" s="1742">
        <f ca="1">ROUND(D14*10000/B14,0)</f>
        <v>5852</v>
      </c>
      <c r="F14" s="1742">
        <f ca="1">ROUND(D14*10000/C14,0)</f>
        <v>4164</v>
      </c>
      <c r="G14" s="1742" t="str">
        <f>结果表!D122</f>
        <v>——</v>
      </c>
      <c r="H14" s="1742">
        <f ca="1">结果表!D124</f>
        <v>3119</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20" sqref="J1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2106</v>
      </c>
      <c r="B1" s="2413"/>
      <c r="C1" s="2414"/>
      <c r="D1" s="2413"/>
      <c r="E1" s="2413"/>
      <c r="F1" s="2415" t="s">
        <v>2107</v>
      </c>
      <c r="G1" s="2069" t="s">
        <v>3039</v>
      </c>
      <c r="H1" s="2416" t="str">
        <f>IF(G1="现房","——","估价对象范围")</f>
        <v>——</v>
      </c>
      <c r="I1" s="2417" t="s">
        <v>3240</v>
      </c>
    </row>
    <row r="2" spans="1:12" ht="21.75" customHeight="1" thickBot="1">
      <c r="A2" s="3242" t="str">
        <f>项目基本情况!S2</f>
        <v>北京市顺义区京密路马坡段西侧房地产</v>
      </c>
      <c r="B2" s="3243"/>
      <c r="C2" s="3243"/>
      <c r="D2" s="3243"/>
      <c r="E2" s="3243"/>
      <c r="F2" s="3243"/>
      <c r="G2" s="3243"/>
      <c r="H2" s="3243"/>
      <c r="I2" s="3244"/>
    </row>
    <row r="3" spans="1:12" ht="12.75">
      <c r="A3" s="3245" t="s">
        <v>2108</v>
      </c>
      <c r="B3" s="3246"/>
      <c r="C3" s="3246"/>
      <c r="D3" s="3246"/>
      <c r="E3" s="3246"/>
      <c r="F3" s="3246"/>
      <c r="G3" s="3246"/>
      <c r="H3" s="3246"/>
      <c r="I3" s="3246"/>
    </row>
    <row r="4" spans="1:12" ht="14.25">
      <c r="A4" s="2420" t="s">
        <v>2109</v>
      </c>
      <c r="B4" s="2421" t="s">
        <v>2110</v>
      </c>
      <c r="C4" s="2422" t="s">
        <v>3239</v>
      </c>
      <c r="D4" s="2422" t="s">
        <v>3220</v>
      </c>
      <c r="E4" s="3226" t="s">
        <v>2111</v>
      </c>
      <c r="F4" s="3239"/>
      <c r="G4" s="3239"/>
      <c r="H4" s="3239"/>
      <c r="I4" s="3227"/>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17" t="s">
        <v>2112</v>
      </c>
      <c r="B5" s="3143">
        <v>25</v>
      </c>
      <c r="C5" s="3247"/>
      <c r="D5" s="3235"/>
      <c r="E5" s="139" t="s">
        <v>2113</v>
      </c>
      <c r="F5" s="2424"/>
      <c r="G5" s="2424"/>
      <c r="H5" s="2424"/>
      <c r="I5" s="1832"/>
    </row>
    <row r="6" spans="1:12" ht="12.75">
      <c r="A6" s="3217"/>
      <c r="B6" s="3143"/>
      <c r="C6" s="3249"/>
      <c r="D6" s="3235"/>
      <c r="E6" s="139" t="s">
        <v>2114</v>
      </c>
      <c r="F6" s="2424"/>
      <c r="G6" s="2424"/>
      <c r="H6" s="2424"/>
      <c r="I6" s="1832"/>
    </row>
    <row r="7" spans="1:12" ht="12.75">
      <c r="A7" s="3217"/>
      <c r="B7" s="3143"/>
      <c r="C7" s="3248"/>
      <c r="D7" s="3235"/>
      <c r="E7" s="139" t="s">
        <v>2115</v>
      </c>
      <c r="F7" s="2424"/>
      <c r="G7" s="2424"/>
      <c r="H7" s="2424"/>
      <c r="I7" s="1832"/>
    </row>
    <row r="8" spans="1:12" ht="12.75">
      <c r="A8" s="3217" t="s">
        <v>2116</v>
      </c>
      <c r="B8" s="3143">
        <v>15</v>
      </c>
      <c r="C8" s="3247"/>
      <c r="D8" s="3235"/>
      <c r="E8" s="139" t="s">
        <v>2117</v>
      </c>
      <c r="F8" s="2424"/>
      <c r="G8" s="2424"/>
      <c r="H8" s="2424"/>
      <c r="I8" s="1832"/>
    </row>
    <row r="9" spans="1:12" ht="12.75">
      <c r="A9" s="3217"/>
      <c r="B9" s="3143"/>
      <c r="C9" s="3248"/>
      <c r="D9" s="3235"/>
      <c r="E9" s="139" t="s">
        <v>2118</v>
      </c>
      <c r="F9" s="2424"/>
      <c r="G9" s="2424"/>
      <c r="H9" s="2424"/>
      <c r="I9" s="1832"/>
    </row>
    <row r="10" spans="1:12" ht="12.75">
      <c r="A10" s="3217" t="s">
        <v>2119</v>
      </c>
      <c r="B10" s="3143">
        <v>15</v>
      </c>
      <c r="C10" s="3247"/>
      <c r="D10" s="3235"/>
      <c r="E10" s="139" t="s">
        <v>2120</v>
      </c>
      <c r="F10" s="2424"/>
      <c r="G10" s="2424"/>
      <c r="H10" s="2424"/>
      <c r="I10" s="1832"/>
    </row>
    <row r="11" spans="1:12" ht="12.75">
      <c r="A11" s="3217"/>
      <c r="B11" s="3143"/>
      <c r="C11" s="3248"/>
      <c r="D11" s="3235"/>
      <c r="E11" s="139" t="s">
        <v>2121</v>
      </c>
      <c r="F11" s="2424"/>
      <c r="G11" s="2424"/>
      <c r="H11" s="2424"/>
      <c r="I11" s="1832"/>
    </row>
    <row r="12" spans="1:12" ht="12.75">
      <c r="A12" s="3217" t="s">
        <v>2122</v>
      </c>
      <c r="B12" s="3143">
        <v>15</v>
      </c>
      <c r="C12" s="3247"/>
      <c r="D12" s="3235"/>
      <c r="E12" s="139" t="s">
        <v>2123</v>
      </c>
      <c r="F12" s="2424"/>
      <c r="G12" s="2424"/>
      <c r="H12" s="2424"/>
      <c r="I12" s="1832"/>
    </row>
    <row r="13" spans="1:12" ht="12.75">
      <c r="A13" s="3217"/>
      <c r="B13" s="3143"/>
      <c r="C13" s="3248"/>
      <c r="D13" s="3235"/>
      <c r="E13" s="139" t="s">
        <v>2124</v>
      </c>
      <c r="F13" s="2424"/>
      <c r="G13" s="2424"/>
      <c r="H13" s="2424"/>
      <c r="I13" s="1832"/>
    </row>
    <row r="14" spans="1:12" ht="12.75">
      <c r="A14" s="3217" t="s">
        <v>2125</v>
      </c>
      <c r="B14" s="3143">
        <v>30</v>
      </c>
      <c r="C14" s="3247">
        <v>5</v>
      </c>
      <c r="D14" s="3235">
        <v>5</v>
      </c>
      <c r="E14" s="139" t="s">
        <v>2126</v>
      </c>
      <c r="F14" s="2424"/>
      <c r="G14" s="2424"/>
      <c r="H14" s="2424"/>
      <c r="I14" s="1832"/>
    </row>
    <row r="15" spans="1:12" ht="12.75">
      <c r="A15" s="3217"/>
      <c r="B15" s="3143"/>
      <c r="C15" s="3249"/>
      <c r="D15" s="3235"/>
      <c r="E15" s="139" t="s">
        <v>2127</v>
      </c>
      <c r="F15" s="2424"/>
      <c r="G15" s="2424"/>
      <c r="H15" s="2424"/>
      <c r="I15" s="1832"/>
    </row>
    <row r="16" spans="1:12" ht="12.75">
      <c r="A16" s="3217"/>
      <c r="B16" s="3143"/>
      <c r="C16" s="3248"/>
      <c r="D16" s="3235"/>
      <c r="E16" s="139" t="s">
        <v>2128</v>
      </c>
      <c r="F16" s="2424"/>
      <c r="G16" s="2424"/>
      <c r="H16" s="2424"/>
      <c r="I16" s="1832"/>
    </row>
    <row r="17" spans="1:35" ht="15">
      <c r="A17" s="2425" t="s">
        <v>2129</v>
      </c>
      <c r="B17" s="64"/>
      <c r="C17" s="140">
        <f>SUM(C5:C16)</f>
        <v>5</v>
      </c>
      <c r="D17" s="140">
        <f>SUM(D5:D16)</f>
        <v>5</v>
      </c>
      <c r="E17" s="137"/>
      <c r="F17" s="137"/>
      <c r="G17" s="137"/>
      <c r="H17" s="137"/>
      <c r="I17" s="137"/>
      <c r="K17" s="2423"/>
      <c r="L17" s="2426" t="s">
        <v>2130</v>
      </c>
      <c r="M17" s="2426" t="s">
        <v>2131</v>
      </c>
    </row>
    <row r="18" spans="1:35" ht="15.75" thickBot="1">
      <c r="A18" s="2427" t="s">
        <v>2132</v>
      </c>
      <c r="B18" s="2428"/>
      <c r="C18" s="141">
        <f>ROUND(C17/SUM(C17:D17),2)</f>
        <v>0.5</v>
      </c>
      <c r="D18" s="141">
        <f>1-C18</f>
        <v>0.5</v>
      </c>
      <c r="E18" s="137"/>
      <c r="F18" s="137"/>
      <c r="G18" s="137"/>
      <c r="H18" s="137"/>
      <c r="I18" s="137"/>
      <c r="K18" s="2423" t="s">
        <v>2133</v>
      </c>
      <c r="L18" s="2423">
        <f>IF(C1="",'数据-汇总表'!E3,SUMIF(项目类型,C1,'数据-汇总表'!E17:E26)+SUMIF(项目类型,C1,'数据-汇总表'!I17:I26))</f>
        <v>5755.45</v>
      </c>
      <c r="M18" s="2423">
        <f>IF(C1="",'数据-汇总表'!E3,SUMIF(项目类型,C1,'数据-汇总表'!E17:E26))</f>
        <v>5755.45</v>
      </c>
    </row>
    <row r="19" spans="1:35" ht="15">
      <c r="A19" s="2429" t="s">
        <v>2134</v>
      </c>
      <c r="B19" s="2430" t="s">
        <v>2135</v>
      </c>
      <c r="C19" s="142">
        <f ca="1">SUMIF(INDIRECT("'"&amp;C4&amp;"'"&amp;"!A:A"),结果表!B19,INDIRECT("'"&amp;C4&amp;"'"&amp;"!B:B"))</f>
        <v>3291</v>
      </c>
      <c r="D19" s="143">
        <f ca="1">SUMIF(INDIRECT("'"&amp;D4&amp;"'"&amp;"!A:A"),结果表!B19,INDIRECT("'"&amp;D4&amp;"'"&amp;"!B:B"))</f>
        <v>3444</v>
      </c>
      <c r="E19" s="2429" t="s">
        <v>2136</v>
      </c>
      <c r="F19" s="2430" t="s">
        <v>2135</v>
      </c>
      <c r="G19" s="144">
        <f ca="1">ROUND(C19*$C$18+D19*$D$18,0)</f>
        <v>3368</v>
      </c>
      <c r="H19" s="2431" t="s">
        <v>2137</v>
      </c>
      <c r="I19" s="137"/>
      <c r="K19" s="2423" t="s">
        <v>2138</v>
      </c>
      <c r="L19" s="2423">
        <f>IF(C1="",'数据-汇总表'!D3,SUMIF(项目类型,C1,'数据-汇总表'!D17:D26)+SUMIF(项目类型,C1,'数据-汇总表'!H17:H27))</f>
        <v>8089.25</v>
      </c>
      <c r="M19" s="2423">
        <f>IF(C1="",'数据-汇总表'!D3,SUMIF(项目类型,C1,'数据-汇总表'!D17:D26))</f>
        <v>8089.25</v>
      </c>
    </row>
    <row r="20" spans="1:35" ht="15">
      <c r="A20" s="2432"/>
      <c r="B20" s="1248" t="s">
        <v>2139</v>
      </c>
      <c r="C20" s="145">
        <f ca="1">SUMIF(INDIRECT("'"&amp;C4&amp;"'"&amp;"!A:A"),结果表!B20,INDIRECT("'"&amp;C4&amp;"'"&amp;"!B:B"))</f>
        <v>5718</v>
      </c>
      <c r="D20" s="146">
        <f ca="1">SUMIF(INDIRECT("'"&amp;D4&amp;"'"&amp;"!A:A"),结果表!B20,INDIRECT("'"&amp;D4&amp;"'"&amp;"!B:B"))</f>
        <v>5984</v>
      </c>
      <c r="E20" s="2432"/>
      <c r="F20" s="1248" t="s">
        <v>2139</v>
      </c>
      <c r="G20" s="147">
        <f ca="1">ROUND(C20*$C$18+D20*$D$18,0)</f>
        <v>5851</v>
      </c>
      <c r="H20" s="982" t="s">
        <v>2140</v>
      </c>
      <c r="I20" s="137"/>
    </row>
    <row r="21" spans="1:35" ht="15" customHeight="1" thickBot="1">
      <c r="A21" s="1002"/>
      <c r="B21" s="2433" t="s">
        <v>2141</v>
      </c>
      <c r="C21" s="788">
        <f ca="1">ROUND(C19*10000/L19,0)</f>
        <v>4068</v>
      </c>
      <c r="D21" s="789">
        <f ca="1">ROUND(D19*10000/L19,0)</f>
        <v>4258</v>
      </c>
      <c r="E21" s="1002"/>
      <c r="F21" s="2433" t="s">
        <v>2141</v>
      </c>
      <c r="G21" s="148">
        <f ca="1">ROUND(G19*10000/L19,0)</f>
        <v>4164</v>
      </c>
      <c r="H21" s="2434" t="s">
        <v>2140</v>
      </c>
      <c r="I21" s="137"/>
    </row>
    <row r="22" spans="1:35" ht="15" thickBot="1">
      <c r="A22" s="2278" t="s">
        <v>2142</v>
      </c>
      <c r="B22" s="2435"/>
      <c r="C22" s="2436"/>
      <c r="D22" s="790">
        <f ca="1">IF(C19&lt;D19,D19/C19-1,C19/D19-1)</f>
        <v>4.6490428441203324E-2</v>
      </c>
      <c r="E22" s="137"/>
      <c r="F22" s="137"/>
      <c r="G22" s="137"/>
      <c r="H22" s="137"/>
      <c r="I22" s="137"/>
    </row>
    <row r="23" spans="1:35" ht="13.5" hidden="1" thickBot="1">
      <c r="A23" s="2413"/>
      <c r="B23" s="2413"/>
      <c r="C23" s="2413"/>
      <c r="D23" s="2413"/>
      <c r="E23" s="137"/>
      <c r="F23" s="137"/>
      <c r="G23" s="137"/>
      <c r="H23" s="137"/>
      <c r="I23" s="137"/>
    </row>
    <row r="24" spans="1:35" ht="14.25" hidden="1">
      <c r="A24" s="3256" t="s">
        <v>2143</v>
      </c>
      <c r="B24" s="2430" t="s">
        <v>2135</v>
      </c>
      <c r="C24" s="144">
        <f>IF(B30=0,0,D30)</f>
        <v>0</v>
      </c>
      <c r="D24" s="2437"/>
      <c r="E24" s="137"/>
      <c r="F24" s="137"/>
      <c r="G24" s="137"/>
      <c r="H24" s="137"/>
      <c r="I24" s="137"/>
    </row>
    <row r="25" spans="1:35" ht="14.25" hidden="1">
      <c r="A25" s="3257"/>
      <c r="B25" s="1248" t="s">
        <v>2139</v>
      </c>
      <c r="C25" s="149">
        <f>IF(B30=0,0,C30)</f>
        <v>0</v>
      </c>
      <c r="D25" s="2438"/>
      <c r="E25" s="137"/>
      <c r="F25" s="137"/>
      <c r="G25" s="137"/>
      <c r="H25" s="137"/>
      <c r="I25" s="137"/>
    </row>
    <row r="26" spans="1:35" ht="13.5" hidden="1" customHeight="1">
      <c r="A26" s="2439" t="s">
        <v>2144</v>
      </c>
      <c r="B26" s="150" t="s">
        <v>2145</v>
      </c>
      <c r="C26" s="150" t="s">
        <v>2146</v>
      </c>
      <c r="D26" s="151" t="s">
        <v>2147</v>
      </c>
      <c r="E26" s="137"/>
      <c r="F26" s="137"/>
      <c r="G26" s="137"/>
      <c r="H26" s="137"/>
      <c r="I26" s="137"/>
    </row>
    <row r="27" spans="1:35" ht="14.25" hidden="1">
      <c r="A27" s="2439"/>
      <c r="B27" s="150">
        <v>0</v>
      </c>
      <c r="C27" s="150">
        <v>0</v>
      </c>
      <c r="D27" s="151">
        <f>ROUND(C27*B27/10000,0)</f>
        <v>0</v>
      </c>
      <c r="E27" s="137"/>
      <c r="F27" s="137"/>
      <c r="G27" s="137"/>
      <c r="H27" s="137"/>
      <c r="I27" s="137"/>
    </row>
    <row r="28" spans="1:35" ht="14.25" hidden="1">
      <c r="A28" s="2439"/>
      <c r="B28" s="150"/>
      <c r="C28" s="150"/>
      <c r="D28" s="151"/>
      <c r="E28" s="137"/>
      <c r="F28" s="137"/>
      <c r="G28" s="137"/>
      <c r="H28" s="137"/>
      <c r="I28" s="137"/>
    </row>
    <row r="29" spans="1:35" ht="14.25" hidden="1">
      <c r="A29" s="2439"/>
      <c r="B29" s="150"/>
      <c r="C29" s="150"/>
      <c r="D29" s="151"/>
      <c r="E29" s="137"/>
      <c r="F29" s="137"/>
      <c r="G29" s="137"/>
      <c r="H29" s="137"/>
      <c r="I29" s="137"/>
    </row>
    <row r="30" spans="1:35" ht="14.25" hidden="1">
      <c r="A30" s="150" t="s">
        <v>2148</v>
      </c>
      <c r="B30" s="150"/>
      <c r="C30" s="150"/>
      <c r="D30" s="150"/>
      <c r="E30" s="2921" t="s">
        <v>3023</v>
      </c>
      <c r="F30" s="137"/>
      <c r="G30" s="137"/>
      <c r="H30" s="137"/>
      <c r="I30" s="137"/>
    </row>
    <row r="31" spans="1:35" s="2441" customFormat="1" ht="15" hidden="1"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2149</v>
      </c>
      <c r="B32" s="2443"/>
      <c r="C32" s="152">
        <f ca="1">IF(D32="总价",G19-C24,G20-C25)</f>
        <v>3368</v>
      </c>
      <c r="D32" s="2444" t="s">
        <v>2150</v>
      </c>
      <c r="E32" s="137"/>
      <c r="F32" s="137"/>
      <c r="G32" s="137"/>
      <c r="H32" s="137"/>
      <c r="I32" s="137"/>
      <c r="J32" s="3076" t="s">
        <v>3320</v>
      </c>
      <c r="K32" s="3076" t="s">
        <v>3319</v>
      </c>
    </row>
    <row r="33" spans="1:15" ht="15">
      <c r="A33" s="959" t="s">
        <v>2151</v>
      </c>
      <c r="B33" s="2445"/>
      <c r="C33" s="2446" t="s">
        <v>3301</v>
      </c>
      <c r="D33" s="2447" t="s">
        <v>3239</v>
      </c>
      <c r="E33" s="2448" t="s">
        <v>2152</v>
      </c>
      <c r="F33" s="2449" t="str">
        <f>IF(D32="楼面单价","取值（单价）","取值（总价）")</f>
        <v>取值（总价）</v>
      </c>
      <c r="G33" s="137"/>
      <c r="H33" s="137"/>
      <c r="I33" s="137"/>
      <c r="J33" s="794">
        <f ca="1">G21*666.67/10000</f>
        <v>277.60138799999999</v>
      </c>
      <c r="K33" s="794">
        <f>Sheet2!I3</f>
        <v>245.27</v>
      </c>
    </row>
    <row r="34" spans="1:15" ht="15">
      <c r="A34" s="2450"/>
      <c r="B34" s="2451" t="s">
        <v>2153</v>
      </c>
      <c r="C34" s="156">
        <f ca="1">IF(C33="自定义",F34,C32-C35)</f>
        <v>2351</v>
      </c>
      <c r="D34" s="1056">
        <f ca="1">IF(C33="自定义",ROUND(C34/C32,3),IF(C33="收益比率",SUMIF(INDIRECT("'"&amp;D33&amp;"'"&amp;"!b:b"),"土地收益比率",INDIRECT("'"&amp;D33&amp;"'"&amp;"!c:c")),SUMIF(INDIRECT("'"&amp;D33&amp;"'"&amp;"!b:b"),"土地成本比率",INDIRECT("'"&amp;D33&amp;"'"&amp;"!c:c"))))</f>
        <v>0.69799999999999995</v>
      </c>
      <c r="E34" s="2452" t="s">
        <v>2154</v>
      </c>
      <c r="F34" s="1737"/>
      <c r="G34" s="137"/>
      <c r="H34" s="137"/>
      <c r="I34" s="137"/>
    </row>
    <row r="35" spans="1:15" ht="15.75" thickBot="1">
      <c r="A35" s="2453"/>
      <c r="B35" s="2454" t="s">
        <v>2155</v>
      </c>
      <c r="C35" s="1442">
        <f ca="1">IF(C33="自定义",F35,ROUND(C32*D35,0))</f>
        <v>1017</v>
      </c>
      <c r="D35" s="1443">
        <f ca="1">IF(C33="自定义",ROUND(C35/C32,3),IF(C33="收益比率",SUMIF(INDIRECT("'"&amp;D33&amp;"'"&amp;"!b:b"),"建筑物收益比率",INDIRECT("'"&amp;D33&amp;"'"&amp;"!c:c")),SUMIF(INDIRECT("'"&amp;D33&amp;"'"&amp;"!b:b"),"建筑物成本比率",INDIRECT("'"&amp;D33&amp;"'"&amp;"!c:c"))))</f>
        <v>0.30199999999999999</v>
      </c>
      <c r="E35" s="2455" t="s">
        <v>2156</v>
      </c>
      <c r="F35" s="162"/>
      <c r="G35" s="137"/>
      <c r="H35" s="137"/>
      <c r="I35" s="137"/>
    </row>
    <row r="36" spans="1:15" ht="15.75" thickBot="1">
      <c r="A36" s="3236" t="s">
        <v>2157</v>
      </c>
      <c r="B36" s="2456" t="s">
        <v>2158</v>
      </c>
      <c r="C36" s="153"/>
      <c r="D36" s="2457" t="s">
        <v>3280</v>
      </c>
      <c r="E36" s="2458"/>
      <c r="F36" s="2459"/>
      <c r="G36" s="137"/>
      <c r="H36" s="137"/>
      <c r="I36" s="137"/>
    </row>
    <row r="37" spans="1:15" ht="15.75" thickBot="1">
      <c r="A37" s="3237"/>
      <c r="B37" s="2264" t="s">
        <v>2159</v>
      </c>
      <c r="C37" s="155">
        <v>0</v>
      </c>
      <c r="D37" s="1393"/>
      <c r="E37" s="1393"/>
      <c r="F37" s="2459"/>
      <c r="G37" s="137"/>
      <c r="H37" s="137"/>
      <c r="I37" s="137"/>
    </row>
    <row r="38" spans="1:15" ht="15.75" thickBot="1">
      <c r="A38" s="3238"/>
      <c r="B38" s="2460" t="s">
        <v>2160</v>
      </c>
      <c r="C38" s="726">
        <f ca="1">E40</f>
        <v>249</v>
      </c>
      <c r="D38" s="2461" t="s">
        <v>2161</v>
      </c>
      <c r="E38" s="1393"/>
      <c r="F38" s="2459"/>
      <c r="G38" s="137"/>
      <c r="H38" s="137"/>
      <c r="I38" s="137"/>
    </row>
    <row r="39" spans="1:15" ht="15">
      <c r="A39" s="2432" t="s">
        <v>2162</v>
      </c>
      <c r="B39" s="2462" t="s">
        <v>2163</v>
      </c>
      <c r="C39" s="2463" t="s">
        <v>2164</v>
      </c>
      <c r="D39" s="2463" t="s">
        <v>2165</v>
      </c>
      <c r="E39" s="2464" t="s">
        <v>2166</v>
      </c>
      <c r="F39" s="2459"/>
      <c r="G39" s="137"/>
      <c r="H39" s="137"/>
      <c r="I39" s="137"/>
    </row>
    <row r="40" spans="1:15" ht="14.25">
      <c r="A40" s="2465" t="s">
        <v>2167</v>
      </c>
      <c r="B40" s="157"/>
      <c r="C40" s="158"/>
      <c r="D40" s="158"/>
      <c r="E40" s="159">
        <f ca="1">基准地价修正!E30</f>
        <v>249</v>
      </c>
      <c r="F40" s="2459"/>
      <c r="G40" s="137"/>
      <c r="H40" s="137"/>
      <c r="I40" s="137"/>
    </row>
    <row r="41" spans="1:15" ht="14.25">
      <c r="A41" s="2465" t="s">
        <v>2168</v>
      </c>
      <c r="B41" s="157"/>
      <c r="C41" s="158"/>
      <c r="D41" s="158"/>
      <c r="E41" s="159"/>
      <c r="F41" s="2459"/>
      <c r="G41" s="137"/>
      <c r="H41" s="137"/>
      <c r="I41" s="137"/>
    </row>
    <row r="42" spans="1:15" ht="15" thickBot="1">
      <c r="A42" s="2466"/>
      <c r="B42" s="160"/>
      <c r="C42" s="161"/>
      <c r="D42" s="161"/>
      <c r="E42" s="162"/>
      <c r="F42" s="2459"/>
      <c r="G42" s="137"/>
      <c r="H42" s="137"/>
      <c r="I42" s="137"/>
    </row>
    <row r="43" spans="1:15" ht="12.75" hidden="1">
      <c r="A43" s="2163"/>
      <c r="B43" s="2163"/>
      <c r="C43" s="2163"/>
      <c r="D43" s="2163"/>
      <c r="E43" s="2163"/>
      <c r="F43" s="2467"/>
      <c r="G43" s="2467"/>
      <c r="H43" s="2467"/>
      <c r="I43" s="2468"/>
    </row>
    <row r="44" spans="1:15" ht="18.75" hidden="1">
      <c r="A44" s="2469" t="s">
        <v>2169</v>
      </c>
      <c r="B44" s="2470"/>
      <c r="C44" s="2470"/>
      <c r="D44" s="2471"/>
      <c r="E44" s="2471"/>
      <c r="F44" s="2472"/>
      <c r="G44" s="2472"/>
      <c r="H44" s="2472"/>
      <c r="I44" s="2472"/>
      <c r="J44" s="2473" t="s">
        <v>2170</v>
      </c>
      <c r="K44" s="2474"/>
      <c r="L44" s="2474"/>
      <c r="M44" s="2474"/>
      <c r="N44" s="2474"/>
      <c r="O44" s="2474"/>
    </row>
    <row r="45" spans="1:15" ht="14.25" hidden="1" customHeight="1" thickBot="1">
      <c r="A45" s="3253" t="s">
        <v>2171</v>
      </c>
      <c r="B45" s="3254"/>
      <c r="C45" s="3255"/>
      <c r="D45" s="163">
        <f ca="1">ROUND(H101*F45,0)</f>
        <v>3368</v>
      </c>
      <c r="E45" s="164" t="s">
        <v>2172</v>
      </c>
      <c r="F45" s="165">
        <v>1</v>
      </c>
      <c r="G45" s="166" t="s">
        <v>2173</v>
      </c>
      <c r="H45" s="137"/>
      <c r="I45" s="137"/>
      <c r="J45" s="3172" t="s">
        <v>2174</v>
      </c>
      <c r="K45" s="3172"/>
      <c r="L45" s="3172"/>
      <c r="M45" s="3172"/>
      <c r="N45" s="3172"/>
      <c r="O45" s="3172"/>
    </row>
    <row r="46" spans="1:15" ht="14.25" hidden="1" customHeight="1">
      <c r="A46" s="3250" t="s">
        <v>2175</v>
      </c>
      <c r="B46" s="3251"/>
      <c r="C46" s="3251"/>
      <c r="D46" s="3251"/>
      <c r="E46" s="3251"/>
      <c r="F46" s="3251"/>
      <c r="G46" s="3252"/>
      <c r="H46" s="2475"/>
      <c r="I46" s="167"/>
      <c r="J46" s="1810">
        <v>1</v>
      </c>
      <c r="K46" s="3172" t="s">
        <v>2176</v>
      </c>
      <c r="L46" s="3172"/>
      <c r="M46" s="3173"/>
      <c r="N46" s="3173"/>
      <c r="O46" s="3173"/>
    </row>
    <row r="47" spans="1:15" ht="12" hidden="1" customHeight="1">
      <c r="A47" s="168" t="s">
        <v>2177</v>
      </c>
      <c r="B47" s="169"/>
      <c r="C47" s="170"/>
      <c r="D47" s="171" t="s">
        <v>2178</v>
      </c>
      <c r="E47" s="24" t="s">
        <v>2179</v>
      </c>
      <c r="F47" s="172" t="s">
        <v>2180</v>
      </c>
      <c r="G47" s="173" t="s">
        <v>2181</v>
      </c>
      <c r="H47" s="2475"/>
      <c r="I47" s="167"/>
      <c r="J47" s="1810">
        <v>2</v>
      </c>
      <c r="K47" s="3172" t="s">
        <v>2182</v>
      </c>
      <c r="L47" s="3172"/>
      <c r="M47" s="3174">
        <f>'数据-取费表'!B2</f>
        <v>43138</v>
      </c>
      <c r="N47" s="3174"/>
      <c r="O47" s="3174"/>
    </row>
    <row r="48" spans="1:15" ht="25.5" hidden="1">
      <c r="A48" s="3240" t="s">
        <v>2183</v>
      </c>
      <c r="B48" s="3241"/>
      <c r="C48" s="3241"/>
      <c r="D48" s="139">
        <f>IF(H48="情况1",0,IF(H48="情况2",D52,IF(H48="情况3",D53,IF(H48="情况4",D54))))</f>
        <v>0</v>
      </c>
      <c r="E48" s="1799" t="str">
        <f>IF(H48="情况4","(销售额-原购置价)×税（费）率","销售额×税（费）率")</f>
        <v>销售额×税（费）率</v>
      </c>
      <c r="F48" s="174" t="str">
        <f>IF(H48="情况1","免征",'数据-取费表'!B41)</f>
        <v>免征</v>
      </c>
      <c r="G48" s="2476" t="s">
        <v>2184</v>
      </c>
      <c r="H48" s="2477" t="s">
        <v>2185</v>
      </c>
      <c r="I48" s="2475"/>
      <c r="J48" s="1810">
        <v>3</v>
      </c>
      <c r="K48" s="3172" t="s">
        <v>2186</v>
      </c>
      <c r="L48" s="3172"/>
      <c r="M48" s="3175">
        <f ca="1">H101</f>
        <v>3368</v>
      </c>
      <c r="N48" s="3175"/>
      <c r="O48" s="3175"/>
    </row>
    <row r="49" spans="1:35" ht="25.5" hidden="1" customHeight="1">
      <c r="A49" s="175" t="s">
        <v>2187</v>
      </c>
      <c r="B49" s="3220" t="s">
        <v>2188</v>
      </c>
      <c r="C49" s="3220"/>
      <c r="D49" s="176">
        <v>0</v>
      </c>
      <c r="E49" s="23" t="s">
        <v>2189</v>
      </c>
      <c r="F49" s="28" t="s">
        <v>34</v>
      </c>
      <c r="G49" s="3201"/>
      <c r="H49" s="137"/>
      <c r="I49" s="2478"/>
      <c r="J49" s="1810">
        <v>4</v>
      </c>
      <c r="K49" s="3172" t="str">
        <f>IF(项目基本情况!E8="房地产抵押价值","房地产抵押价值","抵押担保权已注销时的房地产抵押价值")</f>
        <v>抵押担保权已注销时的房地产抵押价值</v>
      </c>
      <c r="L49" s="3172"/>
      <c r="M49" s="3175">
        <f ca="1">IF(项目基本情况!E8="房地产抵押价值",H107,H109)</f>
        <v>3119</v>
      </c>
      <c r="N49" s="3175"/>
      <c r="O49" s="3175"/>
    </row>
    <row r="50" spans="1:35" ht="25.5" hidden="1" customHeight="1">
      <c r="A50" s="177"/>
      <c r="B50" s="3220" t="s">
        <v>2190</v>
      </c>
      <c r="C50" s="3220"/>
      <c r="D50" s="178"/>
      <c r="E50" s="31"/>
      <c r="F50" s="179"/>
      <c r="G50" s="3202"/>
      <c r="H50" s="137"/>
      <c r="I50" s="2478"/>
      <c r="J50" s="3172" t="s">
        <v>2191</v>
      </c>
      <c r="K50" s="3172"/>
      <c r="L50" s="3172"/>
      <c r="M50" s="3172"/>
      <c r="N50" s="3172"/>
      <c r="O50" s="3172"/>
    </row>
    <row r="51" spans="1:35" ht="12" hidden="1" customHeight="1">
      <c r="A51" s="180"/>
      <c r="B51" s="3220" t="s">
        <v>2192</v>
      </c>
      <c r="C51" s="3220"/>
      <c r="D51" s="181"/>
      <c r="E51" s="30"/>
      <c r="F51" s="179"/>
      <c r="G51" s="3203"/>
      <c r="H51" s="137"/>
      <c r="I51" s="2478"/>
      <c r="J51" s="2479" t="s">
        <v>2193</v>
      </c>
      <c r="K51" s="3172" t="s">
        <v>2194</v>
      </c>
      <c r="L51" s="3172"/>
      <c r="M51" s="2479" t="s">
        <v>2195</v>
      </c>
      <c r="N51" s="2479" t="s">
        <v>2196</v>
      </c>
      <c r="O51" s="2479" t="s">
        <v>2197</v>
      </c>
    </row>
    <row r="52" spans="1:35" ht="24" hidden="1" customHeight="1">
      <c r="A52" s="182" t="s">
        <v>2198</v>
      </c>
      <c r="B52" s="3220" t="s">
        <v>2199</v>
      </c>
      <c r="C52" s="3220"/>
      <c r="D52" s="181">
        <f ca="1">ROUND(D45*'数据-取费表'!B41/(1+'数据-取费表'!C42),0)</f>
        <v>176</v>
      </c>
      <c r="E52" s="11" t="s">
        <v>2200</v>
      </c>
      <c r="F52" s="183">
        <f>'数据-取费表'!B41</f>
        <v>5.5000000000000007E-2</v>
      </c>
      <c r="G52" s="2480"/>
      <c r="H52" s="137"/>
      <c r="I52" s="2478"/>
      <c r="J52" s="1810">
        <v>1</v>
      </c>
      <c r="K52" s="3195" t="s">
        <v>2201</v>
      </c>
      <c r="L52" s="3195"/>
      <c r="M52" s="1752">
        <f>D48</f>
        <v>0</v>
      </c>
      <c r="N52" s="1810" t="str">
        <f>E48</f>
        <v>销售额×税（费）率</v>
      </c>
      <c r="O52" s="1753" t="str">
        <f>F48</f>
        <v>免征</v>
      </c>
    </row>
    <row r="53" spans="1:35" ht="12" hidden="1" customHeight="1">
      <c r="A53" s="182" t="s">
        <v>2202</v>
      </c>
      <c r="B53" s="3221" t="s">
        <v>2203</v>
      </c>
      <c r="C53" s="3222"/>
      <c r="D53" s="181">
        <f ca="1">ROUND(D45*'数据-取费表'!B41/(1+'数据-取费表'!C42),0)</f>
        <v>176</v>
      </c>
      <c r="E53" s="11" t="s">
        <v>2200</v>
      </c>
      <c r="F53" s="183">
        <f>'数据-取费表'!B41</f>
        <v>5.5000000000000007E-2</v>
      </c>
      <c r="G53" s="2480"/>
      <c r="H53" s="137"/>
      <c r="I53" s="2478"/>
      <c r="J53" s="1810">
        <v>2</v>
      </c>
      <c r="K53" s="3195" t="s">
        <v>2204</v>
      </c>
      <c r="L53" s="3195"/>
      <c r="M53" s="1752">
        <f t="shared" ref="M53:O54" ca="1" si="0">D55</f>
        <v>2</v>
      </c>
      <c r="N53" s="1810" t="str">
        <f t="shared" si="0"/>
        <v>销售额×税（费）率</v>
      </c>
      <c r="O53" s="1753">
        <f t="shared" si="0"/>
        <v>5.0000000000000001E-4</v>
      </c>
    </row>
    <row r="54" spans="1:35" ht="12" hidden="1" customHeight="1">
      <c r="A54" s="182" t="s">
        <v>2205</v>
      </c>
      <c r="B54" s="3221" t="s">
        <v>2206</v>
      </c>
      <c r="C54" s="3222"/>
      <c r="D54" s="181">
        <f ca="1">C68</f>
        <v>176</v>
      </c>
      <c r="E54" s="30" t="s">
        <v>2207</v>
      </c>
      <c r="F54" s="183">
        <f>'数据-取费表'!B41</f>
        <v>5.5000000000000007E-2</v>
      </c>
      <c r="G54" s="2480"/>
      <c r="H54" s="2481"/>
      <c r="I54" s="2478"/>
      <c r="J54" s="1810">
        <v>3</v>
      </c>
      <c r="K54" s="3195" t="s">
        <v>2208</v>
      </c>
      <c r="L54" s="3195"/>
      <c r="M54" s="1752">
        <f t="shared" ca="1" si="0"/>
        <v>1910</v>
      </c>
      <c r="N54" s="1810" t="str">
        <f t="shared" si="0"/>
        <v>增值额×税（费）率</v>
      </c>
      <c r="O54" s="1754" t="str">
        <f t="shared" si="0"/>
        <v>——</v>
      </c>
    </row>
    <row r="55" spans="1:35" ht="24" hidden="1" customHeight="1">
      <c r="A55" s="3259" t="s">
        <v>2209</v>
      </c>
      <c r="B55" s="3241"/>
      <c r="C55" s="3241"/>
      <c r="D55" s="184">
        <f ca="1">IF(H55="个人住宅",0,ROUND(D45*I55,0))</f>
        <v>2</v>
      </c>
      <c r="E55" s="11" t="s">
        <v>2210</v>
      </c>
      <c r="F55" s="183">
        <f>IF(H55="正常",I55,"免征")</f>
        <v>5.0000000000000001E-4</v>
      </c>
      <c r="G55" s="2480"/>
      <c r="H55" s="2477" t="s">
        <v>2211</v>
      </c>
      <c r="I55" s="185">
        <f>'数据-取费表'!B49</f>
        <v>5.0000000000000001E-4</v>
      </c>
      <c r="J55" s="1810" t="str">
        <f>IF(H59="非个人房产","",4)</f>
        <v/>
      </c>
      <c r="K55" s="3195" t="str">
        <f>IF(H59="非个人房产","——","个人所得税")</f>
        <v>——</v>
      </c>
      <c r="L55" s="3195"/>
      <c r="M55" s="1755" t="str">
        <f>D59</f>
        <v>——</v>
      </c>
      <c r="N55" s="1808" t="str">
        <f>E59</f>
        <v>——</v>
      </c>
      <c r="O55" s="1756" t="str">
        <f>F59</f>
        <v>——</v>
      </c>
    </row>
    <row r="56" spans="1:35" ht="24.75" hidden="1">
      <c r="A56" s="3259" t="s">
        <v>2212</v>
      </c>
      <c r="B56" s="3241"/>
      <c r="C56" s="3241"/>
      <c r="D56" s="184">
        <f ca="1">IF(H56="个人住宅",D57,D58)</f>
        <v>1910</v>
      </c>
      <c r="E56" s="11" t="s">
        <v>2213</v>
      </c>
      <c r="F56" s="183" t="str">
        <f>IF(H56="正常",F58,"免征")</f>
        <v>——</v>
      </c>
      <c r="G56" s="2482" t="s">
        <v>2214</v>
      </c>
      <c r="H56" s="2483" t="s">
        <v>2211</v>
      </c>
      <c r="I56" s="2484"/>
      <c r="J56" s="1810" t="str">
        <f>IF(项目基本情况!K6="上海银行",IF(J55="",4,J55+1),"")</f>
        <v/>
      </c>
      <c r="K56" s="3178" t="str">
        <f>IF(项目基本情况!K6="上海银行","其他处置费用","")</f>
        <v/>
      </c>
      <c r="L56" s="3179"/>
      <c r="M56" s="1752" t="str">
        <f>IF(项目基本情况!K6="上海银行",M69,"")</f>
        <v/>
      </c>
      <c r="N56" s="3181" t="str">
        <f>IF(项目基本情况!K6="上海银行","包含处置中涉及的律师、诉讼、拍卖、评估等费用","")</f>
        <v/>
      </c>
      <c r="O56" s="3182"/>
    </row>
    <row r="57" spans="1:35" ht="12.75" hidden="1">
      <c r="A57" s="182" t="s">
        <v>2187</v>
      </c>
      <c r="B57" s="3226" t="s">
        <v>2215</v>
      </c>
      <c r="C57" s="3227"/>
      <c r="D57" s="186">
        <v>0</v>
      </c>
      <c r="E57" s="23" t="s">
        <v>2189</v>
      </c>
      <c r="F57" s="154"/>
      <c r="G57" s="2480"/>
      <c r="H57" s="2484"/>
      <c r="I57" s="2484"/>
      <c r="J57" s="3195">
        <f>IF(AND(J55="",J56=""),4,IF(项目基本情况!K6="上海银行",结果表!J56+1,结果表!J55+1))</f>
        <v>4</v>
      </c>
      <c r="K57" s="3195" t="s">
        <v>2216</v>
      </c>
      <c r="L57" s="2485" t="s">
        <v>2217</v>
      </c>
      <c r="M57" s="1757"/>
      <c r="N57" s="1758">
        <f ca="1">SUMIF(M52:M56,"&lt;9e307")</f>
        <v>1912</v>
      </c>
      <c r="O57" s="2486"/>
      <c r="P57" s="1751">
        <f ca="1">N57/M49</f>
        <v>0.61301699262584164</v>
      </c>
    </row>
    <row r="58" spans="1:35" ht="24.75" hidden="1">
      <c r="A58" s="182" t="s">
        <v>2198</v>
      </c>
      <c r="B58" s="3226" t="s">
        <v>2218</v>
      </c>
      <c r="C58" s="3239"/>
      <c r="D58" s="184">
        <f ca="1">IF(H58="转让取得",C81,C97)</f>
        <v>1910</v>
      </c>
      <c r="E58" s="11" t="s">
        <v>2213</v>
      </c>
      <c r="F58" s="24" t="s">
        <v>34</v>
      </c>
      <c r="G58" s="2480"/>
      <c r="H58" s="2483" t="s">
        <v>2219</v>
      </c>
      <c r="I58" s="2484"/>
      <c r="J58" s="3195"/>
      <c r="K58" s="3195"/>
      <c r="L58" s="2485" t="s">
        <v>2220</v>
      </c>
      <c r="M58" s="1759"/>
      <c r="N58" s="2487" t="str">
        <f ca="1">NUMBERSTRING(INT(N57*10000),2)&amp;"元整"</f>
        <v>壹仟玖佰壹拾贰万元整</v>
      </c>
      <c r="O58" s="2488"/>
    </row>
    <row r="59" spans="1:35" ht="24.75" hidden="1" thickBot="1">
      <c r="A59" s="3199" t="s">
        <v>2221</v>
      </c>
      <c r="B59" s="3200"/>
      <c r="C59" s="3200"/>
      <c r="D59" s="187" t="str">
        <f>IF(H59="非个人房产","——",IF(H59="个人住宅",0,ROUND(D45*I59,0)))</f>
        <v>——</v>
      </c>
      <c r="E59" s="188" t="str">
        <f>IF(H59="非个人房产","——","销售额×税（费）率")</f>
        <v>——</v>
      </c>
      <c r="F59" s="189" t="str">
        <f>IF(H59="非个人房产","——",IF(H59="个人住宅","免征",I59))</f>
        <v>——</v>
      </c>
      <c r="G59" s="2489" t="s">
        <v>2214</v>
      </c>
      <c r="H59" s="2483" t="s">
        <v>2222</v>
      </c>
      <c r="I59" s="190">
        <v>0.01</v>
      </c>
      <c r="J59" s="3197">
        <f>J57+1</f>
        <v>5</v>
      </c>
      <c r="K59" s="3195" t="s">
        <v>2223</v>
      </c>
      <c r="L59" s="1810" t="s">
        <v>2217</v>
      </c>
      <c r="M59" s="1760"/>
      <c r="N59" s="1761">
        <f ca="1">M49-N57</f>
        <v>1207</v>
      </c>
      <c r="O59" s="2490"/>
    </row>
    <row r="60" spans="1:35" ht="12" hidden="1" customHeight="1">
      <c r="A60" s="2491"/>
      <c r="B60" s="2413"/>
      <c r="C60" s="2413"/>
      <c r="D60" s="2413"/>
      <c r="E60" s="2164"/>
      <c r="F60" s="2484"/>
      <c r="G60" s="2484"/>
      <c r="H60" s="2492"/>
      <c r="I60" s="137"/>
      <c r="J60" s="3198"/>
      <c r="K60" s="3195"/>
      <c r="L60" s="2485" t="s">
        <v>2220</v>
      </c>
      <c r="M60" s="1759"/>
      <c r="N60" s="2487" t="str">
        <f ca="1">NUMBERSTRING(INT(N59*10000),2)&amp;"元整"</f>
        <v>壹仟贰佰零柒万元整</v>
      </c>
      <c r="O60" s="2488"/>
    </row>
    <row r="61" spans="1:35" ht="13.5" hidden="1" thickBot="1">
      <c r="A61" s="3258" t="s">
        <v>2224</v>
      </c>
      <c r="B61" s="3258"/>
      <c r="C61" s="3258"/>
      <c r="D61" s="3258"/>
      <c r="E61" s="3258"/>
      <c r="F61" s="2484"/>
      <c r="G61" s="2484"/>
      <c r="H61" s="2492"/>
      <c r="I61" s="137"/>
      <c r="J61" s="1810">
        <f>J59+1</f>
        <v>6</v>
      </c>
      <c r="K61" s="3195" t="s">
        <v>2225</v>
      </c>
      <c r="L61" s="3195"/>
      <c r="M61" s="1762"/>
      <c r="N61" s="1763">
        <f ca="1">ROUND(N59*10000/'数据-汇总表'!E3,0)</f>
        <v>2097</v>
      </c>
      <c r="O61" s="2493"/>
    </row>
    <row r="62" spans="1:35" ht="12.75" hidden="1">
      <c r="A62" s="3215" t="s">
        <v>2226</v>
      </c>
      <c r="B62" s="3216"/>
      <c r="C62" s="1802"/>
      <c r="D62" s="1802" t="s">
        <v>2227</v>
      </c>
      <c r="E62" s="191" t="s">
        <v>2228</v>
      </c>
      <c r="F62" s="2484"/>
      <c r="G62" s="2484"/>
      <c r="H62" s="2492"/>
      <c r="I62" s="137"/>
    </row>
    <row r="63" spans="1:35" ht="12.75" hidden="1">
      <c r="A63" s="202" t="s">
        <v>775</v>
      </c>
      <c r="B63" s="192" t="s">
        <v>2229</v>
      </c>
      <c r="C63" s="193">
        <f ca="1">ROUND((C64+C65)/(1+'数据-取费表'!C42),0)</f>
        <v>3208</v>
      </c>
      <c r="D63" s="194"/>
      <c r="E63" s="195"/>
      <c r="F63" s="2484"/>
      <c r="G63" s="2484"/>
      <c r="H63" s="2492"/>
      <c r="I63" s="137"/>
      <c r="J63" s="3180" t="s">
        <v>2230</v>
      </c>
      <c r="K63" s="2494" t="s">
        <v>2231</v>
      </c>
      <c r="L63" s="1750">
        <f ca="1">IF(M49&gt;10000,M49*0.5%,IF(AND(M49&gt;1000,M49&lt;=10000),M49*1%,IF(AND(M49&gt;100,M49&lt;=1000),M49*3%,IF(AND(M49&gt;10,M49&lt;=100),M49*5%,M49*8%))))</f>
        <v>31.19</v>
      </c>
      <c r="M63" s="24">
        <f ca="1">ROUND(L63,1)</f>
        <v>31.2</v>
      </c>
      <c r="Z63" s="2418"/>
      <c r="AI63" s="2419"/>
    </row>
    <row r="64" spans="1:35" ht="14.25" hidden="1" customHeight="1">
      <c r="A64" s="196" t="s">
        <v>770</v>
      </c>
      <c r="B64" s="197" t="s">
        <v>2232</v>
      </c>
      <c r="C64" s="198">
        <f ca="1">D45</f>
        <v>3368</v>
      </c>
      <c r="D64" s="199" t="s">
        <v>32</v>
      </c>
      <c r="E64" s="200"/>
      <c r="F64" s="2484"/>
      <c r="G64" s="2484"/>
      <c r="H64" s="2492"/>
      <c r="I64" s="137"/>
      <c r="J64" s="3180"/>
      <c r="K64" s="2494" t="s">
        <v>2233</v>
      </c>
      <c r="L64" s="1750">
        <f ca="1">IF(M49&gt;2000,M49*0.5%,IF(AND(M49&gt;1000,M49&lt;=2000),M49*0.6%,IF(AND(M49&gt;500,M49&lt;=1000),M49*0.7%,IF(AND(M49&gt;200,M49&lt;=500),M49*0.8%,IF(AND(M49&gt;100,M49&lt;=200),M49*0.9%,IF(AND(M49&gt;50,M49&lt;=100),M49*1%,IF(AND(M49&gt;20,M49&lt;=50),M49*1.5%,IF(AND(M49&gt;10,M49&lt;=20),M49*2%,IF(AND(M49&gt;1,M49&lt;=10),M49*2.5%)))))))))</f>
        <v>15.595000000000001</v>
      </c>
      <c r="M64" s="24">
        <f t="shared" ref="M64:M65" ca="1" si="1">ROUND(L64,1)</f>
        <v>15.6</v>
      </c>
      <c r="N64" s="137" t="s">
        <v>2234</v>
      </c>
      <c r="Z64" s="2418"/>
      <c r="AI64" s="2419"/>
    </row>
    <row r="65" spans="1:35" ht="14.25" hidden="1" customHeight="1">
      <c r="A65" s="196" t="s">
        <v>771</v>
      </c>
      <c r="B65" s="197" t="s">
        <v>2235</v>
      </c>
      <c r="C65" s="201"/>
      <c r="D65" s="199"/>
      <c r="E65" s="200"/>
      <c r="F65" s="2484"/>
      <c r="G65" s="2484"/>
      <c r="H65" s="2492"/>
      <c r="I65" s="137"/>
      <c r="J65" s="3180"/>
      <c r="K65" s="2494" t="s">
        <v>2236</v>
      </c>
      <c r="L65" s="1750">
        <f ca="1">IF(M49&gt;1000,M49*0.1%,IF(AND(M49&gt;500,M49&lt;=1000),M49*0.5%,IF(AND(M49&gt;50,M49&lt;=500),M49*1%,IF(AND(M49&gt;1,M49&lt;=50),M49*1.5%))))</f>
        <v>3.1190000000000002</v>
      </c>
      <c r="M65" s="24">
        <f t="shared" ca="1" si="1"/>
        <v>3.1</v>
      </c>
      <c r="N65" s="137" t="s">
        <v>2234</v>
      </c>
      <c r="Z65" s="2418"/>
      <c r="AI65" s="2419"/>
    </row>
    <row r="66" spans="1:35" ht="14.25" hidden="1" customHeight="1">
      <c r="A66" s="202" t="s">
        <v>772</v>
      </c>
      <c r="B66" s="203" t="s">
        <v>2237</v>
      </c>
      <c r="C66" s="204"/>
      <c r="D66" s="205" t="s">
        <v>32</v>
      </c>
      <c r="E66" s="1774" t="s">
        <v>1371</v>
      </c>
      <c r="F66" s="2484"/>
      <c r="G66" s="2484"/>
      <c r="H66" s="2492"/>
      <c r="I66" s="137"/>
      <c r="J66" s="3180"/>
      <c r="K66" s="2494" t="s">
        <v>2238</v>
      </c>
      <c r="L66" s="1750">
        <f ca="1">M49*0.5%</f>
        <v>15.595000000000001</v>
      </c>
      <c r="M66" s="24">
        <f ca="1">IF(L66&gt;0.5,0.5,ROUND(L66,0))</f>
        <v>0.5</v>
      </c>
      <c r="N66" s="137" t="s">
        <v>2239</v>
      </c>
      <c r="Z66" s="2418"/>
      <c r="AI66" s="2419"/>
    </row>
    <row r="67" spans="1:35" ht="14.25" hidden="1" customHeight="1">
      <c r="A67" s="202" t="s">
        <v>773</v>
      </c>
      <c r="B67" s="203" t="s">
        <v>2240</v>
      </c>
      <c r="C67" s="206">
        <f ca="1">C63-C66</f>
        <v>3208</v>
      </c>
      <c r="D67" s="199" t="s">
        <v>32</v>
      </c>
      <c r="E67" s="200"/>
      <c r="F67" s="2484"/>
      <c r="G67" s="2484"/>
      <c r="H67" s="2492"/>
      <c r="I67" s="137"/>
      <c r="J67" s="3180"/>
      <c r="K67" s="2494" t="s">
        <v>2241</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hidden="1" customHeight="1" thickBot="1">
      <c r="A68" s="207" t="s">
        <v>774</v>
      </c>
      <c r="B68" s="208" t="s">
        <v>2242</v>
      </c>
      <c r="C68" s="209">
        <f ca="1">IF(C67&lt;=0,0,ROUND(C67*D68,0))</f>
        <v>176</v>
      </c>
      <c r="D68" s="210">
        <f>'数据-取费表'!B41</f>
        <v>5.5000000000000007E-2</v>
      </c>
      <c r="E68" s="211"/>
      <c r="F68" s="2484"/>
      <c r="G68" s="2484"/>
      <c r="H68" s="2492"/>
      <c r="I68" s="137"/>
      <c r="J68" s="3180"/>
      <c r="K68" s="2494" t="s">
        <v>2243</v>
      </c>
      <c r="L68" s="1750">
        <f ca="1">IF(M49&gt;10000,M49*0.5%,IF(AND(M49&gt;5000,M49&lt;=10000),M49*1%,IF(AND(M49&gt;1000,M49&lt;=5000),M49*2%,IF(AND(M49&gt;200,M49&lt;=1000),M49*3%,M49*5%))))</f>
        <v>62.38</v>
      </c>
      <c r="M68" s="24">
        <f ca="1">ROUND(L68,1)</f>
        <v>62.4</v>
      </c>
      <c r="Z68" s="2418"/>
      <c r="AI68" s="2419"/>
    </row>
    <row r="69" spans="1:35" s="2441" customFormat="1" ht="16.5" hidden="1" customHeight="1">
      <c r="A69" s="2495"/>
      <c r="B69" s="2496"/>
      <c r="C69" s="2497"/>
      <c r="D69" s="2498"/>
      <c r="E69" s="2499"/>
      <c r="F69" s="2164"/>
      <c r="G69" s="2164"/>
      <c r="H69" s="2163"/>
      <c r="I69" s="2413"/>
      <c r="J69" s="3180"/>
      <c r="K69" s="2494" t="s">
        <v>2244</v>
      </c>
      <c r="L69" s="2500"/>
      <c r="M69" s="24">
        <f ca="1">ROUND(SUM(M63:M68),0)</f>
        <v>115</v>
      </c>
      <c r="N69" s="1751">
        <f ca="1">M69/M49</f>
        <v>3.6870791920487339E-2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hidden="1" thickBot="1">
      <c r="A70" s="3224" t="s">
        <v>2245</v>
      </c>
      <c r="B70" s="3225"/>
      <c r="C70" s="3225"/>
      <c r="D70" s="3225"/>
      <c r="E70" s="3225"/>
      <c r="F70" s="3225"/>
      <c r="G70" s="3225"/>
      <c r="H70" s="322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15" t="s">
        <v>2226</v>
      </c>
      <c r="B71" s="3216"/>
      <c r="C71" s="1802"/>
      <c r="D71" s="1802" t="s">
        <v>2227</v>
      </c>
      <c r="E71" s="212" t="s">
        <v>2228</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2246</v>
      </c>
      <c r="C72" s="206">
        <f ca="1">ROUND(D45/(1+'数据-取费表'!C42),0)</f>
        <v>3208</v>
      </c>
      <c r="D72" s="199" t="s">
        <v>32</v>
      </c>
      <c r="E72" s="1801"/>
      <c r="F72" s="1795"/>
      <c r="G72" s="1795"/>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2247</v>
      </c>
      <c r="C73" s="206">
        <f ca="1">C74+C78</f>
        <v>16</v>
      </c>
      <c r="D73" s="199" t="s">
        <v>32</v>
      </c>
      <c r="E73" s="1801"/>
      <c r="F73" s="1795"/>
      <c r="G73" s="1795"/>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2248</v>
      </c>
      <c r="C74" s="199">
        <f>ROUND(IF(G77="2016年5月1日后购买",C75/(1+'数据-取费表'!C42)+C76+C77,C75+C76+C77),0)</f>
        <v>0</v>
      </c>
      <c r="D74" s="199" t="s">
        <v>32</v>
      </c>
      <c r="E74" s="1801"/>
      <c r="F74" s="1795"/>
      <c r="G74" s="1795"/>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2249</v>
      </c>
      <c r="C75" s="217"/>
      <c r="D75" s="199" t="s">
        <v>32</v>
      </c>
      <c r="E75" s="218" t="s">
        <v>2250</v>
      </c>
      <c r="F75" s="2506" t="s">
        <v>2251</v>
      </c>
      <c r="G75" s="218" t="s">
        <v>2252</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2253</v>
      </c>
      <c r="C76" s="199">
        <f>IF(F75="购房发票",ROUND(C75*H75*D76,0),0)</f>
        <v>0</v>
      </c>
      <c r="D76" s="221">
        <v>0.05</v>
      </c>
      <c r="E76" s="3221" t="s">
        <v>2254</v>
      </c>
      <c r="F76" s="3220"/>
      <c r="G76" s="3220"/>
      <c r="H76" s="322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08" t="s">
        <v>2257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2258</v>
      </c>
      <c r="C78" s="224">
        <f ca="1">ROUND(D45*D78/(1+'数据-取费表'!C42),0)</f>
        <v>16</v>
      </c>
      <c r="D78" s="225">
        <f>'数据-取费表'!B43</f>
        <v>5.000000000000001E-3</v>
      </c>
      <c r="E78" s="3212" t="s">
        <v>2259</v>
      </c>
      <c r="F78" s="3213"/>
      <c r="G78" s="3213"/>
      <c r="H78" s="321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2260</v>
      </c>
      <c r="C79" s="206">
        <f ca="1">C72-C73</f>
        <v>3192</v>
      </c>
      <c r="D79" s="199" t="s">
        <v>32</v>
      </c>
      <c r="E79" s="1801"/>
      <c r="F79" s="1795"/>
      <c r="G79" s="1795"/>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2261</v>
      </c>
      <c r="C80" s="226">
        <f ca="1">IF(C79&lt;=0,0,C79/C73)</f>
        <v>199.5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2262</v>
      </c>
      <c r="C81" s="227">
        <f ca="1">ROUND(IF(C79&lt;=0,0,IF(C80&gt;=200%,C79*60%-C73*35%,IF(C80&gt;=100%,C79*50%-C73*15%,IF(C80&gt;=50%,C79*40%-C73*5%,IF(C80&lt;50%,C79*30%,0))))),0)</f>
        <v>1910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224" t="s">
        <v>2263</v>
      </c>
      <c r="B83" s="3225"/>
      <c r="C83" s="3225"/>
      <c r="D83" s="3225"/>
      <c r="E83" s="3225"/>
      <c r="F83" s="3225"/>
      <c r="G83" s="3225"/>
      <c r="H83" s="322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215" t="s">
        <v>2226</v>
      </c>
      <c r="B84" s="3216"/>
      <c r="C84" s="1802"/>
      <c r="D84" s="1802" t="s">
        <v>2227</v>
      </c>
      <c r="E84" s="212" t="s">
        <v>2228</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2246</v>
      </c>
      <c r="C85" s="206">
        <f ca="1">ROUND(D45/(1+'数据-取费表'!C42),0)</f>
        <v>3208</v>
      </c>
      <c r="D85" s="199" t="s">
        <v>32</v>
      </c>
      <c r="E85" s="1801"/>
      <c r="F85" s="1795"/>
      <c r="G85" s="1795"/>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2247</v>
      </c>
      <c r="C86" s="206">
        <f ca="1">IF(H88="仅含出让金",C87+C90+C91+C92+C93+C94,C87+C91+C92+C93+C94)</f>
        <v>16</v>
      </c>
      <c r="D86" s="234"/>
      <c r="E86" s="1801"/>
      <c r="F86" s="1795"/>
      <c r="G86" s="1795"/>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2264</v>
      </c>
      <c r="C87" s="224">
        <f>C88+C89</f>
        <v>0</v>
      </c>
      <c r="D87" s="225"/>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2265</v>
      </c>
      <c r="C88" s="235"/>
      <c r="D88" s="225"/>
      <c r="E88" s="236" t="s">
        <v>2266</v>
      </c>
      <c r="F88" s="1798"/>
      <c r="G88" s="237" t="s">
        <v>2267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2255</v>
      </c>
      <c r="C89" s="224">
        <f>ROUND(C88*D89,0)</f>
        <v>0</v>
      </c>
      <c r="D89" s="225">
        <f>'数据-取费表'!B48+'数据-取费表'!B49</f>
        <v>3.0499999999999999E-2</v>
      </c>
      <c r="E89" s="236" t="s">
        <v>2268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2269</v>
      </c>
      <c r="C90" s="235"/>
      <c r="D90" s="225"/>
      <c r="E90" s="236"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2270</v>
      </c>
      <c r="B91" s="197" t="s">
        <v>2271</v>
      </c>
      <c r="C91" s="224">
        <f>IF(H91="——",成本法!C33,I91)</f>
        <v>0</v>
      </c>
      <c r="D91" s="225"/>
      <c r="E91" s="3212" t="s">
        <v>2272</v>
      </c>
      <c r="F91" s="3213"/>
      <c r="G91" s="3213"/>
      <c r="H91" s="2513" t="s">
        <v>2273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2274</v>
      </c>
      <c r="B92" s="197" t="s">
        <v>2275</v>
      </c>
      <c r="C92" s="224">
        <f>ROUND((C87+C90+C91)*D92,0)</f>
        <v>0</v>
      </c>
      <c r="D92" s="225">
        <v>0.1</v>
      </c>
      <c r="E92" s="3212" t="s">
        <v>2276</v>
      </c>
      <c r="F92" s="3213"/>
      <c r="G92" s="3213"/>
      <c r="H92" s="321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2277</v>
      </c>
      <c r="B93" s="197" t="s">
        <v>2258</v>
      </c>
      <c r="C93" s="224">
        <f ca="1">ROUND(D45*D93/(1+'数据-取费表'!C42),0)</f>
        <v>16</v>
      </c>
      <c r="D93" s="225">
        <f>'数据-取费表'!B43</f>
        <v>5.000000000000001E-3</v>
      </c>
      <c r="E93" s="3212" t="s">
        <v>2259</v>
      </c>
      <c r="F93" s="3213"/>
      <c r="G93" s="3213"/>
      <c r="H93" s="321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2278</v>
      </c>
      <c r="B94" s="197" t="s">
        <v>2279</v>
      </c>
      <c r="C94" s="235">
        <f>ROUND((C87+C90+C91)*D94,0)</f>
        <v>0</v>
      </c>
      <c r="D94" s="225">
        <v>0.2</v>
      </c>
      <c r="E94" s="3260" t="s">
        <v>2280</v>
      </c>
      <c r="F94" s="3261"/>
      <c r="G94" s="3261"/>
      <c r="H94" s="326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3" t="s">
        <v>2260</v>
      </c>
      <c r="C95" s="206">
        <f ca="1">ROUND(C85-C86,0)</f>
        <v>3192</v>
      </c>
      <c r="D95" s="199" t="s">
        <v>32</v>
      </c>
      <c r="E95" s="1801"/>
      <c r="F95" s="1795"/>
      <c r="G95" s="1795"/>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2261</v>
      </c>
      <c r="C96" s="226">
        <f ca="1">IF(C95&lt;=0,0,C95/C86)</f>
        <v>199.5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2262</v>
      </c>
      <c r="C97" s="227">
        <f ca="1">ROUND(IF(C95&lt;=0,0,IF(C96&gt;=200%,C95*60%-C86*35%,IF(C96&gt;=100%,C95*50%-C86*15%,IF(C96&gt;=50%,C95*40%-C86*5%,IF(C96&lt;50%,C95*30%,0))))),0)</f>
        <v>1910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4"/>
      <c r="F98" s="2164"/>
      <c r="G98" s="2164"/>
      <c r="H98" s="2163"/>
      <c r="I98" s="137"/>
    </row>
    <row r="99" spans="1:35" ht="21.75" customHeight="1" thickBot="1">
      <c r="A99" s="2469" t="s">
        <v>2281</v>
      </c>
      <c r="B99" s="2413"/>
      <c r="C99" s="2413"/>
      <c r="D99" s="2413"/>
      <c r="E99" s="2164"/>
      <c r="F99" s="2164"/>
      <c r="G99" s="2164"/>
      <c r="H99" s="2163"/>
      <c r="I99" s="137"/>
    </row>
    <row r="100" spans="1:35" ht="18.75" customHeight="1">
      <c r="A100" s="3164" t="s">
        <v>2282</v>
      </c>
      <c r="B100" s="3165"/>
      <c r="C100" s="3165"/>
      <c r="D100" s="3196"/>
      <c r="E100" s="3165" t="s">
        <v>2283</v>
      </c>
      <c r="F100" s="3165"/>
      <c r="G100" s="3165"/>
      <c r="H100" s="3196"/>
      <c r="I100" s="137"/>
    </row>
    <row r="101" spans="1:35" ht="18.75" customHeight="1">
      <c r="A101" s="3204" t="s">
        <v>2284</v>
      </c>
      <c r="B101" s="3205"/>
      <c r="C101" s="735" t="str">
        <f>C4</f>
        <v>成本法</v>
      </c>
      <c r="D101" s="736" t="str">
        <f>D4</f>
        <v>收益法</v>
      </c>
      <c r="E101" s="3176" t="s">
        <v>2285</v>
      </c>
      <c r="F101" s="3177"/>
      <c r="G101" s="2515" t="s">
        <v>2286</v>
      </c>
      <c r="H101" s="1046">
        <f ca="1">H118</f>
        <v>3368</v>
      </c>
      <c r="I101" s="137"/>
    </row>
    <row r="102" spans="1:35" ht="18.75" customHeight="1">
      <c r="A102" s="3206" t="s">
        <v>2287</v>
      </c>
      <c r="B102" s="2515" t="s">
        <v>2286</v>
      </c>
      <c r="C102" s="735">
        <f ca="1">C19</f>
        <v>3291</v>
      </c>
      <c r="D102" s="736">
        <f ca="1">D19</f>
        <v>3444</v>
      </c>
      <c r="E102" s="3176"/>
      <c r="F102" s="3177"/>
      <c r="G102" s="2515" t="s">
        <v>2288</v>
      </c>
      <c r="H102" s="370">
        <f ca="1">I118</f>
        <v>5852</v>
      </c>
      <c r="I102" s="137"/>
    </row>
    <row r="103" spans="1:35" ht="42.75" customHeight="1">
      <c r="A103" s="3206"/>
      <c r="B103" s="2515" t="s">
        <v>2288</v>
      </c>
      <c r="C103" s="737">
        <f ca="1">C20</f>
        <v>5718</v>
      </c>
      <c r="D103" s="738">
        <f ca="1">D20</f>
        <v>5984</v>
      </c>
      <c r="E103" s="3170" t="s">
        <v>3279</v>
      </c>
      <c r="F103" s="3171"/>
      <c r="G103" s="2516" t="s">
        <v>2289</v>
      </c>
      <c r="H103" s="1046">
        <f ca="1">IF(D36="正常操作",H104+H105+H106,H105+H106)</f>
        <v>249</v>
      </c>
      <c r="I103" s="137"/>
    </row>
    <row r="104" spans="1:35" ht="18.75" customHeight="1">
      <c r="A104" s="3206" t="s">
        <v>2290</v>
      </c>
      <c r="B104" s="2517" t="s">
        <v>2286</v>
      </c>
      <c r="C104" s="739">
        <f ca="1">H118</f>
        <v>3368</v>
      </c>
      <c r="D104" s="740"/>
      <c r="E104" s="2264" t="s">
        <v>2291</v>
      </c>
      <c r="F104" s="2255"/>
      <c r="G104" s="2516" t="s">
        <v>2289</v>
      </c>
      <c r="H104" s="1047">
        <f>IF(D36="同一抵押权人同一抵押物续贷",C36&amp;"（未扣减，详见特别提示）",C36)</f>
        <v>0</v>
      </c>
      <c r="I104" s="137"/>
    </row>
    <row r="105" spans="1:35" ht="18.75" customHeight="1" thickBot="1">
      <c r="A105" s="3218"/>
      <c r="B105" s="2518" t="s">
        <v>2288</v>
      </c>
      <c r="C105" s="741">
        <f ca="1">I118</f>
        <v>5852</v>
      </c>
      <c r="D105" s="742"/>
      <c r="E105" s="2264" t="s">
        <v>2292</v>
      </c>
      <c r="F105" s="2255"/>
      <c r="G105" s="2516" t="s">
        <v>2289</v>
      </c>
      <c r="H105" s="1047">
        <f>C37</f>
        <v>0</v>
      </c>
      <c r="I105" s="137"/>
    </row>
    <row r="106" spans="1:35" ht="18.75" customHeight="1">
      <c r="A106" s="2413" t="s">
        <v>2293</v>
      </c>
      <c r="B106" s="2413"/>
      <c r="C106" s="2413"/>
      <c r="D106" s="2413"/>
      <c r="E106" s="2519" t="s">
        <v>2294</v>
      </c>
      <c r="F106" s="2255"/>
      <c r="G106" s="2516" t="s">
        <v>2289</v>
      </c>
      <c r="H106" s="1047">
        <f ca="1">C38</f>
        <v>249</v>
      </c>
      <c r="I106" s="137"/>
    </row>
    <row r="107" spans="1:35" ht="18.75" hidden="1" customHeight="1">
      <c r="A107" s="137"/>
      <c r="B107" s="137"/>
      <c r="C107" s="137"/>
      <c r="D107" s="137"/>
      <c r="E107" s="3207" t="str">
        <f>IF(项目基本情况!E8="已注销","——","3.房地产抵押价值")</f>
        <v>——</v>
      </c>
      <c r="F107" s="3177"/>
      <c r="G107" s="2515" t="s">
        <v>2286</v>
      </c>
      <c r="H107" s="1046" t="str">
        <f>IF(E107="——","——",H101-H103)</f>
        <v>——</v>
      </c>
      <c r="I107" s="137"/>
    </row>
    <row r="108" spans="1:35" ht="18.75" hidden="1" customHeight="1">
      <c r="A108" s="137"/>
      <c r="B108" s="137"/>
      <c r="C108" s="137"/>
      <c r="D108" s="137"/>
      <c r="E108" s="3207"/>
      <c r="F108" s="3177"/>
      <c r="G108" s="2515" t="s">
        <v>2288</v>
      </c>
      <c r="H108" s="370" t="e">
        <f>ROUND(H107*10000/'数据-汇总表'!E3,0)</f>
        <v>#VALUE!</v>
      </c>
      <c r="I108" s="137"/>
    </row>
    <row r="109" spans="1:35" ht="18.75" customHeight="1">
      <c r="A109" s="137"/>
      <c r="B109" s="137"/>
      <c r="C109" s="137"/>
      <c r="D109" s="137"/>
      <c r="E109" s="3207" t="str">
        <f>IF(项目基本情况!E8="已注销及未注销","4.抵押担保权已注销时的房地产抵押价值",IF(项目基本情况!E8="已注销","3.抵押担保权已注销时的房地产抵押价值","——"))</f>
        <v>3.抵押担保权已注销时的房地产抵押价值</v>
      </c>
      <c r="F109" s="3177"/>
      <c r="G109" s="2515" t="s">
        <v>2286</v>
      </c>
      <c r="H109" s="347">
        <f ca="1">IF(E109="——","——",H101-H105-H106)</f>
        <v>3119</v>
      </c>
      <c r="I109" s="137"/>
    </row>
    <row r="110" spans="1:35" ht="18.75" customHeight="1" thickBot="1">
      <c r="A110" s="137"/>
      <c r="B110" s="137"/>
      <c r="C110" s="137"/>
      <c r="D110" s="137"/>
      <c r="E110" s="3207"/>
      <c r="F110" s="3177"/>
      <c r="G110" s="2515" t="s">
        <v>2288</v>
      </c>
      <c r="H110" s="370">
        <f ca="1">IF(H109="——","——",ROUND(H109*10000/'数据-汇总表'!E3,0))</f>
        <v>5419</v>
      </c>
      <c r="I110" s="137"/>
    </row>
    <row r="111" spans="1:35" ht="18.75" hidden="1" customHeight="1">
      <c r="A111" s="137"/>
      <c r="B111" s="137"/>
      <c r="C111" s="137"/>
      <c r="D111" s="137"/>
      <c r="E111" s="3208" t="str">
        <f>IF(项目基本情况!E9="抵押净值",IF(OR(项目基本情况!E8="已注销",项目基本情况!E8="房地产抵押价值"),"4.抵押净值","5.抵押净值"),"——")</f>
        <v>——</v>
      </c>
      <c r="F111" s="3209"/>
      <c r="G111" s="2515" t="s">
        <v>2286</v>
      </c>
      <c r="H111" s="1046" t="str">
        <f>IF(E111="——","——",N59)</f>
        <v>——</v>
      </c>
      <c r="I111" s="137"/>
    </row>
    <row r="112" spans="1:35" ht="18.75" hidden="1" customHeight="1" thickBot="1">
      <c r="A112" s="137"/>
      <c r="B112" s="137"/>
      <c r="C112" s="137"/>
      <c r="D112" s="137"/>
      <c r="E112" s="3210"/>
      <c r="F112" s="3211"/>
      <c r="G112" s="2520" t="s">
        <v>2288</v>
      </c>
      <c r="H112" s="789" t="str">
        <f>IF(E111="——","——",N61)</f>
        <v>——</v>
      </c>
      <c r="I112" s="137"/>
    </row>
    <row r="113" spans="1:11" ht="18.75" customHeight="1">
      <c r="A113" s="137"/>
      <c r="B113" s="137"/>
      <c r="C113" s="137"/>
      <c r="D113" s="137"/>
      <c r="E113" s="3219" t="s">
        <v>2293</v>
      </c>
      <c r="F113" s="3219"/>
      <c r="G113" s="3219"/>
      <c r="H113" s="3219"/>
      <c r="I113" s="137"/>
    </row>
    <row r="114" spans="1:11" ht="3.75" customHeight="1">
      <c r="A114" s="2413"/>
      <c r="B114" s="2413"/>
      <c r="C114" s="2413"/>
      <c r="D114" s="2413"/>
      <c r="E114" s="2491"/>
      <c r="F114" s="2491"/>
      <c r="G114" s="2491"/>
      <c r="H114" s="2491"/>
      <c r="I114" s="2413"/>
    </row>
    <row r="115" spans="1:11" ht="18.75" customHeight="1">
      <c r="A115" s="3232" t="s">
        <v>2295</v>
      </c>
      <c r="B115" s="3233"/>
      <c r="C115" s="3233"/>
      <c r="D115" s="3233"/>
      <c r="E115" s="3233"/>
      <c r="F115" s="3233"/>
      <c r="G115" s="3233"/>
      <c r="H115" s="3233"/>
      <c r="I115" s="3234"/>
    </row>
    <row r="116" spans="1:11" ht="27" customHeight="1">
      <c r="A116" s="3143" t="s">
        <v>2296</v>
      </c>
      <c r="B116" s="3186" t="s">
        <v>3281</v>
      </c>
      <c r="C116" s="3186" t="s">
        <v>3282</v>
      </c>
      <c r="D116" s="3192" t="s">
        <v>2297</v>
      </c>
      <c r="E116" s="3193"/>
      <c r="F116" s="3228" t="s">
        <v>3283</v>
      </c>
      <c r="G116" s="3228"/>
      <c r="H116" s="3143" t="s">
        <v>2298</v>
      </c>
      <c r="I116" s="3143"/>
    </row>
    <row r="117" spans="1:11" ht="18.75" customHeight="1">
      <c r="A117" s="3143"/>
      <c r="B117" s="3187"/>
      <c r="C117" s="3187"/>
      <c r="D117" s="1796" t="s">
        <v>2299</v>
      </c>
      <c r="E117" s="1796" t="s">
        <v>2300</v>
      </c>
      <c r="F117" s="1796" t="s">
        <v>2299</v>
      </c>
      <c r="G117" s="1796" t="s">
        <v>2301</v>
      </c>
      <c r="H117" s="1796" t="s">
        <v>2299</v>
      </c>
      <c r="I117" s="1796" t="s">
        <v>2301</v>
      </c>
    </row>
    <row r="118" spans="1:11" ht="24.75" customHeight="1">
      <c r="A118" s="2521" t="str">
        <f>项目基本情况!S2</f>
        <v>北京市顺义区京密路马坡段西侧房地产</v>
      </c>
      <c r="B118" s="1796">
        <f>M18</f>
        <v>5755.45</v>
      </c>
      <c r="C118" s="1796">
        <f>M19</f>
        <v>8089.25</v>
      </c>
      <c r="D118" s="1796">
        <f ca="1">ROUND(IF(D32="总价",C34,E118*B118/10000),0)</f>
        <v>2351</v>
      </c>
      <c r="E118" s="1796">
        <f ca="1">ROUND(IF(C33="自定义",IF(D32="楼面单价",C34,D118*10000/B118),I118-G118),0)</f>
        <v>4085</v>
      </c>
      <c r="F118" s="1796">
        <f ca="1">ROUND(IF(D32="总价",C35,G118*B118/10000),0)</f>
        <v>1017</v>
      </c>
      <c r="G118" s="1796">
        <f ca="1">ROUND(IF(D32="楼面单价",C35,F118*10000/B118),0)</f>
        <v>1767</v>
      </c>
      <c r="H118" s="1796">
        <f ca="1">ROUND(IF(D32="总价",C32,I118*B118/10000),0)</f>
        <v>3368</v>
      </c>
      <c r="I118" s="1796">
        <f ca="1">ROUND(IF(D32="楼面单价",C32,H118*10000/B118),0)</f>
        <v>5852</v>
      </c>
      <c r="J118" s="794">
        <f ca="1">D118/C118*666.67</f>
        <v>193.75605525852211</v>
      </c>
    </row>
    <row r="119" spans="1:11" ht="18.75" customHeight="1">
      <c r="A119" s="3143" t="s">
        <v>2302</v>
      </c>
      <c r="B119" s="3143"/>
      <c r="C119" s="3143"/>
      <c r="D119" s="3188" t="str">
        <f ca="1">NUMBERSTRING(INT(D118*10000),2)&amp;"元整"</f>
        <v>贰仟叁佰伍拾壹万元整</v>
      </c>
      <c r="E119" s="3189"/>
      <c r="F119" s="3188" t="str">
        <f ca="1">NUMBERSTRING(INT(F118*10000),2)&amp;"元整"</f>
        <v>壹仟零壹拾柒万元整</v>
      </c>
      <c r="G119" s="3189"/>
      <c r="H119" s="3188" t="str">
        <f ca="1">NUMBERSTRING(INT(H118*10000),2)&amp;"元整"</f>
        <v>叁仟叁佰陆拾捌万元整</v>
      </c>
      <c r="I119" s="3189"/>
    </row>
    <row r="120" spans="1:11" ht="30" customHeight="1">
      <c r="A120" s="3183" t="str">
        <f>IF(项目基本情况!B9="房地产市场价值","",MID(E103,3,LEN(E103)-2))</f>
        <v>估价师知悉的除抵押担保权以外的法定优先受偿款</v>
      </c>
      <c r="B120" s="3184"/>
      <c r="C120" s="3185"/>
      <c r="D120" s="3183">
        <f ca="1">H103</f>
        <v>249</v>
      </c>
      <c r="E120" s="3184"/>
      <c r="F120" s="3184"/>
      <c r="G120" s="3184"/>
      <c r="H120" s="3184"/>
      <c r="I120" s="3185"/>
      <c r="K120" s="2418" t="str">
        <f ca="1">IF(D120=0,"故，本次评估不存在"&amp;A120,"故，本次评估"&amp;A120&amp;"为人民币"&amp;D120&amp;"万元整。")</f>
        <v>故，本次评估估价师知悉的除抵押担保权以外的法定优先受偿款为人民币249万元整。</v>
      </c>
    </row>
    <row r="121" spans="1:11" ht="18.75" customHeight="1">
      <c r="A121" s="3229" t="s">
        <v>2302</v>
      </c>
      <c r="B121" s="3230"/>
      <c r="C121" s="3231"/>
      <c r="D121" s="3188" t="str">
        <f ca="1">IF(D120=0,"零元整",NUMBERSTRING(INT(D120*10000),2)&amp;"元整")</f>
        <v>贰佰肆拾玖万元整</v>
      </c>
      <c r="E121" s="3190"/>
      <c r="F121" s="3190"/>
      <c r="G121" s="3190"/>
      <c r="H121" s="3190"/>
      <c r="I121" s="3189"/>
    </row>
    <row r="122" spans="1:11" ht="18.75" hidden="1" customHeight="1">
      <c r="A122" s="3194" t="str">
        <f>IF(项目基本情况!B9="房地产市场价值","",MID(E107,3,LEN(E107)-2))</f>
        <v/>
      </c>
      <c r="B122" s="3194"/>
      <c r="C122" s="3194"/>
      <c r="D122" s="3183" t="str">
        <f>H107</f>
        <v>——</v>
      </c>
      <c r="E122" s="3184"/>
      <c r="F122" s="3184"/>
      <c r="G122" s="3184"/>
      <c r="H122" s="3184"/>
      <c r="I122" s="3185"/>
    </row>
    <row r="123" spans="1:11" ht="18.75" hidden="1" customHeight="1">
      <c r="A123" s="3143" t="s">
        <v>2302</v>
      </c>
      <c r="B123" s="3143"/>
      <c r="C123" s="3143"/>
      <c r="D123" s="3188" t="e">
        <f>NUMBERSTRING(INT(D122*10000),2)&amp;"元整"</f>
        <v>#VALUE!</v>
      </c>
      <c r="E123" s="3190"/>
      <c r="F123" s="3190"/>
      <c r="G123" s="3190"/>
      <c r="H123" s="3190"/>
      <c r="I123" s="3189"/>
    </row>
    <row r="124" spans="1:11" ht="18.75" customHeight="1">
      <c r="A124" s="3194" t="str">
        <f>IF(项目基本情况!B9="房地产市场价值","",MID(E109,3,LEN(E109)-2))</f>
        <v>抵押担保权已注销时的房地产抵押价值</v>
      </c>
      <c r="B124" s="3194"/>
      <c r="C124" s="3194"/>
      <c r="D124" s="3183">
        <f ca="1">H109</f>
        <v>3119</v>
      </c>
      <c r="E124" s="3184"/>
      <c r="F124" s="3184"/>
      <c r="G124" s="3184"/>
      <c r="H124" s="3184"/>
      <c r="I124" s="3185"/>
    </row>
    <row r="125" spans="1:11" ht="18.75" customHeight="1">
      <c r="A125" s="3143" t="s">
        <v>2302</v>
      </c>
      <c r="B125" s="3143"/>
      <c r="C125" s="3143"/>
      <c r="D125" s="3188" t="str">
        <f ca="1">NUMBERSTRING(INT(D124*10000),2)&amp;"元整"</f>
        <v>叁仟壹佰壹拾玖万元整</v>
      </c>
      <c r="E125" s="3190"/>
      <c r="F125" s="3190"/>
      <c r="G125" s="3190"/>
      <c r="H125" s="3190"/>
      <c r="I125" s="3189"/>
    </row>
    <row r="126" spans="1:11" ht="18.75" hidden="1" customHeight="1">
      <c r="A126" s="3194" t="str">
        <f>IF(项目基本情况!B9="房地产市场价值","",MID(E111,3,LEN(E111)-2))</f>
        <v/>
      </c>
      <c r="B126" s="3194"/>
      <c r="C126" s="3194"/>
      <c r="D126" s="3183" t="str">
        <f>H111</f>
        <v>——</v>
      </c>
      <c r="E126" s="3184"/>
      <c r="F126" s="3184"/>
      <c r="G126" s="3184"/>
      <c r="H126" s="3184"/>
      <c r="I126" s="3185"/>
    </row>
    <row r="127" spans="1:11" ht="18.75" hidden="1" customHeight="1">
      <c r="A127" s="3143" t="s">
        <v>2302</v>
      </c>
      <c r="B127" s="3143"/>
      <c r="C127" s="3143"/>
      <c r="D127" s="3188" t="e">
        <f>NUMBERSTRING(INT(D126*10000),2)&amp;"元整"</f>
        <v>#VALUE!</v>
      </c>
      <c r="E127" s="3190"/>
      <c r="F127" s="3190"/>
      <c r="G127" s="3190"/>
      <c r="H127" s="3190"/>
      <c r="I127" s="3189"/>
    </row>
    <row r="128" spans="1:11" ht="21.75" customHeight="1">
      <c r="A128" s="3191" t="s">
        <v>2303</v>
      </c>
      <c r="B128" s="3191"/>
      <c r="C128" s="3191"/>
      <c r="D128" s="3191"/>
      <c r="E128" s="3191"/>
      <c r="F128" s="3191"/>
      <c r="G128" s="3191"/>
      <c r="H128" s="3191"/>
      <c r="I128" s="3191"/>
    </row>
    <row r="129" spans="1:35" ht="21.75" customHeight="1">
      <c r="A129" s="2522" t="s">
        <v>2304</v>
      </c>
      <c r="B129" s="2523"/>
      <c r="C129" s="2524" t="s">
        <v>2305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2306</v>
      </c>
      <c r="G135" s="2539"/>
      <c r="H135" s="2539"/>
      <c r="I135" s="2540" t="s">
        <v>2307</v>
      </c>
    </row>
    <row r="136" spans="1:35" ht="21.75" customHeight="1">
      <c r="A136" s="794"/>
      <c r="B136" s="2541"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2309</v>
      </c>
    </row>
    <row r="139" spans="1:35" ht="21.75" customHeight="1">
      <c r="A139" s="794"/>
      <c r="B139" s="2541" t="s">
        <v>2310</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2309</v>
      </c>
    </row>
    <row r="142" spans="1:35" ht="21.75" customHeight="1">
      <c r="A142" s="794"/>
      <c r="B142" s="2541"/>
      <c r="C142" s="2542"/>
      <c r="D142" s="2543"/>
      <c r="E142" s="2543"/>
      <c r="F142" s="2337"/>
      <c r="G142" s="794"/>
      <c r="H142" s="794"/>
      <c r="I142" s="794"/>
    </row>
    <row r="143" spans="1:35" s="138"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30" sqref="E30"/>
    </sheetView>
  </sheetViews>
  <sheetFormatPr defaultColWidth="12" defaultRowHeight="12.75"/>
  <cols>
    <col min="1" max="1" width="9.75" style="2792" customWidth="1"/>
    <col min="2" max="2" width="19.25" style="2898" customWidth="1"/>
    <col min="3" max="4" width="12" style="2717"/>
    <col min="5" max="5" width="14.625" style="2717" customWidth="1"/>
    <col min="6" max="8" width="12" style="2717"/>
    <col min="9" max="9" width="12.25" style="2717" bestFit="1" customWidth="1"/>
    <col min="10" max="10" width="12" style="2717"/>
    <col min="11" max="11" width="8.125" style="2784" customWidth="1"/>
    <col min="12" max="12" width="12" style="2717"/>
    <col min="13" max="13" width="8.5" style="2717" customWidth="1"/>
    <col min="14" max="14" width="9.75" style="2717" customWidth="1"/>
    <col min="15" max="25" width="12" style="2717"/>
    <col min="26" max="26" width="9.375" style="2792" customWidth="1"/>
    <col min="27" max="32" width="9.375" style="1373" customWidth="1"/>
    <col min="33" max="36" width="9.375" style="2792" customWidth="1"/>
    <col min="37" max="38" width="9.375" style="2717" customWidth="1"/>
    <col min="39" max="16384" width="12" style="2717"/>
  </cols>
  <sheetData>
    <row r="1" spans="1:36" ht="28.5">
      <c r="A1" s="239" t="s">
        <v>2788</v>
      </c>
      <c r="B1" s="240"/>
      <c r="C1" s="244" t="s">
        <v>2789</v>
      </c>
      <c r="D1" s="387">
        <f>SUM(D29:D30,D33:D39)</f>
        <v>11510.9</v>
      </c>
      <c r="E1" s="2714"/>
      <c r="F1" s="2714"/>
      <c r="G1" s="2714"/>
      <c r="H1" s="2714"/>
      <c r="I1" s="2714"/>
      <c r="J1" s="2714"/>
      <c r="K1" s="1371"/>
      <c r="L1" s="2715" t="s">
        <v>2790</v>
      </c>
      <c r="M1" s="1081">
        <f>SUMPRODUCT((区片价!B5:B9=I2)*(区片价!C3:F3=E2)*(区片价!C5:F9))</f>
        <v>0</v>
      </c>
      <c r="N1" s="1084">
        <f>SUMPRODUCT((因素修正幅度!B5:B9=I2)*(因素修正幅度!C3:F3=E2)*(因素修正幅度!C5:F9))</f>
        <v>0</v>
      </c>
      <c r="O1" s="2716"/>
      <c r="P1" s="2716"/>
      <c r="Q1" s="1371"/>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4" t="s">
        <v>2796</v>
      </c>
      <c r="B2" s="247">
        <f ca="1">C26</f>
        <v>1656</v>
      </c>
      <c r="C2" s="2718" t="s">
        <v>2797</v>
      </c>
      <c r="D2" s="2719" t="s">
        <v>2798</v>
      </c>
      <c r="E2" s="2720" t="s">
        <v>6</v>
      </c>
      <c r="F2" s="2719" t="s">
        <v>2799</v>
      </c>
      <c r="G2" s="2721" t="str">
        <f>IF(E2="商业",项目基本情况!B37,IF(E2="办公",项目基本情况!C37,IF(E2="住宅",项目基本情况!D37,项目基本情况!E37)))</f>
        <v>七级</v>
      </c>
      <c r="H2" s="2719" t="s">
        <v>2800</v>
      </c>
      <c r="I2" s="2721" t="str">
        <f>IF(E2="商业",项目基本情况!B38,IF(E2="办公",项目基本情况!C38,IF(E2="住宅",项目基本情况!D38,项目基本情况!E38)))</f>
        <v>Ⅶ-顺2</v>
      </c>
      <c r="J2" s="2722"/>
      <c r="K2" s="1371"/>
      <c r="L2" s="2723" t="s">
        <v>2801</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2.6238000000000001</v>
      </c>
      <c r="T2" s="1603">
        <f ca="1">ROUND($C$5*$C$18*$C$19*$C$20*S2*$C$24,0)</f>
        <v>4812</v>
      </c>
      <c r="U2" s="1604"/>
      <c r="V2" s="1603">
        <f ca="1">ROUND(T2*U2/10000,0)</f>
        <v>0</v>
      </c>
      <c r="W2" s="1607"/>
      <c r="X2" s="1607"/>
      <c r="Y2" s="1607"/>
      <c r="Z2" s="1607"/>
      <c r="AA2" s="1607"/>
      <c r="AB2" s="1607"/>
      <c r="AC2" s="1608"/>
      <c r="AD2" s="1609"/>
      <c r="AE2" s="1609"/>
      <c r="AF2" s="1609"/>
      <c r="AG2" s="1609"/>
      <c r="AH2" s="1609"/>
      <c r="AI2" s="1609"/>
      <c r="AJ2" s="1610"/>
    </row>
    <row r="3" spans="1:36" ht="15.75">
      <c r="A3" s="246" t="s">
        <v>2802</v>
      </c>
      <c r="B3" s="247">
        <f ca="1">ROUND(B2*10000/D1,0)</f>
        <v>1439</v>
      </c>
      <c r="C3" s="2718" t="s">
        <v>2803</v>
      </c>
      <c r="D3" s="2719" t="s">
        <v>2804</v>
      </c>
      <c r="E3" s="2724" t="s">
        <v>3222</v>
      </c>
      <c r="F3" s="2725" t="s">
        <v>3223</v>
      </c>
      <c r="G3" s="915">
        <f>IF(F3="宗地容积率",'数据-汇总表'!I4,IF(F3="估价对象容积率",'数据-汇总表'!I6,'数据-汇总表'!I7))</f>
        <v>0.71</v>
      </c>
      <c r="H3" s="197" t="s">
        <v>2805</v>
      </c>
      <c r="I3" s="946"/>
      <c r="J3" s="2722" t="s">
        <v>2806</v>
      </c>
      <c r="K3" s="1371"/>
      <c r="L3" s="2723" t="s">
        <v>2807</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1.8834</v>
      </c>
      <c r="T3" s="1603">
        <f t="shared" ref="T3:T16" ca="1" si="0">ROUND($C$5*$C$18*$C$19*$C$20*S3*$C$24,0)</f>
        <v>3454</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77"/>
      <c r="B4" s="3278"/>
      <c r="C4" s="3278"/>
      <c r="D4" s="3279"/>
      <c r="E4" s="3279"/>
      <c r="F4" s="3279"/>
      <c r="G4" s="3279"/>
      <c r="H4" s="3279"/>
      <c r="I4" s="3279"/>
      <c r="J4" s="3280"/>
      <c r="K4" s="1371"/>
      <c r="L4" s="2723" t="s">
        <v>2808</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1.5194000000000001</v>
      </c>
      <c r="T4" s="1603">
        <f t="shared" ca="1" si="0"/>
        <v>2787</v>
      </c>
      <c r="U4" s="1604"/>
      <c r="V4" s="1603">
        <f t="shared" ca="1" si="1"/>
        <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2809</v>
      </c>
      <c r="C5" s="916">
        <f>ROUND(IF(E2="商业",IF(F16="增加",C6*C7+C16,C6*C7-C16),IF(E2="住宅",IF(F16="增加",C6*C12+C16,C6*C12-C16),IF(F16="增加",C6+C16,C6-C16))),0)</f>
        <v>1405</v>
      </c>
      <c r="D5" s="1788">
        <f>ROUND(IF(E2="商业",IF(F16="增加",C6+C16,C6-C16)),0)</f>
        <v>0</v>
      </c>
      <c r="E5" s="2728"/>
      <c r="F5" s="2728"/>
      <c r="G5" s="2729"/>
      <c r="H5" s="2729"/>
      <c r="I5" s="2729"/>
      <c r="J5" s="2730"/>
      <c r="K5" s="2731"/>
      <c r="L5" s="2723" t="s">
        <v>2810</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1.2192000000000001</v>
      </c>
      <c r="T5" s="1603">
        <f t="shared" ca="1" si="0"/>
        <v>2236</v>
      </c>
      <c r="U5" s="1604"/>
      <c r="V5" s="1603">
        <f t="shared" ca="1" si="1"/>
        <v>0</v>
      </c>
      <c r="W5" s="1607"/>
      <c r="X5" s="1607"/>
      <c r="Y5" s="1607"/>
      <c r="Z5" s="1607"/>
      <c r="AA5" s="1607"/>
      <c r="AB5" s="1607"/>
      <c r="AC5" s="2732"/>
      <c r="AD5" s="2733"/>
      <c r="AE5" s="2733"/>
      <c r="AF5" s="2733"/>
      <c r="AG5" s="2733"/>
      <c r="AH5" s="2733"/>
      <c r="AI5" s="2733"/>
      <c r="AJ5" s="2734"/>
    </row>
    <row r="6" spans="1:36" ht="15.75" thickBot="1">
      <c r="A6" s="2736" t="s">
        <v>2811</v>
      </c>
      <c r="B6" s="2737" t="s">
        <v>2812</v>
      </c>
      <c r="C6" s="917">
        <f>SUMIF(L1:L12,G2,M1:M12)</f>
        <v>1480</v>
      </c>
      <c r="D6" s="2738" t="s">
        <v>2813</v>
      </c>
      <c r="E6" s="2739"/>
      <c r="F6" s="2739"/>
      <c r="G6" s="2740"/>
      <c r="H6" s="2740"/>
      <c r="I6" s="2740"/>
      <c r="J6" s="2741"/>
      <c r="K6" s="1843"/>
      <c r="L6" s="2723" t="s">
        <v>2814</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1.0382</v>
      </c>
      <c r="T6" s="1603">
        <f t="shared" ca="1" si="0"/>
        <v>1904</v>
      </c>
      <c r="U6" s="1604"/>
      <c r="V6" s="1603">
        <f t="shared" ca="1" si="1"/>
        <v>0</v>
      </c>
      <c r="W6" s="1607"/>
      <c r="X6" s="1607"/>
      <c r="Y6" s="1607"/>
      <c r="Z6" s="1607"/>
      <c r="AA6" s="1607"/>
      <c r="AB6" s="1607"/>
      <c r="AC6" s="2732"/>
      <c r="AD6" s="2733"/>
      <c r="AE6" s="2733"/>
      <c r="AF6" s="2733"/>
      <c r="AG6" s="2733"/>
      <c r="AH6" s="2733"/>
      <c r="AI6" s="2733"/>
      <c r="AJ6" s="2734"/>
    </row>
    <row r="7" spans="1:36" ht="24">
      <c r="A7" s="3263" t="str">
        <f>IF(E2="商业",IF(C8="不临58条商业街","",2),"")</f>
        <v/>
      </c>
      <c r="B7" s="2742" t="s">
        <v>2815</v>
      </c>
      <c r="C7" s="918">
        <f>IF(C8="不临58条商业街",1,ROUND(1+(1.6*E8+1.2*E9+0.8*E10+0.4*E11)*C9,4))</f>
        <v>1</v>
      </c>
      <c r="D7" s="2743" t="s">
        <v>2816</v>
      </c>
      <c r="E7" s="947"/>
      <c r="F7" s="2744"/>
      <c r="G7" s="2745"/>
      <c r="H7" s="2745"/>
      <c r="I7" s="2745"/>
      <c r="J7" s="2746"/>
      <c r="K7" s="1843"/>
      <c r="L7" s="2723" t="s">
        <v>2817</v>
      </c>
      <c r="M7" s="1082">
        <f>SUMPRODUCT((区片价!B158:B205=I2)*(区片价!C3:F3=E2)*(区片价!C158:F205))</f>
        <v>1480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0.91300000000000003</v>
      </c>
      <c r="T7" s="1603">
        <f t="shared" ca="1" si="0"/>
        <v>1674</v>
      </c>
      <c r="U7" s="1604"/>
      <c r="V7" s="1603">
        <f t="shared" ca="1" si="1"/>
        <v>0</v>
      </c>
      <c r="W7" s="1817" t="s">
        <v>2818</v>
      </c>
      <c r="X7" s="1605" t="str">
        <f>G2</f>
        <v>七级</v>
      </c>
      <c r="Y7" s="1605" t="s">
        <v>2819</v>
      </c>
      <c r="Z7" s="1606">
        <f>G3</f>
        <v>0.71</v>
      </c>
      <c r="AA7" s="1607"/>
      <c r="AB7" s="1607"/>
      <c r="AC7" s="1608"/>
      <c r="AD7" s="1609"/>
      <c r="AE7" s="1609"/>
      <c r="AF7" s="1609"/>
      <c r="AG7" s="1609"/>
      <c r="AH7" s="1609"/>
      <c r="AI7" s="1609"/>
      <c r="AJ7" s="1610"/>
    </row>
    <row r="8" spans="1:36" ht="25.5">
      <c r="A8" s="3264"/>
      <c r="B8" s="197" t="s">
        <v>2820</v>
      </c>
      <c r="C8" s="2747" t="s">
        <v>3224</v>
      </c>
      <c r="D8" s="919" t="s">
        <v>139</v>
      </c>
      <c r="E8" s="920" t="e">
        <f>ROUND(C11/E7,4)</f>
        <v>#DIV/0!</v>
      </c>
      <c r="F8" s="2748" t="s">
        <v>2821</v>
      </c>
      <c r="G8" s="2749"/>
      <c r="H8" s="2749"/>
      <c r="I8" s="2749"/>
      <c r="J8" s="2750"/>
      <c r="K8" s="1371"/>
      <c r="L8" s="2723" t="s">
        <v>2822</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74" t="s">
        <v>2823</v>
      </c>
      <c r="X8" s="3275"/>
      <c r="Y8" s="1611" t="s">
        <v>2824</v>
      </c>
      <c r="Z8" s="1611" t="s">
        <v>2825</v>
      </c>
      <c r="AA8" s="1611" t="s">
        <v>2826</v>
      </c>
      <c r="AB8" s="1611" t="s">
        <v>2827</v>
      </c>
      <c r="AC8" s="1611" t="s">
        <v>2828</v>
      </c>
      <c r="AD8" s="1611" t="s">
        <v>2829</v>
      </c>
      <c r="AE8" s="1611" t="s">
        <v>2830</v>
      </c>
      <c r="AF8" s="1611" t="s">
        <v>2831</v>
      </c>
      <c r="AG8" s="1611" t="s">
        <v>2832</v>
      </c>
      <c r="AH8" s="1611" t="s">
        <v>2833</v>
      </c>
      <c r="AI8" s="1611" t="s">
        <v>2834</v>
      </c>
      <c r="AJ8" s="1611" t="s">
        <v>2835</v>
      </c>
    </row>
    <row r="9" spans="1:36" ht="15">
      <c r="A9" s="3264"/>
      <c r="B9" s="197" t="s">
        <v>2836</v>
      </c>
      <c r="C9" s="921">
        <f>SUMIF(修正!C59:C119,C8,修正!E59:E119)</f>
        <v>0</v>
      </c>
      <c r="D9" s="199" t="s">
        <v>140</v>
      </c>
      <c r="E9" s="199" t="e">
        <f>ROUND(C11/E7,4)</f>
        <v>#DIV/0!</v>
      </c>
      <c r="F9" s="2748" t="s">
        <v>2837</v>
      </c>
      <c r="G9" s="2749"/>
      <c r="H9" s="2749"/>
      <c r="I9" s="2749"/>
      <c r="J9" s="2750"/>
      <c r="K9" s="1371"/>
      <c r="L9" s="2723" t="s">
        <v>2838</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76" t="s">
        <v>2839</v>
      </c>
      <c r="X9" s="1612" t="s">
        <v>2840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4"/>
      <c r="B10" s="197" t="s">
        <v>2841</v>
      </c>
      <c r="C10" s="199">
        <f>SUMIF(修正!C59:C119,C8,修正!F59:F119)</f>
        <v>0</v>
      </c>
      <c r="D10" s="199" t="s">
        <v>141</v>
      </c>
      <c r="E10" s="199" t="e">
        <f>ROUND(C11/E7,4)</f>
        <v>#DIV/0!</v>
      </c>
      <c r="F10" s="2748" t="s">
        <v>2842</v>
      </c>
      <c r="G10" s="2749"/>
      <c r="H10" s="2749"/>
      <c r="I10" s="2749"/>
      <c r="J10" s="2750"/>
      <c r="K10" s="1371"/>
      <c r="L10" s="2723" t="s">
        <v>2843</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7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4"/>
      <c r="B11" s="2751" t="s">
        <v>2844</v>
      </c>
      <c r="C11" s="922">
        <f>C10/4</f>
        <v>0</v>
      </c>
      <c r="D11" s="922" t="s">
        <v>142</v>
      </c>
      <c r="E11" s="922" t="e">
        <f>ROUND(C11/E7,4)</f>
        <v>#DIV/0!</v>
      </c>
      <c r="F11" s="2752" t="s">
        <v>2845</v>
      </c>
      <c r="G11" s="2753"/>
      <c r="H11" s="2753"/>
      <c r="I11" s="2753"/>
      <c r="J11" s="2754"/>
      <c r="K11" s="1371"/>
      <c r="L11" s="2723" t="s">
        <v>2846</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76" t="s">
        <v>2847</v>
      </c>
      <c r="X11" s="1615" t="s">
        <v>2848</v>
      </c>
      <c r="Y11" s="1616">
        <f>$G$3</f>
        <v>0.71</v>
      </c>
      <c r="Z11" s="1616">
        <f t="shared" ref="Z11:AJ11" si="3">$G$3</f>
        <v>0.71</v>
      </c>
      <c r="AA11" s="1616">
        <f t="shared" si="3"/>
        <v>0.71</v>
      </c>
      <c r="AB11" s="1616">
        <f t="shared" si="3"/>
        <v>0.71</v>
      </c>
      <c r="AC11" s="1616">
        <f t="shared" si="3"/>
        <v>0.71</v>
      </c>
      <c r="AD11" s="1616">
        <f t="shared" si="3"/>
        <v>0.71</v>
      </c>
      <c r="AE11" s="1616">
        <f t="shared" si="3"/>
        <v>0.71</v>
      </c>
      <c r="AF11" s="1616">
        <f t="shared" si="3"/>
        <v>0.71</v>
      </c>
      <c r="AG11" s="1616">
        <f t="shared" si="3"/>
        <v>0.71</v>
      </c>
      <c r="AH11" s="1616">
        <f t="shared" si="3"/>
        <v>0.71</v>
      </c>
      <c r="AI11" s="1616">
        <f t="shared" si="3"/>
        <v>0.71</v>
      </c>
      <c r="AJ11" s="1616">
        <f t="shared" si="3"/>
        <v>0.71</v>
      </c>
    </row>
    <row r="12" spans="1:36" ht="25.5" thickBot="1">
      <c r="A12" s="3263" t="s">
        <v>2849</v>
      </c>
      <c r="B12" s="2755" t="s">
        <v>2850</v>
      </c>
      <c r="C12" s="918">
        <f>ROUND(C15*D15*E15*F15*G15*H15*I15*J15,4)</f>
        <v>1</v>
      </c>
      <c r="D12" s="2756" t="s">
        <v>2851</v>
      </c>
      <c r="E12" s="2757"/>
      <c r="F12" s="2757"/>
      <c r="G12" s="2758"/>
      <c r="H12" s="2758"/>
      <c r="I12" s="2758"/>
      <c r="J12" s="2759"/>
      <c r="K12" s="1371"/>
      <c r="L12" s="2760" t="s">
        <v>2852</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76"/>
      <c r="X12" s="1617" t="s">
        <v>2853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1"/>
      <c r="B13" s="2761" t="s">
        <v>2854</v>
      </c>
      <c r="C13" s="2762" t="s">
        <v>2855</v>
      </c>
      <c r="D13" s="1809" t="s">
        <v>2856</v>
      </c>
      <c r="E13" s="1809" t="s">
        <v>2857</v>
      </c>
      <c r="F13" s="30" t="s">
        <v>2858</v>
      </c>
      <c r="G13" s="2763" t="s">
        <v>2859</v>
      </c>
      <c r="H13" s="2763" t="s">
        <v>2859</v>
      </c>
      <c r="I13" s="2763" t="s">
        <v>2859</v>
      </c>
      <c r="J13" s="2764" t="s">
        <v>2859</v>
      </c>
      <c r="K13" s="1371"/>
      <c r="L13" s="1371"/>
      <c r="M13" s="1371"/>
      <c r="N13" s="1371"/>
      <c r="O13" s="1371"/>
      <c r="P13" s="1371"/>
      <c r="Q13" s="1371"/>
      <c r="R13" s="1603">
        <v>12</v>
      </c>
      <c r="S13" s="1604"/>
      <c r="T13" s="1603">
        <f t="shared" ca="1" si="0"/>
        <v>0</v>
      </c>
      <c r="U13" s="1604"/>
      <c r="V13" s="1603">
        <f t="shared" ca="1" si="1"/>
        <v>0</v>
      </c>
      <c r="W13" s="3276"/>
      <c r="X13" s="1617"/>
      <c r="Y13" s="1614">
        <f>(-0.163*(Y12^2)-0.59*Y12+7617)*(10^(-4))/Y11</f>
        <v>1.0728169014084508</v>
      </c>
      <c r="Z13" s="1614">
        <f t="shared" ref="Z13:AJ13" si="5">(-0.163*(Z12^2)-0.59*Z12+7617)*(10^(-4))/Z11</f>
        <v>1.0728169014084508</v>
      </c>
      <c r="AA13" s="1614">
        <f t="shared" si="5"/>
        <v>1.0728169014084508</v>
      </c>
      <c r="AB13" s="1614">
        <f t="shared" si="5"/>
        <v>1.0728169014084508</v>
      </c>
      <c r="AC13" s="1614">
        <f t="shared" si="5"/>
        <v>1.0728169014084508</v>
      </c>
      <c r="AD13" s="1614">
        <f t="shared" si="5"/>
        <v>1.0728169014084508</v>
      </c>
      <c r="AE13" s="1614">
        <f t="shared" si="5"/>
        <v>1.0728169014084508</v>
      </c>
      <c r="AF13" s="1614">
        <f t="shared" si="5"/>
        <v>1.0728169014084508</v>
      </c>
      <c r="AG13" s="1614">
        <f t="shared" si="5"/>
        <v>1.0728169014084508</v>
      </c>
      <c r="AH13" s="1614">
        <f t="shared" si="5"/>
        <v>1.0728169014084508</v>
      </c>
      <c r="AI13" s="1614">
        <f t="shared" si="5"/>
        <v>1.0728169014084508</v>
      </c>
      <c r="AJ13" s="1614">
        <f t="shared" si="5"/>
        <v>1.0728169014084508</v>
      </c>
    </row>
    <row r="14" spans="1:36" ht="15">
      <c r="A14" s="3281"/>
      <c r="B14" s="2765"/>
      <c r="C14" s="2766"/>
      <c r="D14" s="2767"/>
      <c r="E14" s="2767"/>
      <c r="F14" s="2768"/>
      <c r="G14" s="2769" t="s">
        <v>2860</v>
      </c>
      <c r="H14" s="2770"/>
      <c r="I14" s="2771"/>
      <c r="J14" s="2772"/>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82"/>
      <c r="B15" s="2773" t="s">
        <v>2861</v>
      </c>
      <c r="C15" s="228">
        <f>IF(C14="有",1.1,1)</f>
        <v>1</v>
      </c>
      <c r="D15" s="228">
        <f>IF(D14="有",1.1,1)</f>
        <v>1</v>
      </c>
      <c r="E15" s="228">
        <f>IF(E14="有",1.1,1)</f>
        <v>1</v>
      </c>
      <c r="F15" s="228">
        <f>IF(F14="500米范围内",1.2,IF(F14="500-1000米",1.1,1))</f>
        <v>1</v>
      </c>
      <c r="G15" s="948">
        <v>1</v>
      </c>
      <c r="H15" s="948">
        <v>1</v>
      </c>
      <c r="I15" s="948">
        <v>1</v>
      </c>
      <c r="J15" s="949">
        <v>1</v>
      </c>
      <c r="K15" s="1371"/>
      <c r="L15" s="2774" t="s">
        <v>2798</v>
      </c>
      <c r="M15" s="919" t="s">
        <v>2862</v>
      </c>
      <c r="N15" s="919" t="s">
        <v>2863</v>
      </c>
      <c r="O15" s="919" t="s">
        <v>2864</v>
      </c>
      <c r="P15" s="2775" t="s">
        <v>2865</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63" t="s">
        <v>2866</v>
      </c>
      <c r="B16" s="2742" t="s">
        <v>2867</v>
      </c>
      <c r="C16" s="1802">
        <f>ROUND(SUM(G17:J17)/C17,0)</f>
        <v>75</v>
      </c>
      <c r="D16" s="2776" t="s">
        <v>2868</v>
      </c>
      <c r="E16" s="3036" t="s">
        <v>3300</v>
      </c>
      <c r="F16" s="2777" t="s">
        <v>3225</v>
      </c>
      <c r="G16" s="2778" t="s">
        <v>3226</v>
      </c>
      <c r="H16" s="2778" t="s">
        <v>3227</v>
      </c>
      <c r="I16" s="2778" t="s">
        <v>70</v>
      </c>
      <c r="J16" s="2779" t="s">
        <v>70</v>
      </c>
      <c r="K16" s="1371"/>
      <c r="L16" s="2780" t="s">
        <v>2869</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64"/>
      <c r="B17" s="2781" t="s">
        <v>2870</v>
      </c>
      <c r="C17" s="923">
        <f>SUMPRODUCT((修正!A2:A5=E2)*(修正!B1:M1=G2)*(修正!B2:M5))</f>
        <v>1.2</v>
      </c>
      <c r="D17" s="2782" t="s">
        <v>2871</v>
      </c>
      <c r="E17" s="922" t="str">
        <f>IF(OR(G2="八级",G2="九级",G2="十级",G2="十一级",G2="十二级"),"五通一平","七通一平")</f>
        <v>七通一平</v>
      </c>
      <c r="F17" s="923" t="s">
        <v>2872</v>
      </c>
      <c r="G17" s="923">
        <f>SUMPRODUCT((七通一平=G16)*(修正!B1:M1=G2)*(修正!B6:M14))</f>
        <v>50</v>
      </c>
      <c r="H17" s="923">
        <f>SUMPRODUCT((七通一平=H16)*(修正!B1:M1=G2)*(修正!B6:M14))</f>
        <v>40</v>
      </c>
      <c r="I17" s="923">
        <f>SUMPRODUCT((七通一平=I16)*(修正!B1:M1=G2)*(修正!B6:M14))</f>
        <v>0</v>
      </c>
      <c r="J17" s="924">
        <f>SUMPRODUCT((七通一平=J16)*(修正!B1:M1=G2)*(修正!B6:M14))</f>
        <v>0</v>
      </c>
      <c r="K17" s="1371"/>
      <c r="L17" s="2783" t="s">
        <v>2873</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4"/>
      <c r="AF17" s="2784"/>
      <c r="AG17" s="2717"/>
      <c r="AH17" s="2717"/>
      <c r="AI17" s="2717"/>
      <c r="AJ17" s="2717"/>
    </row>
    <row r="18" spans="1:37" s="2735" customFormat="1" ht="15.75" thickBot="1">
      <c r="A18" s="2785" t="s">
        <v>808</v>
      </c>
      <c r="B18" s="2786" t="s">
        <v>2874</v>
      </c>
      <c r="C18" s="925">
        <f>SUMIF(修正!C18:C39,E3,修正!E18:E39)</f>
        <v>1</v>
      </c>
      <c r="D18" s="2787"/>
      <c r="E18" s="2788"/>
      <c r="F18" s="2789"/>
      <c r="G18" s="2790"/>
      <c r="H18" s="2790"/>
      <c r="I18" s="2790"/>
      <c r="J18" s="2791"/>
      <c r="K18" s="1378"/>
      <c r="O18" s="1376"/>
      <c r="P18" s="1376"/>
      <c r="Q18" s="1377"/>
      <c r="R18" s="1377"/>
      <c r="S18" s="1377"/>
      <c r="T18" s="1372"/>
      <c r="U18" s="1372"/>
      <c r="V18" s="1372"/>
      <c r="W18" s="1371"/>
      <c r="X18" s="1371"/>
      <c r="Y18" s="1371"/>
      <c r="Z18" s="1378"/>
      <c r="AA18" s="1379"/>
      <c r="AB18" s="1379"/>
      <c r="AC18" s="1379"/>
      <c r="AD18" s="1379"/>
      <c r="AE18" s="1373"/>
      <c r="AF18" s="1373"/>
      <c r="AG18" s="2792"/>
      <c r="AH18" s="2792"/>
      <c r="AI18" s="2792"/>
    </row>
    <row r="19" spans="1:37" s="2735" customFormat="1" ht="29.25" thickBot="1">
      <c r="A19" s="2785" t="s">
        <v>809</v>
      </c>
      <c r="B19" s="2786" t="s">
        <v>2875</v>
      </c>
      <c r="C19" s="926">
        <f>ROUND(IF(H19="按公示增长率计算",SUMPRODUCT((地价!A3:A21=YEAR(G19)&amp;"-"&amp;ROUNDUP(MONTH(G19)/3,0))*(地价!X2:AB2=E2)*(地价!X3:AB21)),IF(H19="地价指数",M20/M19,(1+I19)^O19)),4)</f>
        <v>1.2309000000000001</v>
      </c>
      <c r="D19" s="2793" t="s">
        <v>2876</v>
      </c>
      <c r="E19" s="927">
        <v>41640</v>
      </c>
      <c r="F19" s="2793" t="s">
        <v>2877</v>
      </c>
      <c r="G19" s="928">
        <f>'数据-取费表'!B2</f>
        <v>43138</v>
      </c>
      <c r="H19" s="2794" t="s">
        <v>3275</v>
      </c>
      <c r="I19" s="929" t="str">
        <f>IF(H19="季度增幅（自定义）",SUMIF(N21:N24,E2,O21:O24),"")</f>
        <v/>
      </c>
      <c r="J19" s="2791"/>
      <c r="K19" s="1378"/>
      <c r="L19" s="2795" t="s">
        <v>2878</v>
      </c>
      <c r="M19" s="1735">
        <f>ROUND(SUMIF(地价!B2:F2,E2,地价!B21:F21),0)</f>
        <v>230</v>
      </c>
      <c r="N19" s="2796" t="s">
        <v>2879</v>
      </c>
      <c r="O19" s="930">
        <f>ROUNDDOWN(DATEDIF(E19,G19,"M")/3,0)</f>
        <v>16</v>
      </c>
      <c r="P19" s="1375"/>
      <c r="Q19" s="1377"/>
      <c r="R19" s="1377"/>
      <c r="S19" s="1377"/>
      <c r="T19" s="1372"/>
      <c r="U19" s="1372"/>
      <c r="V19" s="1372"/>
      <c r="W19" s="1371"/>
      <c r="X19" s="1371"/>
      <c r="Y19" s="1371"/>
      <c r="Z19" s="1378"/>
      <c r="AA19" s="1379"/>
      <c r="AB19" s="1379"/>
      <c r="AC19" s="1379"/>
      <c r="AD19" s="1379"/>
      <c r="AE19" s="1379"/>
      <c r="AF19" s="2797"/>
      <c r="AG19" s="2798"/>
      <c r="AH19" s="2792"/>
      <c r="AI19" s="2799"/>
      <c r="AJ19" s="2799"/>
      <c r="AK19" s="2799"/>
    </row>
    <row r="20" spans="1:37" s="2735" customFormat="1" ht="27.75" thickBot="1">
      <c r="A20" s="2800" t="s">
        <v>810</v>
      </c>
      <c r="B20" s="2801" t="s">
        <v>2880</v>
      </c>
      <c r="C20" s="931">
        <f ca="1">ROUND(POWER(1+G20,J20-I20)*(POWER(1+G20,I20)-1)/(POWER(1+G20,J20)-1),4)</f>
        <v>1</v>
      </c>
      <c r="D20" s="2802" t="s">
        <v>2881</v>
      </c>
      <c r="E20" s="1769">
        <f ca="1">存贷款利率!D4/100</f>
        <v>4.3499999999999997E-2</v>
      </c>
      <c r="F20" s="2802" t="s">
        <v>2873</v>
      </c>
      <c r="G20" s="936">
        <f ca="1">SUMIF(M15:P15,E2,M17:P17)</f>
        <v>4.8000000000000001E-2</v>
      </c>
      <c r="H20" s="2802" t="s">
        <v>2882</v>
      </c>
      <c r="I20" s="937">
        <f>SUMIF('数据-取费表'!C6:C15,E2,'数据-取费表'!F6:F15)/COUNTIF('数据-取费表'!C6:C15,E2)</f>
        <v>50</v>
      </c>
      <c r="J20" s="938">
        <f>IF(E2="住宅",70,IF(E2="商业",40,50))</f>
        <v>50</v>
      </c>
      <c r="K20" s="1378"/>
      <c r="L20" s="2803" t="s">
        <v>2883</v>
      </c>
      <c r="M20" s="1736">
        <f>ROUND(SUMPRODUCT((地价!A4:A21=YEAR(G19)&amp;"-"&amp;ROUNDUP(MONTH(G19)/3,0))*(地价!B2:F2=E2)*(地价!B4:F21)),0)</f>
        <v>283</v>
      </c>
      <c r="N20" s="2804" t="s">
        <v>2884</v>
      </c>
      <c r="O20" s="2805" t="s">
        <v>2885</v>
      </c>
      <c r="P20" s="2806" t="s">
        <v>2886</v>
      </c>
      <c r="R20" s="1377"/>
      <c r="S20" s="1377"/>
      <c r="T20" s="1372"/>
      <c r="U20" s="1372"/>
      <c r="V20" s="1372"/>
      <c r="W20" s="1371"/>
      <c r="X20" s="1371"/>
      <c r="Y20" s="1371"/>
      <c r="Z20" s="1378"/>
      <c r="AA20" s="1379"/>
      <c r="AB20" s="1379"/>
      <c r="AC20" s="1379"/>
      <c r="AD20" s="1379"/>
      <c r="AE20" s="1379"/>
      <c r="AF20" s="1379"/>
    </row>
    <row r="21" spans="1:37" s="2735" customFormat="1" ht="15">
      <c r="A21" s="2807" t="s">
        <v>811</v>
      </c>
      <c r="B21" s="2808" t="s">
        <v>3228</v>
      </c>
      <c r="C21" s="939">
        <f>IF(B21="容积率修正",IF(G3&lt;=10,D22,J22),C23)</f>
        <v>1.5685</v>
      </c>
      <c r="D21" s="2809"/>
      <c r="E21" s="2809"/>
      <c r="F21" s="2809"/>
      <c r="G21" s="2809"/>
      <c r="H21" s="2809"/>
      <c r="I21" s="2809"/>
      <c r="J21" s="2810"/>
      <c r="K21" s="1378"/>
      <c r="N21" s="2811" t="s">
        <v>2887</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2" t="s">
        <v>2889</v>
      </c>
      <c r="C22" s="1811" t="s">
        <v>2890</v>
      </c>
      <c r="D22" s="1811">
        <f>IF(E22=G22,F22,IF(G3&lt;=10,ROUND(F22+(H22-F22)*(G3-E22)/(G22-E22),4),"——"))</f>
        <v>1.5685</v>
      </c>
      <c r="E22" s="915">
        <f>ROUNDDOWN(G3,1)</f>
        <v>0.7</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915">
        <f>ROUNDUP(G3,1)</f>
        <v>0.79999999999999993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811" t="s">
        <v>155</v>
      </c>
      <c r="J22" s="940" t="str">
        <f>IF(G3&gt;10,D113,"——")</f>
        <v>——</v>
      </c>
      <c r="K22" s="1378"/>
      <c r="N22" s="2811" t="s">
        <v>2891</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3" t="s">
        <v>2893</v>
      </c>
      <c r="C23" s="1015">
        <f>ROUND(IF(G3&gt;1,IF(I3&lt;7,SUMPRODUCT((B93:B98=I3)*(C92:N92=G2)*(C93:N98)),SUMIF(C92:N92,G2,C100:N100)),IF(I3&lt;7,SUMPRODUCT((B102:B107=I3)*(C92:N92=G2)*(C102:N107)),SUMIF(C92:N92,G2,C109:N109))),4)</f>
        <v>0</v>
      </c>
      <c r="D23" s="2770"/>
      <c r="E23" s="2770"/>
      <c r="F23" s="2814"/>
      <c r="G23" s="2815"/>
      <c r="H23" s="2816"/>
      <c r="I23" s="2817"/>
      <c r="J23" s="2818"/>
      <c r="K23" s="1371"/>
      <c r="N23" s="2811" t="s">
        <v>2894</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2"/>
    </row>
    <row r="24" spans="1:37" s="2735" customFormat="1" ht="15.75" thickBot="1">
      <c r="A24" s="2800" t="s">
        <v>812</v>
      </c>
      <c r="B24" s="2786" t="s">
        <v>2895</v>
      </c>
      <c r="C24" s="926">
        <f>SUMIF(A45:A88,E2,B45:B88)</f>
        <v>1.0605</v>
      </c>
      <c r="D24" s="2789"/>
      <c r="E24" s="2819"/>
      <c r="F24" s="2819"/>
      <c r="G24" s="2819"/>
      <c r="H24" s="2819"/>
      <c r="I24" s="2819"/>
      <c r="J24" s="2820"/>
      <c r="K24" s="1378"/>
      <c r="N24" s="2821" t="s">
        <v>2896</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0" t="s">
        <v>813</v>
      </c>
      <c r="B25" s="2822" t="s">
        <v>2897</v>
      </c>
      <c r="C25" s="932"/>
      <c r="D25" s="2745"/>
      <c r="E25" s="2745"/>
      <c r="F25" s="2823"/>
      <c r="G25" s="2745"/>
      <c r="H25" s="2745"/>
      <c r="I25" s="2745"/>
      <c r="J25" s="2746"/>
      <c r="K25" s="1371"/>
      <c r="N25" s="2824" t="s">
        <v>2898</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5"/>
      <c r="B26" s="2812" t="s">
        <v>2899</v>
      </c>
      <c r="C26" s="205">
        <f ca="1">E29+SUM(E33:E39)</f>
        <v>1656</v>
      </c>
      <c r="D26" s="2826"/>
      <c r="E26" s="2770"/>
      <c r="F26" s="2827"/>
      <c r="G26" s="2770"/>
      <c r="H26" s="2770"/>
      <c r="I26" s="2770"/>
      <c r="J26" s="2828"/>
      <c r="K26" s="1371"/>
      <c r="R26" s="1377"/>
      <c r="S26" s="1377"/>
      <c r="T26" s="1372"/>
      <c r="U26" s="1372"/>
      <c r="V26" s="1372"/>
      <c r="W26" s="1371"/>
      <c r="X26" s="1371"/>
      <c r="Y26" s="1371"/>
      <c r="Z26" s="1378"/>
      <c r="AA26" s="1379"/>
      <c r="AB26" s="1379"/>
      <c r="AC26" s="1379"/>
      <c r="AD26" s="1379"/>
    </row>
    <row r="27" spans="1:37" ht="15.75" thickBot="1">
      <c r="A27" s="2825"/>
      <c r="B27" s="2829" t="s">
        <v>2900</v>
      </c>
      <c r="C27" s="933" t="e">
        <f ca="1">E30+SUM(I33:I39)</f>
        <v>#DIV/0!</v>
      </c>
      <c r="D27" s="2830"/>
      <c r="E27" s="2831"/>
      <c r="F27" s="2832"/>
      <c r="G27" s="2831"/>
      <c r="H27" s="2831"/>
      <c r="I27" s="2831"/>
      <c r="J27" s="2833"/>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4"/>
      <c r="B28" s="2835" t="s">
        <v>2901</v>
      </c>
      <c r="C28" s="2836" t="s">
        <v>2902</v>
      </c>
      <c r="D28" s="2836" t="s">
        <v>2903</v>
      </c>
      <c r="E28" s="2837" t="s">
        <v>2904</v>
      </c>
      <c r="F28" s="2838"/>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9"/>
      <c r="B29" s="2840" t="s">
        <v>2905</v>
      </c>
      <c r="C29" s="205">
        <f ca="1">ROUND(C5*C18*C19*C20*C21*C24,0)</f>
        <v>2877</v>
      </c>
      <c r="D29" s="3053">
        <f>'数据-汇总表'!F19</f>
        <v>5755.45</v>
      </c>
      <c r="E29" s="944">
        <f ca="1">ROUND(C29*D29/10000,0)</f>
        <v>1656</v>
      </c>
      <c r="F29" s="2842" t="s">
        <v>2906</v>
      </c>
      <c r="G29" s="2843"/>
      <c r="H29" s="2843"/>
      <c r="I29" s="2843"/>
      <c r="J29" s="2844"/>
      <c r="K29" s="1371"/>
      <c r="L29" s="1371"/>
      <c r="M29" s="1371"/>
      <c r="N29" s="1371"/>
      <c r="O29" s="1376"/>
      <c r="P29" s="1376"/>
      <c r="Q29" s="1377"/>
      <c r="R29" s="1377"/>
      <c r="S29" s="1377"/>
      <c r="T29" s="1372"/>
      <c r="U29" s="1372"/>
      <c r="V29" s="1372"/>
      <c r="W29" s="1371"/>
      <c r="X29" s="1371"/>
      <c r="Y29" s="1371"/>
      <c r="Z29" s="1378"/>
      <c r="AA29" s="1379"/>
      <c r="AB29" s="1379"/>
      <c r="AC29" s="1379"/>
      <c r="AD29" s="1379"/>
      <c r="AE29" s="2784"/>
      <c r="AF29" s="2784"/>
      <c r="AG29" s="2717"/>
      <c r="AH29" s="2717"/>
      <c r="AI29" s="2717"/>
      <c r="AJ29" s="2717"/>
    </row>
    <row r="30" spans="1:37" ht="25.5" thickBot="1">
      <c r="A30" s="2845"/>
      <c r="B30" s="2846" t="s">
        <v>2907</v>
      </c>
      <c r="C30" s="228">
        <f ca="1">ROUND(IF(E2="工业",C29*M39,C29*M38),0)</f>
        <v>432</v>
      </c>
      <c r="D30" s="2847">
        <f>D29</f>
        <v>5755.45</v>
      </c>
      <c r="E30" s="944">
        <f ca="1">ROUND(C30*D30/10000,0)</f>
        <v>249</v>
      </c>
      <c r="F30" s="2848" t="s">
        <v>2908</v>
      </c>
      <c r="G30" s="2849"/>
      <c r="H30" s="2849"/>
      <c r="I30" s="2849"/>
      <c r="J30" s="2850"/>
      <c r="K30" s="1371"/>
      <c r="L30" s="1371"/>
      <c r="M30" s="1371"/>
      <c r="N30" s="1371"/>
      <c r="O30" s="1376"/>
      <c r="P30" s="1376"/>
      <c r="Q30" s="1377"/>
      <c r="R30" s="1377"/>
      <c r="S30" s="1377"/>
      <c r="T30" s="1372"/>
      <c r="U30" s="1372"/>
      <c r="V30" s="1372"/>
      <c r="W30" s="1371"/>
      <c r="X30" s="1371"/>
      <c r="Y30" s="1371"/>
      <c r="Z30" s="1378"/>
      <c r="AA30" s="1379"/>
      <c r="AB30" s="1379"/>
      <c r="AC30" s="1379"/>
      <c r="AD30" s="1379"/>
      <c r="AE30" s="2784"/>
      <c r="AF30" s="2784"/>
      <c r="AG30" s="2717"/>
      <c r="AH30" s="2717"/>
      <c r="AI30" s="2717"/>
      <c r="AJ30" s="2717"/>
    </row>
    <row r="31" spans="1:37" ht="14.25">
      <c r="A31" s="2851"/>
      <c r="B31" s="2852" t="s">
        <v>2909</v>
      </c>
      <c r="C31" s="2853" t="s">
        <v>2910</v>
      </c>
      <c r="D31" s="2758"/>
      <c r="E31" s="2853"/>
      <c r="F31" s="2853"/>
      <c r="G31" s="2756" t="s">
        <v>2911</v>
      </c>
      <c r="H31" s="2758"/>
      <c r="I31" s="2854"/>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4"/>
      <c r="AF31" s="2784"/>
      <c r="AG31" s="2717"/>
      <c r="AH31" s="2717"/>
      <c r="AI31" s="2717"/>
      <c r="AJ31" s="2717"/>
    </row>
    <row r="32" spans="1:37" ht="24">
      <c r="A32" s="2839"/>
      <c r="B32" s="2855"/>
      <c r="C32" s="500" t="s">
        <v>2902</v>
      </c>
      <c r="D32" s="497" t="s">
        <v>2903</v>
      </c>
      <c r="E32" s="497" t="s">
        <v>2904</v>
      </c>
      <c r="F32" s="387" t="s">
        <v>2912</v>
      </c>
      <c r="G32" s="2856" t="s">
        <v>2902</v>
      </c>
      <c r="H32" s="2856" t="s">
        <v>2903</v>
      </c>
      <c r="I32" s="2856" t="s">
        <v>2904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4"/>
      <c r="AF32" s="2784"/>
      <c r="AG32" s="2717"/>
      <c r="AH32" s="2717"/>
      <c r="AI32" s="2717"/>
      <c r="AJ32" s="2717"/>
    </row>
    <row r="33" spans="1:37" ht="36" customHeight="1">
      <c r="A33" s="3271" t="s">
        <v>2913</v>
      </c>
      <c r="B33" s="2857" t="s">
        <v>2914</v>
      </c>
      <c r="C33" s="205">
        <f ca="1">ROUND(D5*C19*C20*C24*F33,0)</f>
        <v>0</v>
      </c>
      <c r="D33" s="2841"/>
      <c r="E33" s="199">
        <f ca="1">ROUND(C33*D33/10000,0)</f>
        <v>0</v>
      </c>
      <c r="F33" s="199">
        <f>SUMIF(修正!A45:A56,G2,修正!B45:B56)</f>
        <v>0.7</v>
      </c>
      <c r="G33" s="199">
        <f t="shared" ref="G33:G39" ca="1" si="6">ROUND(IF(E2="工业",C33*$M$39,C33*$M$38),0)</f>
        <v>0</v>
      </c>
      <c r="H33" s="199">
        <f>D33</f>
        <v>0</v>
      </c>
      <c r="I33" s="199">
        <f ca="1">ROUND(G33*H33/10000,0)</f>
        <v>0</v>
      </c>
      <c r="J33" s="2858"/>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2"/>
      <c r="B34" s="2762" t="s">
        <v>2915</v>
      </c>
      <c r="C34" s="205">
        <f ca="1">ROUND(D5*C19*C20*C24*F34,0)</f>
        <v>0</v>
      </c>
      <c r="D34" s="2841"/>
      <c r="E34" s="199">
        <f t="shared" ref="E34:E39" ca="1" si="7">ROUND(C34*D34/10000,0)</f>
        <v>0</v>
      </c>
      <c r="F34" s="199">
        <f>SUMIF(修正!A45:A56,G2,修正!C45:C56)</f>
        <v>0.4</v>
      </c>
      <c r="G34" s="199">
        <f t="shared" ca="1" si="6"/>
        <v>0</v>
      </c>
      <c r="H34" s="199">
        <f t="shared" ref="H34:H39" si="8">D34</f>
        <v>0</v>
      </c>
      <c r="I34" s="199">
        <f t="shared" ref="I34:I39" ca="1" si="9">ROUND(G34*H34/10000,0)</f>
        <v>0</v>
      </c>
      <c r="J34" s="2858"/>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2"/>
      <c r="B35" s="2762" t="s">
        <v>2916</v>
      </c>
      <c r="C35" s="205">
        <f ca="1">ROUND(D5*C19*C20*C24*F35,0)</f>
        <v>0</v>
      </c>
      <c r="D35" s="2841"/>
      <c r="E35" s="199">
        <f t="shared" ca="1" si="7"/>
        <v>0</v>
      </c>
      <c r="F35" s="199">
        <f>SUMIF(修正!A45:A56,G2,修正!D45:D56)</f>
        <v>0.28000000000000003</v>
      </c>
      <c r="G35" s="199">
        <f t="shared" ca="1" si="6"/>
        <v>0</v>
      </c>
      <c r="H35" s="199">
        <f t="shared" si="8"/>
        <v>0</v>
      </c>
      <c r="I35" s="199">
        <f t="shared" ca="1" si="9"/>
        <v>0</v>
      </c>
      <c r="J35" s="2858"/>
      <c r="K35" s="1371"/>
      <c r="L35" s="1371"/>
      <c r="M35" s="1371"/>
      <c r="N35" s="1371"/>
      <c r="O35" s="1371"/>
      <c r="P35" s="1371"/>
      <c r="Q35" s="1371"/>
      <c r="R35" s="1371"/>
      <c r="S35" s="1371"/>
      <c r="T35" s="1371"/>
      <c r="U35" s="1371"/>
      <c r="V35" s="1371"/>
      <c r="W35" s="1371"/>
      <c r="X35" s="1371"/>
      <c r="Y35" s="1371"/>
      <c r="Z35" s="1372"/>
    </row>
    <row r="36" spans="1:37" ht="13.5" thickBot="1">
      <c r="A36" s="3273"/>
      <c r="B36" s="2762" t="s">
        <v>2917</v>
      </c>
      <c r="C36" s="205">
        <f ca="1">ROUND(D5*C19*C20*C24*F36,0)</f>
        <v>0</v>
      </c>
      <c r="D36" s="2841"/>
      <c r="E36" s="199">
        <f t="shared" ca="1" si="7"/>
        <v>0</v>
      </c>
      <c r="F36" s="199">
        <f>SUMIF(修正!A45:A56,G2,修正!E45:E56)</f>
        <v>0.25</v>
      </c>
      <c r="G36" s="199">
        <f t="shared" ca="1" si="6"/>
        <v>0</v>
      </c>
      <c r="H36" s="199">
        <f t="shared" si="8"/>
        <v>0</v>
      </c>
      <c r="I36" s="199">
        <f t="shared" ca="1" si="9"/>
        <v>0</v>
      </c>
      <c r="J36" s="2858"/>
      <c r="K36" s="1371"/>
      <c r="L36" s="2716"/>
      <c r="M36" s="2716"/>
      <c r="N36" s="1371"/>
      <c r="O36" s="1371"/>
      <c r="P36" s="1371"/>
      <c r="Q36" s="1371"/>
      <c r="R36" s="1371"/>
      <c r="S36" s="1371"/>
      <c r="T36" s="1371"/>
      <c r="U36" s="1371"/>
      <c r="V36" s="1371"/>
      <c r="W36" s="1371"/>
      <c r="X36" s="1371"/>
      <c r="Y36" s="1371"/>
      <c r="Z36" s="1372"/>
    </row>
    <row r="37" spans="1:37">
      <c r="A37" s="2859"/>
      <c r="B37" s="2762" t="s">
        <v>2918</v>
      </c>
      <c r="C37" s="199">
        <f ca="1">ROUND(C5*C19*C20*C24*F37,0)</f>
        <v>459</v>
      </c>
      <c r="D37" s="2841"/>
      <c r="E37" s="199">
        <f t="shared" ca="1" si="7"/>
        <v>0</v>
      </c>
      <c r="F37" s="205">
        <f>SUMIF(修正!A45:A56,G2,修正!F45:F56)</f>
        <v>0.25</v>
      </c>
      <c r="G37" s="199">
        <f t="shared" ca="1" si="6"/>
        <v>115</v>
      </c>
      <c r="H37" s="199">
        <f t="shared" si="8"/>
        <v>0</v>
      </c>
      <c r="I37" s="199">
        <f t="shared" ca="1" si="9"/>
        <v>0</v>
      </c>
      <c r="J37" s="2858"/>
      <c r="K37" s="1371"/>
      <c r="L37" s="2860" t="s">
        <v>2919</v>
      </c>
      <c r="M37" s="2861"/>
      <c r="N37" s="1371"/>
      <c r="O37" s="1371"/>
      <c r="P37" s="1371"/>
      <c r="Q37" s="1371"/>
      <c r="R37" s="1371"/>
      <c r="S37" s="1371"/>
      <c r="T37" s="1371"/>
      <c r="U37" s="1371"/>
      <c r="V37" s="1371"/>
      <c r="W37" s="1371"/>
      <c r="X37" s="1371"/>
      <c r="Y37" s="1371"/>
      <c r="Z37" s="1372"/>
    </row>
    <row r="38" spans="1:37">
      <c r="A38" s="2859"/>
      <c r="B38" s="2762" t="s">
        <v>2920</v>
      </c>
      <c r="C38" s="199">
        <f ca="1">ROUND(C5*C19*C20*C24*F38,0)</f>
        <v>459</v>
      </c>
      <c r="D38" s="2841">
        <f>'数据-汇总表'!G19</f>
        <v>0</v>
      </c>
      <c r="E38" s="199">
        <f t="shared" ca="1" si="7"/>
        <v>0</v>
      </c>
      <c r="F38" s="205">
        <f>SUMIF(修正!A45:A56,G2,修正!G45:G56)</f>
        <v>0.25</v>
      </c>
      <c r="G38" s="199">
        <f t="shared" ca="1" si="6"/>
        <v>115</v>
      </c>
      <c r="H38" s="199">
        <f t="shared" si="8"/>
        <v>0</v>
      </c>
      <c r="I38" s="199">
        <f t="shared" ca="1" si="9"/>
        <v>0</v>
      </c>
      <c r="J38" s="2858"/>
      <c r="K38" s="1371"/>
      <c r="L38" s="1888" t="s">
        <v>2921</v>
      </c>
      <c r="M38" s="2862">
        <v>0.25</v>
      </c>
      <c r="N38" s="1371"/>
      <c r="O38" s="1371"/>
      <c r="P38" s="1371"/>
      <c r="Q38" s="1371"/>
      <c r="R38" s="1371"/>
      <c r="S38" s="1371"/>
      <c r="T38" s="1371"/>
      <c r="U38" s="1371"/>
      <c r="V38" s="1371"/>
      <c r="W38" s="1371"/>
      <c r="X38" s="1371"/>
      <c r="Y38" s="1371"/>
      <c r="Z38" s="1372"/>
    </row>
    <row r="39" spans="1:37" ht="13.5" thickBot="1">
      <c r="A39" s="2845"/>
      <c r="B39" s="2863" t="s">
        <v>2922</v>
      </c>
      <c r="C39" s="228">
        <f ca="1">ROUND(C5*C19*C20*C24*F39,0)</f>
        <v>367</v>
      </c>
      <c r="D39" s="2847"/>
      <c r="E39" s="228">
        <f t="shared" ca="1" si="7"/>
        <v>0</v>
      </c>
      <c r="F39" s="934">
        <f>SUMIF(修正!A45:A56,G2,修正!H45:H56)</f>
        <v>0.2</v>
      </c>
      <c r="G39" s="228" t="e">
        <f t="shared" si="6"/>
        <v>#DIV/0!</v>
      </c>
      <c r="H39" s="228">
        <f t="shared" si="8"/>
        <v>0</v>
      </c>
      <c r="I39" s="228" t="e">
        <f t="shared" si="9"/>
        <v>#DIV/0!</v>
      </c>
      <c r="J39" s="2864"/>
      <c r="K39" s="1371"/>
      <c r="L39" s="2865" t="s">
        <v>2865</v>
      </c>
      <c r="M39" s="2866">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7"/>
      <c r="Z41" s="1372"/>
      <c r="AA41" s="1372"/>
      <c r="AB41" s="1372"/>
      <c r="AC41" s="1372"/>
      <c r="AD41" s="1372"/>
      <c r="AE41" s="1372"/>
      <c r="AF41" s="1372"/>
      <c r="AG41" s="1372"/>
      <c r="AH41" s="1372"/>
      <c r="AI41" s="1372"/>
      <c r="AJ41" s="1372"/>
    </row>
    <row r="42" spans="1:37" s="1371" customFormat="1">
      <c r="A42" s="1372"/>
      <c r="B42" s="2867"/>
      <c r="Z42" s="1372"/>
      <c r="AA42" s="1372"/>
      <c r="AB42" s="1372"/>
      <c r="AC42" s="1372"/>
      <c r="AD42" s="1372"/>
      <c r="AE42" s="1372"/>
      <c r="AF42" s="1372"/>
      <c r="AG42" s="1372"/>
      <c r="AH42" s="1372"/>
      <c r="AI42" s="1372"/>
      <c r="AJ42" s="1372"/>
    </row>
    <row r="43" spans="1:37" s="1371" customFormat="1">
      <c r="A43" s="1372"/>
      <c r="B43" s="2867"/>
      <c r="Z43" s="1372"/>
      <c r="AA43" s="1372"/>
      <c r="AB43" s="1372"/>
      <c r="AC43" s="1372"/>
      <c r="AD43" s="1372"/>
      <c r="AE43" s="1372"/>
      <c r="AF43" s="1372"/>
      <c r="AG43" s="1372"/>
      <c r="AH43" s="1372"/>
      <c r="AI43" s="1372"/>
      <c r="AJ43" s="1372"/>
    </row>
    <row r="44" spans="1:37" s="1371" customFormat="1">
      <c r="A44" s="1372"/>
      <c r="B44" s="2867"/>
      <c r="Z44" s="1372"/>
      <c r="AA44" s="1372"/>
      <c r="AB44" s="1372"/>
      <c r="AC44" s="1372"/>
      <c r="AD44" s="1372"/>
      <c r="AE44" s="1372"/>
      <c r="AF44" s="1372"/>
      <c r="AG44" s="1372"/>
      <c r="AH44" s="1372"/>
      <c r="AI44" s="1372"/>
      <c r="AJ44" s="1372"/>
    </row>
    <row r="45" spans="1:37" s="1371" customFormat="1" ht="15.75" thickBot="1">
      <c r="A45" s="2868" t="s">
        <v>2923</v>
      </c>
      <c r="B45" s="2869"/>
      <c r="C45" s="7"/>
      <c r="D45" s="7"/>
      <c r="E45" s="7"/>
      <c r="F45" s="6"/>
      <c r="G45" s="6"/>
      <c r="H45" s="6"/>
      <c r="I45" s="7"/>
      <c r="J45" s="7"/>
      <c r="K45" s="7"/>
      <c r="L45" s="7"/>
      <c r="M45" s="7"/>
      <c r="N45" s="2784"/>
      <c r="Z45" s="1372"/>
      <c r="AA45" s="1372"/>
      <c r="AB45" s="1372"/>
      <c r="AC45" s="1372"/>
      <c r="AD45" s="1372"/>
      <c r="AE45" s="1372"/>
      <c r="AF45" s="1372"/>
      <c r="AG45" s="1372"/>
      <c r="AH45" s="1372"/>
      <c r="AI45" s="1372"/>
      <c r="AJ45" s="1372"/>
    </row>
    <row r="46" spans="1:37" s="1371" customFormat="1" ht="15" hidden="1">
      <c r="A46" s="2870" t="s">
        <v>2924</v>
      </c>
      <c r="B46" s="2871">
        <f>1+E48</f>
        <v>1</v>
      </c>
      <c r="C46" s="2872"/>
      <c r="D46" s="813"/>
      <c r="E46" s="814"/>
      <c r="F46" s="2873"/>
      <c r="G46" s="6"/>
      <c r="H46" s="7"/>
      <c r="I46" s="7"/>
      <c r="J46" s="7"/>
      <c r="K46" s="7"/>
      <c r="L46" s="7"/>
      <c r="M46" s="7"/>
      <c r="N46" s="2784"/>
      <c r="Z46" s="1372"/>
      <c r="AA46" s="1372"/>
      <c r="AB46" s="1372"/>
      <c r="AC46" s="1372"/>
      <c r="AD46" s="1372"/>
      <c r="AE46" s="1372"/>
      <c r="AF46" s="1372"/>
      <c r="AG46" s="1372"/>
      <c r="AH46" s="1372"/>
      <c r="AI46" s="1372"/>
      <c r="AJ46" s="1372"/>
    </row>
    <row r="47" spans="1:37" s="1371" customFormat="1" ht="24.75" hidden="1">
      <c r="A47" s="2874" t="s">
        <v>2925</v>
      </c>
      <c r="B47" s="1810" t="s">
        <v>2926</v>
      </c>
      <c r="C47" s="1810" t="s">
        <v>2927</v>
      </c>
      <c r="D47" s="1810" t="s">
        <v>2928</v>
      </c>
      <c r="E47" s="818" t="s">
        <v>2929</v>
      </c>
      <c r="F47" s="2875" t="s">
        <v>2930</v>
      </c>
      <c r="G47" s="1810" t="s">
        <v>754</v>
      </c>
      <c r="H47" s="2876" t="s">
        <v>2931</v>
      </c>
      <c r="I47" s="1810" t="s">
        <v>2932</v>
      </c>
      <c r="J47" s="602" t="s">
        <v>2582</v>
      </c>
      <c r="K47" s="602" t="s">
        <v>2583</v>
      </c>
      <c r="L47" s="602" t="s">
        <v>2584</v>
      </c>
      <c r="M47" s="602" t="s">
        <v>2585</v>
      </c>
      <c r="N47" s="602" t="s">
        <v>2586</v>
      </c>
      <c r="AA47" s="1372"/>
      <c r="AB47" s="1372"/>
      <c r="AC47" s="1372"/>
      <c r="AD47" s="1372"/>
      <c r="AE47" s="1372"/>
      <c r="AF47" s="1372"/>
      <c r="AG47" s="1372"/>
      <c r="AH47" s="1372"/>
      <c r="AI47" s="1372"/>
      <c r="AJ47" s="1372"/>
      <c r="AK47" s="1372"/>
    </row>
    <row r="48" spans="1:37" s="1371" customFormat="1" ht="24.75" hidden="1">
      <c r="A48" s="2874" t="s">
        <v>2933</v>
      </c>
      <c r="B48" s="2877">
        <f>估价对象房地状况!C4</f>
        <v>0</v>
      </c>
      <c r="C48" s="2767"/>
      <c r="D48" s="1287">
        <f t="shared" ref="D48:D56" si="10">SUMIF($J$47:$N$47,C48,J48:N48)</f>
        <v>0</v>
      </c>
      <c r="E48" s="820">
        <f>ROUND(SUM(D48:D56),4)</f>
        <v>0</v>
      </c>
      <c r="F48" s="2498"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hidden="1">
      <c r="A49" s="2874" t="s">
        <v>2934</v>
      </c>
      <c r="B49" s="2878">
        <f>估价对象房地状况!C18</f>
        <v>0</v>
      </c>
      <c r="C49" s="2767"/>
      <c r="D49" s="1287">
        <f t="shared" si="10"/>
        <v>0</v>
      </c>
      <c r="E49" s="821"/>
      <c r="F49" s="2498"/>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hidden="1">
      <c r="A50" s="2874" t="s">
        <v>2935</v>
      </c>
      <c r="B50" s="2878">
        <f>估价对象房地状况!C19</f>
        <v>0</v>
      </c>
      <c r="C50" s="2767"/>
      <c r="D50" s="1287">
        <f t="shared" si="10"/>
        <v>0</v>
      </c>
      <c r="E50" s="821"/>
      <c r="F50" s="2498"/>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hidden="1">
      <c r="A51" s="2874" t="s">
        <v>2936</v>
      </c>
      <c r="B51" s="2879" t="s">
        <v>2937</v>
      </c>
      <c r="C51" s="2767"/>
      <c r="D51" s="1287">
        <f t="shared" si="10"/>
        <v>0</v>
      </c>
      <c r="E51" s="821"/>
      <c r="F51" s="2498"/>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hidden="1">
      <c r="A52" s="2874" t="s">
        <v>2938</v>
      </c>
      <c r="B52" s="2878">
        <f>估价对象房地状况!C24</f>
        <v>0</v>
      </c>
      <c r="C52" s="2767"/>
      <c r="D52" s="1287">
        <f t="shared" si="10"/>
        <v>0</v>
      </c>
      <c r="E52" s="821"/>
      <c r="F52" s="2498"/>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hidden="1">
      <c r="A53" s="2874" t="s">
        <v>2939</v>
      </c>
      <c r="B53" s="2880" t="s">
        <v>2940</v>
      </c>
      <c r="C53" s="2767"/>
      <c r="D53" s="1287">
        <f t="shared" si="10"/>
        <v>0</v>
      </c>
      <c r="E53" s="821"/>
      <c r="F53" s="2498"/>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hidden="1">
      <c r="A54" s="2881" t="s">
        <v>2941</v>
      </c>
      <c r="B54" s="1726">
        <f>估价对象房地状况!C21</f>
        <v>0</v>
      </c>
      <c r="C54" s="2767"/>
      <c r="D54" s="1287">
        <f t="shared" si="10"/>
        <v>0</v>
      </c>
      <c r="E54" s="821"/>
      <c r="F54" s="2498"/>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hidden="1">
      <c r="A55" s="2881" t="s">
        <v>2942</v>
      </c>
      <c r="B55" s="2878">
        <f>估价对象房地状况!C22</f>
        <v>0</v>
      </c>
      <c r="C55" s="2767"/>
      <c r="D55" s="1287">
        <f t="shared" si="10"/>
        <v>0</v>
      </c>
      <c r="E55" s="821"/>
      <c r="F55" s="2498"/>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hidden="1" thickBot="1">
      <c r="A56" s="2882" t="s">
        <v>2943</v>
      </c>
      <c r="B56" s="2883">
        <f>估价对象房地状况!C20</f>
        <v>0</v>
      </c>
      <c r="C56" s="2767"/>
      <c r="D56" s="1287">
        <f t="shared" si="10"/>
        <v>0</v>
      </c>
      <c r="E56" s="824"/>
      <c r="F56" s="2498"/>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hidden="1">
      <c r="A57" s="2870" t="s">
        <v>2944</v>
      </c>
      <c r="B57" s="2871">
        <f>1+E59</f>
        <v>1</v>
      </c>
      <c r="C57" s="813"/>
      <c r="D57" s="813"/>
      <c r="E57" s="814"/>
      <c r="F57" s="2873"/>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hidden="1">
      <c r="A58" s="2874" t="s">
        <v>2925</v>
      </c>
      <c r="B58" s="1810"/>
      <c r="C58" s="1810" t="s">
        <v>2927</v>
      </c>
      <c r="D58" s="1810" t="s">
        <v>2928</v>
      </c>
      <c r="E58" s="818" t="s">
        <v>2929</v>
      </c>
      <c r="F58" s="2875" t="s">
        <v>2945</v>
      </c>
      <c r="G58" s="1810" t="s">
        <v>754</v>
      </c>
      <c r="H58" s="2876" t="s">
        <v>2931</v>
      </c>
      <c r="I58" s="1810" t="s">
        <v>2932</v>
      </c>
      <c r="J58" s="602" t="s">
        <v>2582</v>
      </c>
      <c r="K58" s="602" t="s">
        <v>2583</v>
      </c>
      <c r="L58" s="602" t="s">
        <v>2584</v>
      </c>
      <c r="M58" s="602" t="s">
        <v>2585</v>
      </c>
      <c r="N58" s="602" t="s">
        <v>2586</v>
      </c>
      <c r="AA58" s="1372"/>
      <c r="AB58" s="1372"/>
      <c r="AC58" s="1372"/>
      <c r="AD58" s="1372"/>
      <c r="AE58" s="1372"/>
      <c r="AF58" s="1372"/>
      <c r="AG58" s="1372"/>
      <c r="AH58" s="1372"/>
      <c r="AI58" s="1372"/>
      <c r="AJ58" s="1372"/>
      <c r="AK58" s="1372"/>
    </row>
    <row r="59" spans="1:37" s="1371" customFormat="1" ht="24" hidden="1">
      <c r="A59" s="2874" t="s">
        <v>2946</v>
      </c>
      <c r="B59" s="2877">
        <f>估价对象房地状况!C17</f>
        <v>0</v>
      </c>
      <c r="C59" s="2767"/>
      <c r="D59" s="1287">
        <f t="shared" ref="D59:D67" si="15">SUMIF($J$58:$N$58,C59,J59:N59)</f>
        <v>0</v>
      </c>
      <c r="E59" s="820">
        <f>ROUND(SUM(D59:D67),4)</f>
        <v>0</v>
      </c>
      <c r="F59" s="2498"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hidden="1">
      <c r="A60" s="2874" t="s">
        <v>2934</v>
      </c>
      <c r="B60" s="2878">
        <f>估价对象房地状况!C18</f>
        <v>0</v>
      </c>
      <c r="C60" s="2767"/>
      <c r="D60" s="1287">
        <f t="shared" si="15"/>
        <v>0</v>
      </c>
      <c r="E60" s="821"/>
      <c r="F60" s="2498"/>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hidden="1">
      <c r="A61" s="2874" t="s">
        <v>2935</v>
      </c>
      <c r="B61" s="2878">
        <f>估价对象房地状况!C19</f>
        <v>0</v>
      </c>
      <c r="C61" s="2767"/>
      <c r="D61" s="1287">
        <f t="shared" si="15"/>
        <v>0</v>
      </c>
      <c r="E61" s="821"/>
      <c r="F61" s="2498"/>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hidden="1">
      <c r="A62" s="2874" t="s">
        <v>2936</v>
      </c>
      <c r="B62" s="2879" t="s">
        <v>2937</v>
      </c>
      <c r="C62" s="2767"/>
      <c r="D62" s="1287">
        <f t="shared" si="15"/>
        <v>0</v>
      </c>
      <c r="E62" s="821"/>
      <c r="F62" s="2498"/>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hidden="1">
      <c r="A63" s="2874" t="s">
        <v>2938</v>
      </c>
      <c r="B63" s="2878">
        <f>估价对象房地状况!C24</f>
        <v>0</v>
      </c>
      <c r="C63" s="2767"/>
      <c r="D63" s="1287">
        <f t="shared" si="15"/>
        <v>0</v>
      </c>
      <c r="E63" s="821"/>
      <c r="F63" s="2498"/>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hidden="1">
      <c r="A64" s="2874" t="s">
        <v>2939</v>
      </c>
      <c r="B64" s="2880" t="s">
        <v>2940</v>
      </c>
      <c r="C64" s="2767"/>
      <c r="D64" s="1287">
        <f t="shared" si="15"/>
        <v>0</v>
      </c>
      <c r="E64" s="821"/>
      <c r="F64" s="2498"/>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hidden="1">
      <c r="A65" s="2874" t="s">
        <v>2941</v>
      </c>
      <c r="B65" s="1726">
        <f>估价对象房地状况!C21</f>
        <v>0</v>
      </c>
      <c r="C65" s="2767"/>
      <c r="D65" s="1287">
        <f t="shared" si="15"/>
        <v>0</v>
      </c>
      <c r="E65" s="821"/>
      <c r="F65" s="2498"/>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hidden="1">
      <c r="A66" s="2874" t="s">
        <v>2942</v>
      </c>
      <c r="B66" s="1726">
        <f>估价对象房地状况!C22</f>
        <v>0</v>
      </c>
      <c r="C66" s="2767"/>
      <c r="D66" s="1287">
        <f t="shared" si="15"/>
        <v>0</v>
      </c>
      <c r="E66" s="821"/>
      <c r="F66" s="2498"/>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hidden="1" thickBot="1">
      <c r="A67" s="2882" t="s">
        <v>2943</v>
      </c>
      <c r="B67" s="2884">
        <f>估价对象房地状况!C20</f>
        <v>0</v>
      </c>
      <c r="C67" s="2767"/>
      <c r="D67" s="1287">
        <f t="shared" si="15"/>
        <v>0</v>
      </c>
      <c r="E67" s="824"/>
      <c r="F67" s="2498"/>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hidden="1">
      <c r="A68" s="2870" t="s">
        <v>2947</v>
      </c>
      <c r="B68" s="2871">
        <f>1+E70</f>
        <v>1</v>
      </c>
      <c r="C68" s="813"/>
      <c r="D68" s="813"/>
      <c r="E68" s="814"/>
      <c r="F68" s="2873"/>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hidden="1">
      <c r="A69" s="2874" t="s">
        <v>2925</v>
      </c>
      <c r="B69" s="1810"/>
      <c r="C69" s="1810" t="s">
        <v>2927</v>
      </c>
      <c r="D69" s="1810" t="s">
        <v>2928</v>
      </c>
      <c r="E69" s="818" t="s">
        <v>2929</v>
      </c>
      <c r="F69" s="2875" t="s">
        <v>2945</v>
      </c>
      <c r="G69" s="1810" t="s">
        <v>754</v>
      </c>
      <c r="H69" s="2876" t="s">
        <v>2931</v>
      </c>
      <c r="I69" s="1810" t="s">
        <v>2932</v>
      </c>
      <c r="J69" s="602" t="s">
        <v>2582</v>
      </c>
      <c r="K69" s="602" t="s">
        <v>2583</v>
      </c>
      <c r="L69" s="602" t="s">
        <v>2584</v>
      </c>
      <c r="M69" s="602" t="s">
        <v>2585</v>
      </c>
      <c r="N69" s="602" t="s">
        <v>2586</v>
      </c>
      <c r="AA69" s="1372"/>
      <c r="AB69" s="1372"/>
      <c r="AC69" s="1372"/>
      <c r="AD69" s="1372"/>
      <c r="AE69" s="1372"/>
      <c r="AF69" s="1372"/>
      <c r="AG69" s="1372"/>
      <c r="AH69" s="1372"/>
      <c r="AI69" s="1372"/>
      <c r="AJ69" s="1372"/>
      <c r="AK69" s="1372"/>
    </row>
    <row r="70" spans="1:37" s="1371" customFormat="1" ht="24" hidden="1">
      <c r="A70" s="2874" t="s">
        <v>2948</v>
      </c>
      <c r="B70" s="2877">
        <f>估价对象房地状况!C15</f>
        <v>0</v>
      </c>
      <c r="C70" s="2767"/>
      <c r="D70" s="1287">
        <f t="shared" ref="D70:D78" si="20">SUMIF($J$69:$N$69,C70,J70:N70)</f>
        <v>0</v>
      </c>
      <c r="E70" s="820">
        <f>ROUND(SUM(D70:D78),4)</f>
        <v>0</v>
      </c>
      <c r="F70" s="2498"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hidden="1">
      <c r="A71" s="2874" t="s">
        <v>2934</v>
      </c>
      <c r="B71" s="2878">
        <f>估价对象房地状况!C18</f>
        <v>0</v>
      </c>
      <c r="C71" s="2767"/>
      <c r="D71" s="1287">
        <f t="shared" si="20"/>
        <v>0</v>
      </c>
      <c r="E71" s="825"/>
      <c r="F71" s="2498"/>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hidden="1">
      <c r="A72" s="2874" t="s">
        <v>2935</v>
      </c>
      <c r="B72" s="2878">
        <f>估价对象房地状况!C19</f>
        <v>0</v>
      </c>
      <c r="C72" s="2767"/>
      <c r="D72" s="1287">
        <f t="shared" si="20"/>
        <v>0</v>
      </c>
      <c r="E72" s="825"/>
      <c r="F72" s="2498"/>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hidden="1">
      <c r="A73" s="2874" t="s">
        <v>2949</v>
      </c>
      <c r="B73" s="2878">
        <f>估价对象房地状况!C24</f>
        <v>0</v>
      </c>
      <c r="C73" s="2767"/>
      <c r="D73" s="1287">
        <f t="shared" si="20"/>
        <v>0</v>
      </c>
      <c r="E73" s="825"/>
      <c r="F73" s="2498"/>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hidden="1">
      <c r="A74" s="2874" t="s">
        <v>2941</v>
      </c>
      <c r="B74" s="1726">
        <f>估价对象房地状况!C21</f>
        <v>0</v>
      </c>
      <c r="C74" s="2767"/>
      <c r="D74" s="1287">
        <f t="shared" si="20"/>
        <v>0</v>
      </c>
      <c r="E74" s="825"/>
      <c r="F74" s="2498"/>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hidden="1">
      <c r="A75" s="2874" t="s">
        <v>2942</v>
      </c>
      <c r="B75" s="1726">
        <f>估价对象房地状况!C22</f>
        <v>0</v>
      </c>
      <c r="C75" s="2767"/>
      <c r="D75" s="1287">
        <f t="shared" si="20"/>
        <v>0</v>
      </c>
      <c r="E75" s="825"/>
      <c r="F75" s="2498"/>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hidden="1">
      <c r="A76" s="2874" t="s">
        <v>2939</v>
      </c>
      <c r="B76" s="2880" t="s">
        <v>2940</v>
      </c>
      <c r="C76" s="2767"/>
      <c r="D76" s="1287">
        <f t="shared" si="20"/>
        <v>0</v>
      </c>
      <c r="E76" s="825"/>
      <c r="F76" s="2498"/>
      <c r="G76" s="1285"/>
      <c r="H76" s="1289" t="str">
        <f t="shared" si="21"/>
        <v>——</v>
      </c>
      <c r="I76" s="819">
        <v>0.05</v>
      </c>
      <c r="J76" s="1286">
        <f t="shared" si="22"/>
        <v>0</v>
      </c>
      <c r="K76" s="1286">
        <f t="shared" si="23"/>
        <v>0</v>
      </c>
      <c r="L76" s="1286">
        <v>0</v>
      </c>
      <c r="M76" s="1286">
        <f t="shared" si="24"/>
        <v>0</v>
      </c>
      <c r="N76" s="1286">
        <f t="shared" si="24"/>
        <v>0</v>
      </c>
      <c r="AA76" s="2885"/>
      <c r="AB76" s="1372"/>
      <c r="AC76" s="1372"/>
      <c r="AD76" s="1372"/>
      <c r="AE76" s="1372"/>
      <c r="AF76" s="1372"/>
      <c r="AG76" s="1372"/>
      <c r="AH76" s="2885"/>
      <c r="AI76" s="2885"/>
      <c r="AJ76" s="2885"/>
      <c r="AK76" s="2885"/>
    </row>
    <row r="77" spans="1:37" ht="24" hidden="1">
      <c r="A77" s="2874" t="s">
        <v>2943</v>
      </c>
      <c r="B77" s="2877">
        <f>估价对象房地状况!C20</f>
        <v>0</v>
      </c>
      <c r="C77" s="2767"/>
      <c r="D77" s="1287">
        <f t="shared" si="20"/>
        <v>0</v>
      </c>
      <c r="E77" s="825"/>
      <c r="F77" s="2498"/>
      <c r="G77" s="1285"/>
      <c r="H77" s="1289" t="str">
        <f t="shared" si="21"/>
        <v>——</v>
      </c>
      <c r="I77" s="819">
        <v>0.15</v>
      </c>
      <c r="J77" s="1286">
        <f t="shared" si="22"/>
        <v>0</v>
      </c>
      <c r="K77" s="1286">
        <f t="shared" si="23"/>
        <v>0</v>
      </c>
      <c r="L77" s="1286">
        <v>0</v>
      </c>
      <c r="M77" s="1286">
        <f t="shared" si="24"/>
        <v>0</v>
      </c>
      <c r="N77" s="1286">
        <f t="shared" si="24"/>
        <v>0</v>
      </c>
      <c r="Z77" s="2717"/>
      <c r="AA77" s="2792"/>
      <c r="AG77" s="1373"/>
      <c r="AK77" s="2792"/>
    </row>
    <row r="78" spans="1:37" ht="24.75" hidden="1" thickBot="1">
      <c r="A78" s="2882" t="s">
        <v>2950</v>
      </c>
      <c r="B78" s="2886"/>
      <c r="C78" s="2767"/>
      <c r="D78" s="1287">
        <f t="shared" si="20"/>
        <v>0</v>
      </c>
      <c r="E78" s="826"/>
      <c r="F78" s="2498"/>
      <c r="G78" s="1285"/>
      <c r="H78" s="1289" t="str">
        <f t="shared" si="21"/>
        <v>——</v>
      </c>
      <c r="I78" s="823">
        <v>0.04</v>
      </c>
      <c r="J78" s="1286">
        <f t="shared" si="22"/>
        <v>0</v>
      </c>
      <c r="K78" s="1286">
        <f t="shared" si="23"/>
        <v>0</v>
      </c>
      <c r="L78" s="1286">
        <v>0</v>
      </c>
      <c r="M78" s="1286">
        <f t="shared" si="24"/>
        <v>0</v>
      </c>
      <c r="N78" s="1286">
        <f t="shared" si="24"/>
        <v>0</v>
      </c>
      <c r="Z78" s="2717"/>
      <c r="AA78" s="2792"/>
      <c r="AG78" s="1373"/>
      <c r="AK78" s="2792"/>
    </row>
    <row r="79" spans="1:37" ht="15">
      <c r="A79" s="2870" t="s">
        <v>2951</v>
      </c>
      <c r="B79" s="2871">
        <f>1+E81</f>
        <v>1.0605</v>
      </c>
      <c r="C79" s="813"/>
      <c r="D79" s="813"/>
      <c r="E79" s="814"/>
      <c r="F79" s="2873"/>
      <c r="G79" s="6"/>
      <c r="H79" s="6"/>
      <c r="I79" s="6"/>
      <c r="J79" s="7"/>
      <c r="K79" s="7"/>
      <c r="L79" s="7"/>
      <c r="M79" s="7"/>
      <c r="N79" s="7"/>
      <c r="Z79" s="2717"/>
      <c r="AA79" s="2792"/>
      <c r="AG79" s="1373"/>
      <c r="AK79" s="2792"/>
    </row>
    <row r="80" spans="1:37" ht="24.75">
      <c r="A80" s="2874" t="s">
        <v>2925</v>
      </c>
      <c r="B80" s="1810"/>
      <c r="C80" s="1810" t="s">
        <v>2927</v>
      </c>
      <c r="D80" s="1810" t="s">
        <v>2928</v>
      </c>
      <c r="E80" s="818" t="s">
        <v>2929</v>
      </c>
      <c r="F80" s="2875" t="s">
        <v>2945</v>
      </c>
      <c r="G80" s="1810" t="s">
        <v>754</v>
      </c>
      <c r="H80" s="2876" t="s">
        <v>2931</v>
      </c>
      <c r="I80" s="1810" t="s">
        <v>2932</v>
      </c>
      <c r="J80" s="602" t="s">
        <v>2582</v>
      </c>
      <c r="K80" s="602" t="s">
        <v>2583</v>
      </c>
      <c r="L80" s="602" t="s">
        <v>2584</v>
      </c>
      <c r="M80" s="602" t="s">
        <v>2585</v>
      </c>
      <c r="N80" s="602" t="s">
        <v>2586</v>
      </c>
      <c r="Z80" s="2717"/>
      <c r="AA80" s="2792"/>
      <c r="AG80" s="1373"/>
      <c r="AK80" s="2792"/>
    </row>
    <row r="81" spans="1:37" ht="24">
      <c r="A81" s="2874" t="s">
        <v>2952</v>
      </c>
      <c r="B81" s="2878" t="str">
        <f>估价对象房地状况!G15</f>
        <v>较好</v>
      </c>
      <c r="C81" s="2767" t="s">
        <v>3229</v>
      </c>
      <c r="D81" s="1287">
        <f t="shared" ref="D81:D88" si="25">SUMIF($J$80:$N$80,C81,J81:N81)</f>
        <v>1.4999999999999999E-2</v>
      </c>
      <c r="E81" s="820">
        <f>ROUND(SUM(D81:D88),4)</f>
        <v>6.0499999999999998E-2</v>
      </c>
      <c r="F81" s="2498">
        <f>IF(E2="工业",SUMIF(L1:L12,G2,N1:N12),"——")</f>
        <v>0.13</v>
      </c>
      <c r="G81" s="1285">
        <v>1.4999999999999999E-2</v>
      </c>
      <c r="H81" s="1289">
        <f t="shared" ref="H81:H88" si="26">IFERROR(ROUNDDOWN($F$81*I81/2,4),"——")</f>
        <v>1.6899999999999998E-2</v>
      </c>
      <c r="I81" s="819">
        <v>0.26</v>
      </c>
      <c r="J81" s="1286">
        <f t="shared" ref="J81:J88" si="27">K81+$G81</f>
        <v>0.03</v>
      </c>
      <c r="K81" s="1286">
        <f t="shared" ref="K81:K88" si="28">$L81+$G81</f>
        <v>1.4999999999999999E-2</v>
      </c>
      <c r="L81" s="1286">
        <v>0</v>
      </c>
      <c r="M81" s="1286">
        <f t="shared" ref="M81:N88" si="29">L81-$G81</f>
        <v>-1.4999999999999999E-2</v>
      </c>
      <c r="N81" s="1286">
        <f t="shared" si="29"/>
        <v>-0.03</v>
      </c>
      <c r="Z81" s="2717"/>
      <c r="AA81" s="2792"/>
      <c r="AG81" s="1373"/>
      <c r="AK81" s="2792"/>
    </row>
    <row r="82" spans="1:37" ht="14.25">
      <c r="A82" s="2874" t="s">
        <v>2934</v>
      </c>
      <c r="B82" s="2878" t="str">
        <f>估价对象房地状况!G16</f>
        <v>较好</v>
      </c>
      <c r="C82" s="2767" t="s">
        <v>3229</v>
      </c>
      <c r="D82" s="1287">
        <f t="shared" si="25"/>
        <v>0.02</v>
      </c>
      <c r="E82" s="825"/>
      <c r="F82" s="2498"/>
      <c r="G82" s="1285">
        <v>0.02</v>
      </c>
      <c r="H82" s="1289">
        <f t="shared" si="26"/>
        <v>2.1399999999999999E-2</v>
      </c>
      <c r="I82" s="819">
        <v>0.33</v>
      </c>
      <c r="J82" s="1286">
        <f t="shared" si="27"/>
        <v>0.04</v>
      </c>
      <c r="K82" s="1286">
        <f t="shared" si="28"/>
        <v>0.02</v>
      </c>
      <c r="L82" s="1286">
        <v>0</v>
      </c>
      <c r="M82" s="1286">
        <f t="shared" si="29"/>
        <v>-0.02</v>
      </c>
      <c r="N82" s="1286">
        <f t="shared" si="29"/>
        <v>-0.04</v>
      </c>
      <c r="Z82" s="2717"/>
      <c r="AA82" s="2792"/>
      <c r="AG82" s="1373"/>
      <c r="AK82" s="2792"/>
    </row>
    <row r="83" spans="1:37" ht="24">
      <c r="A83" s="2874" t="s">
        <v>2935</v>
      </c>
      <c r="B83" s="2878">
        <f>估价对象房地状况!G17</f>
        <v>0</v>
      </c>
      <c r="C83" s="2767" t="s">
        <v>3229</v>
      </c>
      <c r="D83" s="1287">
        <f t="shared" si="25"/>
        <v>3.0000000000000001E-3</v>
      </c>
      <c r="E83" s="825"/>
      <c r="F83" s="2498"/>
      <c r="G83" s="1285">
        <v>3.0000000000000001E-3</v>
      </c>
      <c r="H83" s="1289">
        <f t="shared" si="26"/>
        <v>3.2000000000000002E-3</v>
      </c>
      <c r="I83" s="819">
        <v>0.05</v>
      </c>
      <c r="J83" s="1286">
        <f t="shared" si="27"/>
        <v>6.0000000000000001E-3</v>
      </c>
      <c r="K83" s="1286">
        <f t="shared" si="28"/>
        <v>3.0000000000000001E-3</v>
      </c>
      <c r="L83" s="1286">
        <v>0</v>
      </c>
      <c r="M83" s="1286">
        <f t="shared" si="29"/>
        <v>-3.0000000000000001E-3</v>
      </c>
      <c r="N83" s="1286">
        <f t="shared" si="29"/>
        <v>-6.0000000000000001E-3</v>
      </c>
      <c r="Z83" s="2717"/>
      <c r="AA83" s="2792"/>
      <c r="AG83" s="1373"/>
      <c r="AK83" s="2792"/>
    </row>
    <row r="84" spans="1:37" ht="14.25">
      <c r="A84" s="2874" t="s">
        <v>2949</v>
      </c>
      <c r="B84" s="2878">
        <f>估价对象房地状况!G22</f>
        <v>0</v>
      </c>
      <c r="C84" s="2767" t="s">
        <v>3230</v>
      </c>
      <c r="D84" s="1287">
        <f t="shared" si="25"/>
        <v>0</v>
      </c>
      <c r="E84" s="825"/>
      <c r="F84" s="2498"/>
      <c r="G84" s="1285">
        <v>2.5000000000000001E-3</v>
      </c>
      <c r="H84" s="1289">
        <f t="shared" si="26"/>
        <v>2.5999999999999999E-3</v>
      </c>
      <c r="I84" s="819">
        <v>0.04</v>
      </c>
      <c r="J84" s="1286">
        <f t="shared" si="27"/>
        <v>5.0000000000000001E-3</v>
      </c>
      <c r="K84" s="1286">
        <f t="shared" si="28"/>
        <v>2.5000000000000001E-3</v>
      </c>
      <c r="L84" s="1286">
        <v>0</v>
      </c>
      <c r="M84" s="1286">
        <f t="shared" si="29"/>
        <v>-2.5000000000000001E-3</v>
      </c>
      <c r="N84" s="1286">
        <f t="shared" si="29"/>
        <v>-5.0000000000000001E-3</v>
      </c>
      <c r="Z84" s="2717"/>
      <c r="AA84" s="2792"/>
      <c r="AG84" s="1373"/>
      <c r="AK84" s="2792"/>
    </row>
    <row r="85" spans="1:37" ht="24">
      <c r="A85" s="2874" t="s">
        <v>2941</v>
      </c>
      <c r="B85" s="1726" t="str">
        <f>估价对象房地状况!G19</f>
        <v>较好</v>
      </c>
      <c r="C85" s="2767" t="s">
        <v>3229</v>
      </c>
      <c r="D85" s="1287">
        <f t="shared" si="25"/>
        <v>3.5000000000000001E-3</v>
      </c>
      <c r="E85" s="825"/>
      <c r="F85" s="2498"/>
      <c r="G85" s="1285">
        <v>3.5000000000000001E-3</v>
      </c>
      <c r="H85" s="1289">
        <f t="shared" si="26"/>
        <v>3.8999999999999998E-3</v>
      </c>
      <c r="I85" s="819">
        <v>0.06</v>
      </c>
      <c r="J85" s="1286">
        <f t="shared" si="27"/>
        <v>7.0000000000000001E-3</v>
      </c>
      <c r="K85" s="1286">
        <f t="shared" si="28"/>
        <v>3.5000000000000001E-3</v>
      </c>
      <c r="L85" s="1286">
        <v>0</v>
      </c>
      <c r="M85" s="1286">
        <f t="shared" si="29"/>
        <v>-3.5000000000000001E-3</v>
      </c>
      <c r="N85" s="1286">
        <f t="shared" si="29"/>
        <v>-7.0000000000000001E-3</v>
      </c>
      <c r="Z85" s="2717"/>
      <c r="AA85" s="2792"/>
      <c r="AG85" s="1373"/>
      <c r="AK85" s="2792"/>
    </row>
    <row r="86" spans="1:37" ht="24">
      <c r="A86" s="2874" t="s">
        <v>2942</v>
      </c>
      <c r="B86" s="1726" t="str">
        <f>估价对象房地状况!G20</f>
        <v>七通</v>
      </c>
      <c r="C86" s="2767" t="s">
        <v>3269</v>
      </c>
      <c r="D86" s="1287">
        <f t="shared" si="25"/>
        <v>1.9E-2</v>
      </c>
      <c r="E86" s="825"/>
      <c r="F86" s="2498"/>
      <c r="G86" s="1285">
        <v>9.4999999999999998E-3</v>
      </c>
      <c r="H86" s="1289">
        <f t="shared" si="26"/>
        <v>9.7000000000000003E-3</v>
      </c>
      <c r="I86" s="819">
        <v>0.15</v>
      </c>
      <c r="J86" s="1286">
        <f t="shared" si="27"/>
        <v>1.9E-2</v>
      </c>
      <c r="K86" s="1286">
        <f t="shared" si="28"/>
        <v>9.4999999999999998E-3</v>
      </c>
      <c r="L86" s="1286">
        <v>0</v>
      </c>
      <c r="M86" s="1286">
        <f t="shared" si="29"/>
        <v>-9.4999999999999998E-3</v>
      </c>
      <c r="N86" s="1286">
        <f t="shared" si="29"/>
        <v>-1.9E-2</v>
      </c>
      <c r="Z86" s="2717"/>
      <c r="AA86" s="2792"/>
      <c r="AG86" s="1373"/>
      <c r="AK86" s="2792"/>
    </row>
    <row r="87" spans="1:37" ht="24">
      <c r="A87" s="2874" t="s">
        <v>2939</v>
      </c>
      <c r="B87" s="2880" t="s">
        <v>2953</v>
      </c>
      <c r="C87" s="2767" t="s">
        <v>3230</v>
      </c>
      <c r="D87" s="1287">
        <f t="shared" si="25"/>
        <v>0</v>
      </c>
      <c r="E87" s="825"/>
      <c r="F87" s="2498"/>
      <c r="G87" s="1285">
        <v>3.0000000000000001E-3</v>
      </c>
      <c r="H87" s="1289">
        <f t="shared" si="26"/>
        <v>3.2000000000000002E-3</v>
      </c>
      <c r="I87" s="819">
        <v>0.05</v>
      </c>
      <c r="J87" s="1286">
        <f t="shared" si="27"/>
        <v>6.0000000000000001E-3</v>
      </c>
      <c r="K87" s="1286">
        <f t="shared" si="28"/>
        <v>3.0000000000000001E-3</v>
      </c>
      <c r="L87" s="1286">
        <v>0</v>
      </c>
      <c r="M87" s="1286">
        <f t="shared" si="29"/>
        <v>-3.0000000000000001E-3</v>
      </c>
      <c r="N87" s="1286">
        <f t="shared" si="29"/>
        <v>-6.0000000000000001E-3</v>
      </c>
      <c r="Z87" s="2717"/>
      <c r="AA87" s="2792"/>
      <c r="AG87" s="1373"/>
      <c r="AK87" s="2792"/>
    </row>
    <row r="88" spans="1:37" ht="15" thickBot="1">
      <c r="A88" s="2882" t="s">
        <v>2954</v>
      </c>
      <c r="B88" s="2887" t="str">
        <f>估价对象房地状况!G18</f>
        <v>一般</v>
      </c>
      <c r="C88" s="2767" t="s">
        <v>3230</v>
      </c>
      <c r="D88" s="1287">
        <f t="shared" si="25"/>
        <v>0</v>
      </c>
      <c r="E88" s="826"/>
      <c r="F88" s="2498"/>
      <c r="G88" s="1285">
        <v>3.5000000000000001E-3</v>
      </c>
      <c r="H88" s="1289">
        <f t="shared" si="26"/>
        <v>3.8999999999999998E-3</v>
      </c>
      <c r="I88" s="823">
        <v>0.06</v>
      </c>
      <c r="J88" s="1286">
        <f t="shared" si="27"/>
        <v>7.0000000000000001E-3</v>
      </c>
      <c r="K88" s="1286">
        <f t="shared" si="28"/>
        <v>3.5000000000000001E-3</v>
      </c>
      <c r="L88" s="1286">
        <v>0</v>
      </c>
      <c r="M88" s="1286">
        <f t="shared" si="29"/>
        <v>-3.5000000000000001E-3</v>
      </c>
      <c r="N88" s="1286">
        <f t="shared" si="29"/>
        <v>-7.0000000000000001E-3</v>
      </c>
      <c r="Z88" s="2717"/>
      <c r="AA88" s="2792"/>
      <c r="AG88" s="1373"/>
      <c r="AK88" s="2792"/>
    </row>
    <row r="90" spans="1:37">
      <c r="A90" s="3265" t="s">
        <v>2955</v>
      </c>
      <c r="B90" s="3265"/>
      <c r="C90" s="3265"/>
      <c r="D90" s="3265"/>
      <c r="E90" s="3265"/>
      <c r="F90" s="3265"/>
      <c r="G90" s="3265"/>
      <c r="H90" s="3265"/>
      <c r="I90" s="3265"/>
      <c r="J90" s="3265"/>
      <c r="K90" s="2888"/>
      <c r="L90" s="2888"/>
      <c r="M90" s="2888"/>
      <c r="N90" s="2888"/>
    </row>
    <row r="91" spans="1:37">
      <c r="A91" s="3267" t="s">
        <v>2956</v>
      </c>
      <c r="B91" s="3267" t="s">
        <v>2957</v>
      </c>
      <c r="C91" s="2842" t="s">
        <v>2958</v>
      </c>
      <c r="D91" s="2843"/>
      <c r="E91" s="2843"/>
      <c r="F91" s="2843"/>
      <c r="G91" s="2843"/>
      <c r="H91" s="2843"/>
      <c r="I91" s="2843"/>
      <c r="J91" s="2889"/>
      <c r="K91" s="2890"/>
      <c r="L91" s="2890"/>
      <c r="M91" s="2890"/>
      <c r="N91" s="2890"/>
    </row>
    <row r="92" spans="1:37">
      <c r="A92" s="3267"/>
      <c r="B92" s="3267"/>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68" t="s">
        <v>2959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6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6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6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6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6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69"/>
      <c r="B99" s="2891" t="s">
        <v>2840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68" t="s">
        <v>2960</v>
      </c>
      <c r="B101" s="2895" t="s">
        <v>2961</v>
      </c>
      <c r="C101" s="2896">
        <f>$G$3</f>
        <v>0.71</v>
      </c>
      <c r="D101" s="2896">
        <f t="shared" ref="D101:N101" si="31">$G$3</f>
        <v>0.71</v>
      </c>
      <c r="E101" s="2896">
        <f t="shared" si="31"/>
        <v>0.71</v>
      </c>
      <c r="F101" s="2896">
        <f t="shared" si="31"/>
        <v>0.71</v>
      </c>
      <c r="G101" s="2896">
        <f t="shared" si="31"/>
        <v>0.71</v>
      </c>
      <c r="H101" s="2896">
        <f t="shared" si="31"/>
        <v>0.71</v>
      </c>
      <c r="I101" s="2896">
        <f t="shared" si="31"/>
        <v>0.71</v>
      </c>
      <c r="J101" s="2896">
        <f t="shared" si="31"/>
        <v>0.71</v>
      </c>
      <c r="K101" s="2896">
        <f t="shared" si="31"/>
        <v>0.71</v>
      </c>
      <c r="L101" s="2896">
        <f t="shared" si="31"/>
        <v>0.71</v>
      </c>
      <c r="M101" s="2896">
        <f t="shared" si="31"/>
        <v>0.71</v>
      </c>
      <c r="N101" s="2896">
        <f t="shared" si="31"/>
        <v>0.71</v>
      </c>
    </row>
    <row r="102" spans="1:14">
      <c r="A102" s="3269"/>
      <c r="B102" s="2891">
        <v>1</v>
      </c>
      <c r="C102" s="2892">
        <f>1.9362/C101</f>
        <v>2.7270422535211267</v>
      </c>
      <c r="D102" s="2892">
        <f>1.9362/D101</f>
        <v>2.7270422535211267</v>
      </c>
      <c r="E102" s="2892">
        <f>1.8629/E101</f>
        <v>2.6238028169014087</v>
      </c>
      <c r="F102" s="2892">
        <f>1.8629/F101</f>
        <v>2.6238028169014087</v>
      </c>
      <c r="G102" s="2892">
        <f>1.8629/G101</f>
        <v>2.6238028169014087</v>
      </c>
      <c r="H102" s="2892">
        <f>1.8629/H101</f>
        <v>2.6238028169014087</v>
      </c>
      <c r="I102" s="2892">
        <f>1.8629/I101</f>
        <v>2.6238028169014087</v>
      </c>
      <c r="J102" s="2892">
        <f>1.942/J101</f>
        <v>2.7352112676056337</v>
      </c>
      <c r="K102" s="2892">
        <f>1.942/K101</f>
        <v>2.7352112676056337</v>
      </c>
      <c r="L102" s="2892">
        <f>1.942/L101</f>
        <v>2.7352112676056337</v>
      </c>
      <c r="M102" s="2892">
        <f>1.942/M101</f>
        <v>2.7352112676056337</v>
      </c>
      <c r="N102" s="2892">
        <f>1.942/N101</f>
        <v>2.7352112676056337</v>
      </c>
    </row>
    <row r="103" spans="1:14">
      <c r="A103" s="3269"/>
      <c r="B103" s="2891">
        <v>2</v>
      </c>
      <c r="C103" s="2892">
        <f>1.4198/C101</f>
        <v>1.9997183098591549</v>
      </c>
      <c r="D103" s="2892">
        <f>1.4198/D101</f>
        <v>1.9997183098591549</v>
      </c>
      <c r="E103" s="2892">
        <f>1.3372/E101</f>
        <v>1.8833802816901408</v>
      </c>
      <c r="F103" s="2892">
        <f>1.3372/F101</f>
        <v>1.8833802816901408</v>
      </c>
      <c r="G103" s="2892">
        <f>1.3372/G101</f>
        <v>1.8833802816901408</v>
      </c>
      <c r="H103" s="2892">
        <f>1.3372/H101</f>
        <v>1.8833802816901408</v>
      </c>
      <c r="I103" s="2892">
        <f>1.3372/I101</f>
        <v>1.8833802816901408</v>
      </c>
      <c r="J103" s="2892">
        <f>1.2799/J101</f>
        <v>1.8026760563380284</v>
      </c>
      <c r="K103" s="2892">
        <f>1.2799/K101</f>
        <v>1.8026760563380284</v>
      </c>
      <c r="L103" s="2892">
        <f>1.2799/L101</f>
        <v>1.8026760563380284</v>
      </c>
      <c r="M103" s="2892">
        <f>1.2799/M101</f>
        <v>1.8026760563380284</v>
      </c>
      <c r="N103" s="2892">
        <f>1.2799/N101</f>
        <v>1.8026760563380284</v>
      </c>
    </row>
    <row r="104" spans="1:14">
      <c r="A104" s="3269"/>
      <c r="B104" s="2891">
        <v>3</v>
      </c>
      <c r="C104" s="2892">
        <f>1.1594/C101</f>
        <v>1.6329577464788734</v>
      </c>
      <c r="D104" s="2892">
        <f>1.1594/D101</f>
        <v>1.6329577464788734</v>
      </c>
      <c r="E104" s="2892">
        <f>1.0788/E101</f>
        <v>1.51943661971831</v>
      </c>
      <c r="F104" s="2892">
        <f>1.0788/F101</f>
        <v>1.51943661971831</v>
      </c>
      <c r="G104" s="2892">
        <f>1.0788/G101</f>
        <v>1.51943661971831</v>
      </c>
      <c r="H104" s="2892">
        <f>1.0788/H101</f>
        <v>1.51943661971831</v>
      </c>
      <c r="I104" s="2892">
        <f>1.0788/I101</f>
        <v>1.51943661971831</v>
      </c>
      <c r="J104" s="2892">
        <f>1.0072/J101</f>
        <v>1.4185915492957748</v>
      </c>
      <c r="K104" s="2892">
        <f>1.0072/K101</f>
        <v>1.4185915492957748</v>
      </c>
      <c r="L104" s="2892">
        <f>1.0072/L101</f>
        <v>1.4185915492957748</v>
      </c>
      <c r="M104" s="2892">
        <f>1.0072/M101</f>
        <v>1.4185915492957748</v>
      </c>
      <c r="N104" s="2892">
        <f>1.0072/N101</f>
        <v>1.4185915492957748</v>
      </c>
    </row>
    <row r="105" spans="1:14">
      <c r="A105" s="3269"/>
      <c r="B105" s="2891">
        <v>4</v>
      </c>
      <c r="C105" s="2892">
        <f>0.9622/C101</f>
        <v>1.355211267605634</v>
      </c>
      <c r="D105" s="2892">
        <f>0.9622/D101</f>
        <v>1.355211267605634</v>
      </c>
      <c r="E105" s="2892">
        <f>0.8656/E101</f>
        <v>1.2191549295774649</v>
      </c>
      <c r="F105" s="2892">
        <f>0.8656/F101</f>
        <v>1.2191549295774649</v>
      </c>
      <c r="G105" s="2892">
        <f>0.8656/G101</f>
        <v>1.2191549295774649</v>
      </c>
      <c r="H105" s="2892">
        <f>0.8656/H101</f>
        <v>1.2191549295774649</v>
      </c>
      <c r="I105" s="2892">
        <f>0.8656/I101</f>
        <v>1.2191549295774649</v>
      </c>
      <c r="J105" s="2892">
        <f>0.7525/J101</f>
        <v>1.0598591549295775</v>
      </c>
      <c r="K105" s="2892">
        <f>0.7525/K101</f>
        <v>1.0598591549295775</v>
      </c>
      <c r="L105" s="2892">
        <f>0.7525/L101</f>
        <v>1.0598591549295775</v>
      </c>
      <c r="M105" s="2892">
        <f>0.7525/M101</f>
        <v>1.0598591549295775</v>
      </c>
      <c r="N105" s="2892">
        <f>0.7525/N101</f>
        <v>1.0598591549295775</v>
      </c>
    </row>
    <row r="106" spans="1:14">
      <c r="A106" s="3269"/>
      <c r="B106" s="2891">
        <v>5</v>
      </c>
      <c r="C106" s="2892">
        <f>0.8417/C101</f>
        <v>1.185492957746479</v>
      </c>
      <c r="D106" s="2892">
        <f>0.8417/D101</f>
        <v>1.185492957746479</v>
      </c>
      <c r="E106" s="2892">
        <f>0.7371/E101</f>
        <v>1.038169014084507</v>
      </c>
      <c r="F106" s="2892">
        <f>0.7371/F101</f>
        <v>1.038169014084507</v>
      </c>
      <c r="G106" s="2892">
        <f>0.7371/G101</f>
        <v>1.038169014084507</v>
      </c>
      <c r="H106" s="2892">
        <f>0.7371/H101</f>
        <v>1.038169014084507</v>
      </c>
      <c r="I106" s="2892">
        <f>0.7371/I101</f>
        <v>1.038169014084507</v>
      </c>
      <c r="J106" s="2892">
        <f>0.5659/J101</f>
        <v>0.79704225352112679</v>
      </c>
      <c r="K106" s="2892">
        <f>0.5659/K101</f>
        <v>0.79704225352112679</v>
      </c>
      <c r="L106" s="2892">
        <f>0.5659/L101</f>
        <v>0.79704225352112679</v>
      </c>
      <c r="M106" s="2892">
        <f>0.5659/M101</f>
        <v>0.79704225352112679</v>
      </c>
      <c r="N106" s="2892">
        <f>0.5659/N101</f>
        <v>0.79704225352112679</v>
      </c>
    </row>
    <row r="107" spans="1:14">
      <c r="A107" s="3269"/>
      <c r="B107" s="2891">
        <v>6</v>
      </c>
      <c r="C107" s="2892">
        <f>0.7608/C101</f>
        <v>1.071549295774648</v>
      </c>
      <c r="D107" s="2892">
        <f>0.7608/D101</f>
        <v>1.071549295774648</v>
      </c>
      <c r="E107" s="2892">
        <f>0.6482/E101</f>
        <v>0.91295774647887329</v>
      </c>
      <c r="F107" s="2892">
        <f>0.6482/F101</f>
        <v>0.91295774647887329</v>
      </c>
      <c r="G107" s="2892">
        <f>0.6482/G101</f>
        <v>0.91295774647887329</v>
      </c>
      <c r="H107" s="2892">
        <f>0.6482/H101</f>
        <v>0.91295774647887329</v>
      </c>
      <c r="I107" s="2892">
        <f>0.6482/I101</f>
        <v>0.91295774647887329</v>
      </c>
      <c r="J107" s="2892">
        <f>0.4525/J101</f>
        <v>0.63732394366197187</v>
      </c>
      <c r="K107" s="2892">
        <f>0.4525/K101</f>
        <v>0.63732394366197187</v>
      </c>
      <c r="L107" s="2892">
        <f>0.4525/L101</f>
        <v>0.63732394366197187</v>
      </c>
      <c r="M107" s="2892">
        <f>0.4525/M101</f>
        <v>0.63732394366197187</v>
      </c>
      <c r="N107" s="2892">
        <f>0.4525/N101</f>
        <v>0.63732394366197187</v>
      </c>
    </row>
    <row r="108" spans="1:14">
      <c r="A108" s="3269"/>
      <c r="B108" s="3197" t="s">
        <v>2962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0"/>
      <c r="B109" s="3198"/>
      <c r="C109" s="2894">
        <f>(-0.163*(C108^2)-0.59*C108+7617)*(10^(-4))/C101</f>
        <v>1.0728169014084508</v>
      </c>
      <c r="D109" s="2894">
        <f>(-0.163*(D108^2)-0.59*D108+7617)*(10^(-4))/D101</f>
        <v>1.0728169014084508</v>
      </c>
      <c r="E109" s="2894">
        <f>(-0.161*(E108^2)-7.509*E108+6533)*(10^(-4))/E101</f>
        <v>0.9201408450704226</v>
      </c>
      <c r="F109" s="2894">
        <f>(-0.161*(F108^2)-7.509*F108+6533)*(10^(-4))/F101</f>
        <v>0.9201408450704226</v>
      </c>
      <c r="G109" s="2894">
        <f>(-0.161*(G108^2)-7.509*G108+6533)*(10^(-4))/G101</f>
        <v>0.9201408450704226</v>
      </c>
      <c r="H109" s="2894">
        <f>(-0.161*(H108^2)-7.509*H108+6533)*(10^(-4))/H101</f>
        <v>0.9201408450704226</v>
      </c>
      <c r="I109" s="2894">
        <f>(-0.161*(I108^2)-7.509*I108+6533)*(10^(-4))/I101</f>
        <v>0.9201408450704226</v>
      </c>
      <c r="J109" s="2894">
        <f>(-0.214*(J108^2)-21.991*J108+4665)*(10^(-4))/J101</f>
        <v>0.65704225352112688</v>
      </c>
      <c r="K109" s="2894">
        <f>(-0.214*(K108^2)-21.991*K108+4665)*(10^(-4))/K101</f>
        <v>0.65704225352112688</v>
      </c>
      <c r="L109" s="2894">
        <f>(-0.214*(L108^2)-21.991*L108+4665)*(10^(-4))/L101</f>
        <v>0.65704225352112688</v>
      </c>
      <c r="M109" s="2894">
        <f>(-0.214*(M108^2)-21.991*M108+4665)*(10^(-4))/M101</f>
        <v>0.65704225352112688</v>
      </c>
      <c r="N109" s="2894">
        <f>(-0.214*(N108^2)-21.991*N108+4665)*(10^(-4))/N101</f>
        <v>0.65704225352112688</v>
      </c>
    </row>
    <row r="110" spans="1:14">
      <c r="A110" s="3266" t="s">
        <v>2963</v>
      </c>
      <c r="B110" s="3266"/>
      <c r="C110" s="3266"/>
      <c r="D110" s="3266"/>
      <c r="E110" s="3266"/>
      <c r="F110" s="3266"/>
      <c r="G110" s="3266"/>
      <c r="H110" s="3266"/>
      <c r="I110" s="3266"/>
      <c r="J110" s="3266"/>
      <c r="K110" s="2897"/>
      <c r="L110" s="2897"/>
      <c r="M110" s="2897"/>
      <c r="N110" s="2897"/>
    </row>
    <row r="112" spans="1:14" ht="13.5" thickBot="1"/>
    <row r="113" spans="1:13" ht="25.5" thickBot="1">
      <c r="A113" s="902" t="s">
        <v>2964</v>
      </c>
      <c r="B113" s="1288">
        <f>G3</f>
        <v>0.71</v>
      </c>
      <c r="C113" s="903" t="s">
        <v>2965</v>
      </c>
      <c r="D113" s="904">
        <f>SUMPRODUCT((A115:A118=F113)*(B114:M114=H113)*B115:M118)</f>
        <v>0.62119999999999997</v>
      </c>
      <c r="E113" s="2721" t="s">
        <v>2798</v>
      </c>
      <c r="F113" s="2899" t="str">
        <f>E2</f>
        <v>工业</v>
      </c>
      <c r="G113" s="2721" t="s">
        <v>2799</v>
      </c>
      <c r="H113" s="2899" t="str">
        <f>G2</f>
        <v>七级</v>
      </c>
      <c r="I113" s="2721"/>
      <c r="J113" s="2900"/>
      <c r="K113" s="2900"/>
      <c r="L113" s="2900"/>
      <c r="M113" s="2900"/>
    </row>
    <row r="114" spans="1:13">
      <c r="A114" s="907"/>
      <c r="B114" s="2901" t="s">
        <v>2966</v>
      </c>
      <c r="C114" s="2901" t="s">
        <v>2967</v>
      </c>
      <c r="D114" s="2901" t="s">
        <v>2968</v>
      </c>
      <c r="E114" s="2902" t="s">
        <v>2969</v>
      </c>
      <c r="F114" s="2902" t="s">
        <v>2970</v>
      </c>
      <c r="G114" s="2902" t="s">
        <v>2971</v>
      </c>
      <c r="H114" s="2903" t="s">
        <v>2972</v>
      </c>
      <c r="I114" s="2903" t="s">
        <v>2973</v>
      </c>
      <c r="J114" s="2904" t="s">
        <v>2974</v>
      </c>
      <c r="K114" s="2904" t="s">
        <v>2975</v>
      </c>
      <c r="L114" s="2904" t="s">
        <v>2976</v>
      </c>
      <c r="M114" s="2905" t="s">
        <v>2977</v>
      </c>
    </row>
    <row r="115" spans="1:13">
      <c r="A115" s="908" t="s">
        <v>2862</v>
      </c>
      <c r="B115" s="909">
        <f>ROUND(0.9335-0.0094*B113,4)</f>
        <v>0.92679999999999996</v>
      </c>
      <c r="C115" s="909">
        <f>B115</f>
        <v>0.92679999999999996</v>
      </c>
      <c r="D115" s="909">
        <f>ROUND(0.8331-0.0109*B113,4)</f>
        <v>0.82540000000000002</v>
      </c>
      <c r="E115" s="909">
        <f>D115</f>
        <v>0.82540000000000002</v>
      </c>
      <c r="F115" s="909">
        <f>E115</f>
        <v>0.82540000000000002</v>
      </c>
      <c r="G115" s="909">
        <f>F115</f>
        <v>0.82540000000000002</v>
      </c>
      <c r="H115" s="909">
        <f>G115</f>
        <v>0.82540000000000002</v>
      </c>
      <c r="I115" s="909">
        <f>ROUND(0.689-0.0155*B113,4)</f>
        <v>0.67800000000000005</v>
      </c>
      <c r="J115" s="909">
        <f t="shared" ref="J115:M118" si="33">I115</f>
        <v>0.67800000000000005</v>
      </c>
      <c r="K115" s="909">
        <f t="shared" si="33"/>
        <v>0.67800000000000005</v>
      </c>
      <c r="L115" s="909">
        <f t="shared" si="33"/>
        <v>0.67800000000000005</v>
      </c>
      <c r="M115" s="910">
        <f t="shared" si="33"/>
        <v>0.67800000000000005</v>
      </c>
    </row>
    <row r="116" spans="1:13">
      <c r="A116" s="908" t="s">
        <v>2863</v>
      </c>
      <c r="B116" s="909">
        <f>ROUND(0.949-0.012*B113,4)</f>
        <v>0.9405</v>
      </c>
      <c r="C116" s="909">
        <f>B116</f>
        <v>0.9405</v>
      </c>
      <c r="D116" s="909">
        <f>ROUND(0.8567-0.013*B113,4)</f>
        <v>0.84750000000000003</v>
      </c>
      <c r="E116" s="909">
        <f t="shared" ref="E116:H117" si="34">D116</f>
        <v>0.84750000000000003</v>
      </c>
      <c r="F116" s="909">
        <f t="shared" si="34"/>
        <v>0.84750000000000003</v>
      </c>
      <c r="G116" s="909">
        <f t="shared" si="34"/>
        <v>0.84750000000000003</v>
      </c>
      <c r="H116" s="909">
        <f t="shared" si="34"/>
        <v>0.84750000000000003</v>
      </c>
      <c r="I116" s="909">
        <f>ROUND(0.7694-0.014*B113,4)</f>
        <v>0.75949999999999995</v>
      </c>
      <c r="J116" s="909">
        <f t="shared" si="33"/>
        <v>0.75949999999999995</v>
      </c>
      <c r="K116" s="909">
        <f t="shared" si="33"/>
        <v>0.75949999999999995</v>
      </c>
      <c r="L116" s="909">
        <f t="shared" si="33"/>
        <v>0.75949999999999995</v>
      </c>
      <c r="M116" s="910">
        <f t="shared" si="33"/>
        <v>0.75949999999999995</v>
      </c>
    </row>
    <row r="117" spans="1:13">
      <c r="A117" s="908" t="s">
        <v>2864</v>
      </c>
      <c r="B117" s="909">
        <f>ROUND(0.8808-0.006*B113,4)</f>
        <v>0.87649999999999995</v>
      </c>
      <c r="C117" s="909">
        <f>B117</f>
        <v>0.87649999999999995</v>
      </c>
      <c r="D117" s="909">
        <f>ROUND(0.8748-0.008*B113,4)</f>
        <v>0.86909999999999998</v>
      </c>
      <c r="E117" s="909">
        <f t="shared" si="34"/>
        <v>0.86909999999999998</v>
      </c>
      <c r="F117" s="909">
        <f t="shared" si="34"/>
        <v>0.86909999999999998</v>
      </c>
      <c r="G117" s="909">
        <f t="shared" si="34"/>
        <v>0.86909999999999998</v>
      </c>
      <c r="H117" s="909">
        <f t="shared" si="34"/>
        <v>0.86909999999999998</v>
      </c>
      <c r="I117" s="909">
        <f>ROUND(0.7412-0.0095*B113,4)</f>
        <v>0.73450000000000004</v>
      </c>
      <c r="J117" s="909">
        <f t="shared" si="33"/>
        <v>0.73450000000000004</v>
      </c>
      <c r="K117" s="909">
        <f t="shared" si="33"/>
        <v>0.73450000000000004</v>
      </c>
      <c r="L117" s="909">
        <f t="shared" si="33"/>
        <v>0.73450000000000004</v>
      </c>
      <c r="M117" s="910">
        <f t="shared" si="33"/>
        <v>0.73450000000000004</v>
      </c>
    </row>
    <row r="118" spans="1:13" ht="13.5" thickBot="1">
      <c r="A118" s="713" t="s">
        <v>2865</v>
      </c>
      <c r="B118" s="911">
        <f>ROUND(0.7275-0.01*B113,4)</f>
        <v>0.72040000000000004</v>
      </c>
      <c r="C118" s="911">
        <f>B118</f>
        <v>0.72040000000000004</v>
      </c>
      <c r="D118" s="911">
        <f>ROUND(0.7043-0.012*B113,4)</f>
        <v>0.69579999999999997</v>
      </c>
      <c r="E118" s="911">
        <f>D118</f>
        <v>0.69579999999999997</v>
      </c>
      <c r="F118" s="911">
        <f>E118</f>
        <v>0.69579999999999997</v>
      </c>
      <c r="G118" s="911">
        <f>ROUND(0.6299-0.0122*B113,4)</f>
        <v>0.62119999999999997</v>
      </c>
      <c r="H118" s="911">
        <f>G118</f>
        <v>0.62119999999999997</v>
      </c>
      <c r="I118" s="911">
        <f>ROUND(0.5667-0.0136*B113,4)</f>
        <v>0.55700000000000005</v>
      </c>
      <c r="J118" s="911">
        <f t="shared" si="33"/>
        <v>0.55700000000000005</v>
      </c>
      <c r="K118" s="911">
        <f t="shared" si="33"/>
        <v>0.55700000000000005</v>
      </c>
      <c r="L118" s="911">
        <f t="shared" si="33"/>
        <v>0.55700000000000005</v>
      </c>
      <c r="M118" s="912">
        <f t="shared" si="33"/>
        <v>0.55700000000000005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77" t="str">
        <f>项目基本情况!B1</f>
        <v>北京市顺义区京密路马坡段西侧房地产抵押价值预评估</v>
      </c>
      <c r="C37" s="3077"/>
      <c r="D37" s="3077"/>
      <c r="E37" s="3077"/>
      <c r="F37" s="3077"/>
      <c r="G37" s="3077"/>
      <c r="H37" s="3077"/>
      <c r="I37" s="3077"/>
    </row>
    <row r="38" spans="1:9">
      <c r="A38" s="1018"/>
      <c r="B38" s="1018"/>
    </row>
    <row r="39" spans="1:9">
      <c r="A39" s="1016" t="s">
        <v>818</v>
      </c>
      <c r="B39" s="1016" t="s">
        <v>820</v>
      </c>
    </row>
    <row r="40" spans="1:9">
      <c r="A40" s="1016"/>
      <c r="B40" s="1943" t="str">
        <f>项目基本情况!B5</f>
        <v>北京北工药业有限公司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8"/>
      <c r="C1" s="241"/>
      <c r="D1" s="241"/>
      <c r="E1" s="241"/>
      <c r="F1" s="241"/>
      <c r="G1" s="1380">
        <f>MATCH(B1,'数据-取费表'!A6:A16,0)+5</f>
        <v>7</v>
      </c>
    </row>
    <row r="2" spans="1:9" s="243" customFormat="1" ht="18" customHeight="1">
      <c r="A2" s="244" t="s">
        <v>2312</v>
      </c>
      <c r="B2" s="245">
        <f ca="1">IF(D2="——",C52,C52-E2)</f>
        <v>3291</v>
      </c>
      <c r="C2" s="242" t="s">
        <v>2313</v>
      </c>
      <c r="D2" s="2544" t="s">
        <v>70</v>
      </c>
      <c r="E2" s="1441">
        <f ca="1">SUMIF(INDIRECT("'"&amp;G2&amp;"'"&amp;"!A:A"),"承租人权益价值",INDIRECT("'"&amp;G2&amp;"'"&amp;"!c:c"))</f>
        <v>-4211</v>
      </c>
      <c r="F2" s="2545" t="s">
        <v>2313</v>
      </c>
      <c r="G2" s="2546" t="s">
        <v>3220</v>
      </c>
    </row>
    <row r="3" spans="1:9" s="243" customFormat="1" ht="18" customHeight="1" thickBot="1">
      <c r="A3" s="246" t="s">
        <v>2314</v>
      </c>
      <c r="B3" s="247">
        <f ca="1">ROUND(B2*10000/(IF(B1="",'数据-汇总表'!E3,INDIRECT("'数据-取费表'!k"&amp;$G$1))),0)</f>
        <v>5718</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1822</v>
      </c>
      <c r="D5" s="254" t="s">
        <v>2319</v>
      </c>
      <c r="E5" s="255" t="s">
        <v>2320</v>
      </c>
      <c r="F5" s="255" t="s">
        <v>2321</v>
      </c>
      <c r="G5" s="256"/>
    </row>
    <row r="6" spans="1:9" s="257" customFormat="1" ht="13.5" customHeight="1">
      <c r="A6" s="951" t="s">
        <v>2322</v>
      </c>
      <c r="B6" s="258" t="s">
        <v>2323</v>
      </c>
      <c r="C6" s="259">
        <f ca="1">基准地价修正!E29</f>
        <v>1656</v>
      </c>
      <c r="D6" s="260"/>
      <c r="E6" s="261"/>
      <c r="F6" s="261"/>
      <c r="G6" s="262"/>
    </row>
    <row r="7" spans="1:9" s="257" customFormat="1" ht="13.5" customHeight="1">
      <c r="A7" s="951" t="s">
        <v>2324</v>
      </c>
      <c r="B7" s="258" t="s">
        <v>2325</v>
      </c>
      <c r="C7" s="263">
        <f ca="1">ROUND(C6*F7,0)</f>
        <v>51</v>
      </c>
      <c r="D7" s="263"/>
      <c r="E7" s="261"/>
      <c r="F7" s="264">
        <f>'数据-取费表'!B48+'数据-取费表'!B49</f>
        <v>3.0499999999999999E-2</v>
      </c>
      <c r="G7" s="262"/>
    </row>
    <row r="8" spans="1:9" s="266" customFormat="1">
      <c r="A8" s="951" t="s">
        <v>2326</v>
      </c>
      <c r="B8" s="258" t="s">
        <v>2327</v>
      </c>
      <c r="C8" s="263">
        <f>IF(G8="已包含在土地购买价格中","0",IF(B1="",'数据-取费表'!B29,IF(G9="全部缴纳",C9+C10,H9)))</f>
        <v>115</v>
      </c>
      <c r="D8" s="265"/>
      <c r="E8" s="263"/>
      <c r="F8" s="264"/>
      <c r="G8" s="2547" t="s">
        <v>3321</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48" t="s">
        <v>3231</v>
      </c>
      <c r="H9" s="1391"/>
      <c r="I9" s="2549" t="s">
        <v>2329</v>
      </c>
    </row>
    <row r="10" spans="1:9" s="257" customFormat="1" ht="13.5" customHeight="1">
      <c r="A10" s="952" t="s">
        <v>801</v>
      </c>
      <c r="B10" s="267" t="s">
        <v>2330</v>
      </c>
      <c r="C10" s="268">
        <f ca="1">ROUND(D10*E10/10000,0)</f>
        <v>115</v>
      </c>
      <c r="D10" s="1034">
        <f ca="1">IF(B1="",'数据-汇总表'!E6,IF(INDIRECT("'数据-取费表'!c"&amp;$G$1)="住宅",INDIRECT("'数据-取费表'!s"&amp;$G$1),INDIRECT("'数据-取费表'!k"&amp;$G$1)+INDIRECT("'数据-取费表'!s"&amp;$G$1)))</f>
        <v>5755.45</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5755.45</v>
      </c>
      <c r="E19" s="254">
        <f>'数据-取费表'!B31</f>
        <v>200</v>
      </c>
      <c r="F19" s="274"/>
      <c r="G19" s="2547" t="s">
        <v>3232</v>
      </c>
    </row>
    <row r="20" spans="1:7" s="257" customFormat="1" ht="13.5" customHeight="1">
      <c r="A20" s="298" t="s">
        <v>2343</v>
      </c>
      <c r="B20" s="253" t="s">
        <v>2344</v>
      </c>
      <c r="C20" s="275">
        <f ca="1">ROUND((C5+C19)*F20,0)</f>
        <v>36</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5">
        <f ca="1">ROUND(SUM(C23:C25),0)</f>
        <v>80</v>
      </c>
      <c r="D22" s="278">
        <f ca="1">C26</f>
        <v>4.0000000000000002E-4</v>
      </c>
      <c r="E22" s="279" t="s">
        <v>2348</v>
      </c>
      <c r="F22" s="280">
        <f ca="1">'数据-取费表'!B40</f>
        <v>4.3499999999999997E-2</v>
      </c>
      <c r="G22" s="277" t="str">
        <f>IF('数据-取费表'!B22&lt;=1,"单利计息","复利计息")</f>
        <v>单利计息</v>
      </c>
    </row>
    <row r="23" spans="1:7" s="257" customFormat="1" ht="13.5" customHeight="1">
      <c r="A23" s="953" t="s">
        <v>2352</v>
      </c>
      <c r="B23" s="258" t="s">
        <v>2353</v>
      </c>
      <c r="C23" s="1356">
        <f ca="1">ROUND(IF('数据-取费表'!B22&lt;=1,C5*F22*'数据-取费表'!B23,C5*(POWER((1+F22),'数据-取费表'!B23)-1)),0)</f>
        <v>79</v>
      </c>
      <c r="D23" s="281"/>
      <c r="E23" s="281"/>
      <c r="F23" s="282"/>
      <c r="G23" s="283" t="s">
        <v>2354</v>
      </c>
    </row>
    <row r="24" spans="1:7" s="257" customFormat="1" ht="13.5" customHeight="1">
      <c r="A24" s="953" t="s">
        <v>2355</v>
      </c>
      <c r="B24" s="258" t="s">
        <v>2356</v>
      </c>
      <c r="C24" s="1356">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6">
        <f ca="1">ROUND(IF('数据-取费表'!B22&lt;=1,C20*F22*'数据-取费表'!B23/2,C20*(POWER((1+F22),'数据-取费表'!B23/2)-1)),0)</f>
        <v>1</v>
      </c>
      <c r="D25" s="281"/>
      <c r="E25" s="284"/>
      <c r="F25" s="282"/>
      <c r="G25" s="285" t="s">
        <v>2360</v>
      </c>
    </row>
    <row r="26" spans="1:7" s="257" customFormat="1">
      <c r="A26" s="953" t="s">
        <v>795</v>
      </c>
      <c r="B26" s="258" t="s">
        <v>2361</v>
      </c>
      <c r="C26" s="281">
        <f ca="1">ROUND(IF('数据-取费表'!B22&lt;=1,F21*F22*'数据-取费表'!B23/2,F21*(POWER((1+F22),'数据-取费表'!B23/2)-1)),4)</f>
        <v>4.0000000000000002E-4</v>
      </c>
      <c r="D26" s="281"/>
      <c r="E26" s="284"/>
      <c r="F26" s="282"/>
      <c r="G26" s="286"/>
    </row>
    <row r="27" spans="1:7" s="257" customFormat="1" ht="24.75">
      <c r="A27" s="298" t="s">
        <v>2362</v>
      </c>
      <c r="B27" s="287" t="s">
        <v>2363</v>
      </c>
      <c r="C27" s="288">
        <f ca="1">C28</f>
        <v>186</v>
      </c>
      <c r="D27" s="278">
        <f ca="1">C29</f>
        <v>2E-3</v>
      </c>
      <c r="E27" s="279" t="s">
        <v>2364</v>
      </c>
      <c r="F27" s="289">
        <f ca="1">IF(B1="",'数据-取费表'!Q16,INDIRECT("'数据-取费表'!q"&amp;$G$1))</f>
        <v>0.1</v>
      </c>
      <c r="G27" s="290" t="s">
        <v>2365</v>
      </c>
    </row>
    <row r="28" spans="1:7" s="257" customFormat="1" ht="13.5" customHeight="1">
      <c r="A28" s="953" t="s">
        <v>791</v>
      </c>
      <c r="B28" s="291" t="s">
        <v>2366</v>
      </c>
      <c r="C28" s="292">
        <f ca="1">ROUND((C5+C19+C20)*F27*'数据-取费表'!B21/'数据-取费表'!B20,0)</f>
        <v>186</v>
      </c>
      <c r="D28" s="278"/>
      <c r="E28" s="279"/>
      <c r="F28" s="289"/>
      <c r="G28" s="290"/>
    </row>
    <row r="29" spans="1:7" s="257" customFormat="1" ht="13.5" customHeight="1">
      <c r="A29" s="953" t="s">
        <v>792</v>
      </c>
      <c r="B29" s="291" t="s">
        <v>2367</v>
      </c>
      <c r="C29" s="281">
        <f ca="1">ROUND(C21*F27*'数据-取费表'!B21/'数据-取费表'!B20,4)</f>
        <v>2E-3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2296</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1341</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1151</v>
      </c>
      <c r="D34" s="260"/>
      <c r="E34" s="263"/>
      <c r="F34" s="300">
        <f ca="1">IF('数据-取费表'!B24=0,1,IF(B1="",'数据-取费表'!N16,INDIRECT("'数据-取费表'!n"&amp;$G$1)))</f>
        <v>1</v>
      </c>
      <c r="G34" s="262" t="s">
        <v>2376</v>
      </c>
    </row>
    <row r="35" spans="1:7" ht="13.5" customHeight="1">
      <c r="A35" s="953" t="s">
        <v>796</v>
      </c>
      <c r="B35" s="258" t="s">
        <v>2377</v>
      </c>
      <c r="C35" s="263">
        <f ca="1">ROUND(C34*F35,0)</f>
        <v>58</v>
      </c>
      <c r="D35" s="263"/>
      <c r="E35" s="263"/>
      <c r="F35" s="302">
        <f>'数据-取费表'!B33</f>
        <v>0.05</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115</v>
      </c>
      <c r="D37" s="260">
        <f ca="1">D19</f>
        <v>5755.45</v>
      </c>
      <c r="E37" s="292">
        <f>'数据-取费表'!B35</f>
        <v>200</v>
      </c>
      <c r="F37" s="302"/>
      <c r="G37" s="304" t="s">
        <v>2382</v>
      </c>
    </row>
    <row r="38" spans="1:7" ht="13.5" customHeight="1">
      <c r="A38" s="953" t="s">
        <v>799</v>
      </c>
      <c r="B38" s="258" t="s">
        <v>2383</v>
      </c>
      <c r="C38" s="263">
        <f ca="1">ROUND(C34*F38,0)</f>
        <v>17</v>
      </c>
      <c r="D38" s="263"/>
      <c r="E38" s="263"/>
      <c r="F38" s="302">
        <f>'数据-取费表'!B36</f>
        <v>1.4999999999999999E-2</v>
      </c>
      <c r="G38" s="262" t="s">
        <v>2378</v>
      </c>
    </row>
    <row r="39" spans="1:7" s="257" customFormat="1" ht="13.5" customHeight="1">
      <c r="A39" s="298" t="s">
        <v>2384</v>
      </c>
      <c r="B39" s="253" t="s">
        <v>2385</v>
      </c>
      <c r="C39" s="275">
        <f ca="1">ROUND(C33*F20,0)</f>
        <v>27</v>
      </c>
      <c r="D39" s="275"/>
      <c r="E39" s="275"/>
      <c r="F39" s="276"/>
      <c r="G39" s="277" t="s">
        <v>2386</v>
      </c>
    </row>
    <row r="40" spans="1:7" s="257" customFormat="1" ht="13.5" customHeight="1">
      <c r="A40" s="298" t="s">
        <v>2387</v>
      </c>
      <c r="B40" s="253" t="s">
        <v>2388</v>
      </c>
      <c r="C40" s="1729">
        <f>F21</f>
        <v>0.02</v>
      </c>
      <c r="D40" s="279" t="s">
        <v>2389</v>
      </c>
      <c r="E40" s="275"/>
      <c r="F40" s="276"/>
      <c r="G40" s="277" t="s">
        <v>2390</v>
      </c>
    </row>
    <row r="41" spans="1:7" s="257" customFormat="1" ht="13.5" customHeight="1">
      <c r="A41" s="298" t="s">
        <v>2391</v>
      </c>
      <c r="B41" s="253" t="s">
        <v>2392</v>
      </c>
      <c r="C41" s="275">
        <f ca="1">ROUND(SUM(C42:C43),0)</f>
        <v>30</v>
      </c>
      <c r="D41" s="278">
        <f ca="1">C44</f>
        <v>4.0000000000000002E-4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ROUND(IF('数据-取费表'!B22&lt;=1,C33*F22*'数据-取费表'!B21/2,C33*(POWER((1+F22),'数据-取费表'!B21/2)-1)),0)</f>
        <v>29</v>
      </c>
      <c r="D42" s="281"/>
      <c r="E42" s="281"/>
      <c r="F42" s="282"/>
      <c r="G42" s="3283" t="s">
        <v>2394</v>
      </c>
    </row>
    <row r="43" spans="1:7" ht="13.5" customHeight="1">
      <c r="A43" s="953" t="s">
        <v>792</v>
      </c>
      <c r="B43" s="258" t="s">
        <v>2395</v>
      </c>
      <c r="C43" s="281">
        <f ca="1">ROUND(IF('数据-取费表'!B22&lt;=1,C39*F22*'数据-取费表'!B21/2,C39*(POWER((1+F22),'数据-取费表'!B21/2)-1)),0)</f>
        <v>1</v>
      </c>
      <c r="D43" s="281"/>
      <c r="E43" s="281"/>
      <c r="F43" s="282"/>
      <c r="G43" s="3284"/>
    </row>
    <row r="44" spans="1:7" ht="13.5" customHeight="1">
      <c r="A44" s="953" t="s">
        <v>793</v>
      </c>
      <c r="B44" s="258" t="s">
        <v>2396</v>
      </c>
      <c r="C44" s="281">
        <f ca="1">ROUND(IF('数据-取费表'!B22&lt;=1,C40*F22*'数据-取费表'!B21/2,C40*(POWER((1+F22),'数据-取费表'!B21/2)-1)),4)</f>
        <v>4.0000000000000002E-4</v>
      </c>
      <c r="D44" s="281"/>
      <c r="E44" s="281"/>
      <c r="F44" s="282"/>
      <c r="G44" s="3285"/>
    </row>
    <row r="45" spans="1:7" s="257" customFormat="1" ht="13.5" customHeight="1">
      <c r="A45" s="298" t="s">
        <v>2397</v>
      </c>
      <c r="B45" s="287" t="s">
        <v>2363</v>
      </c>
      <c r="C45" s="288">
        <f ca="1">C46</f>
        <v>137</v>
      </c>
      <c r="D45" s="278">
        <f ca="1">C47</f>
        <v>2E-3</v>
      </c>
      <c r="E45" s="279" t="s">
        <v>2389</v>
      </c>
      <c r="F45" s="289"/>
      <c r="G45" s="290" t="s">
        <v>2398</v>
      </c>
    </row>
    <row r="46" spans="1:7" s="257" customFormat="1" ht="13.5" customHeight="1">
      <c r="A46" s="953" t="s">
        <v>791</v>
      </c>
      <c r="B46" s="291" t="s">
        <v>2399</v>
      </c>
      <c r="C46" s="292">
        <f ca="1">ROUND((C33+C39)*F27,0)</f>
        <v>137</v>
      </c>
      <c r="D46" s="306"/>
      <c r="E46" s="279"/>
      <c r="F46" s="289"/>
      <c r="G46" s="290"/>
    </row>
    <row r="47" spans="1:7" s="257" customFormat="1" ht="13.5" customHeight="1">
      <c r="A47" s="953" t="s">
        <v>792</v>
      </c>
      <c r="B47" s="291" t="s">
        <v>2400</v>
      </c>
      <c r="C47" s="281">
        <f ca="1">ROUND(C40*F27,4)</f>
        <v>2E-3</v>
      </c>
      <c r="D47" s="306"/>
      <c r="E47" s="279"/>
      <c r="F47" s="289"/>
      <c r="G47" s="290"/>
    </row>
    <row r="48" spans="1:7" s="257" customFormat="1" ht="13.5" customHeight="1">
      <c r="A48" s="298" t="s">
        <v>2362</v>
      </c>
      <c r="B48" s="253" t="s">
        <v>2401</v>
      </c>
      <c r="C48" s="1729">
        <f>ROUND(F30/(1+'数据-取费表'!C42),4)</f>
        <v>5.2400000000000002E-2</v>
      </c>
      <c r="D48" s="279" t="s">
        <v>2389</v>
      </c>
      <c r="E48" s="275"/>
      <c r="F48" s="280"/>
      <c r="G48" s="277" t="s">
        <v>2402</v>
      </c>
    </row>
    <row r="49" spans="1:7" ht="16.5" customHeight="1">
      <c r="A49" s="298" t="s">
        <v>2368</v>
      </c>
      <c r="B49" s="253" t="s">
        <v>2403</v>
      </c>
      <c r="C49" s="275">
        <f ca="1">ROUND((C33+C39+C41+C45)/(1-C40-D41-D45-C48),0)</f>
        <v>1659</v>
      </c>
      <c r="D49" s="275"/>
      <c r="E49" s="275"/>
      <c r="F49" s="307"/>
      <c r="G49" s="277" t="s">
        <v>2404</v>
      </c>
    </row>
    <row r="50" spans="1:7" s="301" customFormat="1" ht="24">
      <c r="A50" s="298" t="s">
        <v>2405</v>
      </c>
      <c r="B50" s="253" t="s">
        <v>2406</v>
      </c>
      <c r="C50" s="275"/>
      <c r="D50" s="275"/>
      <c r="E50" s="275"/>
      <c r="F50" s="307">
        <f>IF('数据-取费表'!B24=0,'数据-取费表'!N16,1)</f>
        <v>0.6</v>
      </c>
      <c r="G50" s="290" t="s">
        <v>2407</v>
      </c>
    </row>
    <row r="51" spans="1:7" ht="16.5" customHeight="1">
      <c r="A51" s="298" t="s">
        <v>2408</v>
      </c>
      <c r="B51" s="253" t="s">
        <v>2409</v>
      </c>
      <c r="C51" s="275">
        <f ca="1">ROUND(C49*F50,0)</f>
        <v>995</v>
      </c>
      <c r="D51" s="275"/>
      <c r="E51" s="275"/>
      <c r="F51" s="307"/>
      <c r="G51" s="277" t="s">
        <v>2410</v>
      </c>
    </row>
    <row r="52" spans="1:7" s="251" customFormat="1" ht="16.5" thickBot="1">
      <c r="A52" s="308" t="s">
        <v>2411</v>
      </c>
      <c r="B52" s="309"/>
      <c r="C52" s="310">
        <f ca="1">C31+C51</f>
        <v>3291</v>
      </c>
      <c r="D52" s="309"/>
      <c r="E52" s="309"/>
      <c r="F52" s="309"/>
      <c r="G52" s="311"/>
    </row>
    <row r="55" spans="1:7" ht="15">
      <c r="B55" s="313" t="s">
        <v>2412</v>
      </c>
      <c r="C55" s="314"/>
    </row>
    <row r="56" spans="1:7">
      <c r="B56" s="316" t="s">
        <v>1513</v>
      </c>
      <c r="C56" s="318">
        <f ca="1">1-C57</f>
        <v>0.69799999999999995</v>
      </c>
    </row>
    <row r="57" spans="1:7">
      <c r="B57" s="316" t="s">
        <v>1514</v>
      </c>
      <c r="C57" s="317">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8"/>
      <c r="C1" s="2550" t="s">
        <v>2413</v>
      </c>
      <c r="D1" s="241"/>
      <c r="E1" s="241"/>
      <c r="F1" s="241"/>
      <c r="G1" s="1380">
        <f>MATCH(B1,'数据-取费表'!A6:A16,0)+5</f>
        <v>7</v>
      </c>
      <c r="H1" s="1283" t="str">
        <f>IF(ISERROR(FIND("住宅",B1)),"非住宅","住宅")</f>
        <v>非住宅</v>
      </c>
    </row>
    <row r="2" spans="1:8" s="243" customFormat="1" ht="18" customHeight="1">
      <c r="A2" s="244" t="s">
        <v>2312</v>
      </c>
      <c r="B2" s="245">
        <f ca="1">ROUND(IF(D2="——",C52/10000,C52/10000-E2),0)</f>
        <v>1285</v>
      </c>
      <c r="C2" s="242" t="s">
        <v>2313</v>
      </c>
      <c r="D2" s="2544" t="s">
        <v>70</v>
      </c>
      <c r="E2" s="1441" t="e">
        <f ca="1">SUMIF(INDIRECT("'"&amp;G2&amp;"'"&amp;"!A:A"),"承租人权益价值",INDIRECT("'"&amp;G2&amp;"'"&amp;"!c:c"))</f>
        <v>#REF!</v>
      </c>
      <c r="F2" s="2545" t="s">
        <v>2313</v>
      </c>
      <c r="G2" s="2546"/>
    </row>
    <row r="3" spans="1:8" s="243" customFormat="1" ht="18" customHeight="1" thickBot="1">
      <c r="A3" s="246" t="s">
        <v>2314</v>
      </c>
      <c r="B3" s="247">
        <f ca="1">ROUND(B2*10000/(IF(B1="",'数据-汇总表'!E3,INDIRECT("'数据-取费表'!k"&amp;$G$1))),0)</f>
        <v>2233</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1151090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1151090</v>
      </c>
      <c r="D8" s="265"/>
      <c r="E8" s="263"/>
      <c r="F8" s="264"/>
      <c r="G8" s="2547"/>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1151090</v>
      </c>
      <c r="D10" s="1034">
        <f ca="1">IF(B1="",'数据-汇总表'!E6,IF(INDIRECT("'数据-取费表'!c"&amp;$G$1)="住宅",INDIRECT("'数据-取费表'!s"&amp;$G$1),INDIRECT("'数据-取费表'!k"&amp;$G$1)+INDIRECT("'数据-取费表'!s"&amp;$G$1)))</f>
        <v>5755.45</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1151090</v>
      </c>
      <c r="D19" s="1038">
        <f ca="1">D9+D10</f>
        <v>5755.45</v>
      </c>
      <c r="E19" s="254">
        <f>'数据-取费表'!B31</f>
        <v>200</v>
      </c>
      <c r="F19" s="274"/>
      <c r="G19" s="2547"/>
    </row>
    <row r="20" spans="1:7" s="257" customFormat="1" ht="13.5" customHeight="1">
      <c r="A20" s="298" t="s">
        <v>2424</v>
      </c>
      <c r="B20" s="253" t="s">
        <v>2425</v>
      </c>
      <c r="C20" s="275">
        <f ca="1">ROUND((C5+C19)*F20,0)</f>
        <v>46044</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1">
        <f ca="1">ROUND(SUM(C23:C25),0)</f>
        <v>101145</v>
      </c>
      <c r="D22" s="278">
        <f ca="1">C26</f>
        <v>4.0000000000000002E-4</v>
      </c>
      <c r="E22" s="279" t="s">
        <v>2429</v>
      </c>
      <c r="F22" s="280">
        <f ca="1">'数据-取费表'!B40</f>
        <v>4.3499999999999997E-2</v>
      </c>
      <c r="G22" s="277" t="str">
        <f>IF('数据-取费表'!B22&lt;=1,"单利计息","复利计息")</f>
        <v>单利计息</v>
      </c>
    </row>
    <row r="23" spans="1:7" s="257" customFormat="1" ht="13.5" customHeight="1">
      <c r="A23" s="953" t="s">
        <v>2322</v>
      </c>
      <c r="B23" s="258" t="s">
        <v>2433</v>
      </c>
      <c r="C23" s="1382">
        <f ca="1">ROUND(IF('数据-取费表'!B22&lt;=1,C5*F22*'数据-取费表'!B22,C5*(POWER((1+F22),'数据-取费表'!B22)-1)),0)</f>
        <v>50072</v>
      </c>
      <c r="D23" s="281"/>
      <c r="E23" s="281"/>
      <c r="F23" s="282"/>
      <c r="G23" s="283" t="s">
        <v>2434</v>
      </c>
    </row>
    <row r="24" spans="1:7" s="257" customFormat="1" ht="13.5" customHeight="1">
      <c r="A24" s="953" t="s">
        <v>2324</v>
      </c>
      <c r="B24" s="258" t="s">
        <v>2435</v>
      </c>
      <c r="C24" s="1382">
        <f ca="1">ROUND(IF('数据-取费表'!B22&lt;=1,C19*F22*('数据-取费表'!B19/2+'数据-取费表'!B20),C19*(POWER((1+F22),('数据-取费表'!B19/2+'数据-取费表'!B20))-1)),0)</f>
        <v>50072</v>
      </c>
      <c r="D24" s="281"/>
      <c r="E24" s="281"/>
      <c r="F24" s="282"/>
      <c r="G24" s="283" t="s">
        <v>2436</v>
      </c>
    </row>
    <row r="25" spans="1:7" s="257" customFormat="1" ht="24">
      <c r="A25" s="953" t="s">
        <v>2326</v>
      </c>
      <c r="B25" s="258" t="s">
        <v>2437</v>
      </c>
      <c r="C25" s="1382">
        <f ca="1">ROUND(IF('数据-取费表'!B22&lt;=1,C20*F22*'数据-取费表'!B22/2,C20*(POWER((1+F22),'数据-取费表'!B22/2)-1)),0)</f>
        <v>1001</v>
      </c>
      <c r="D25" s="281"/>
      <c r="E25" s="284"/>
      <c r="F25" s="282"/>
      <c r="G25" s="285" t="s">
        <v>2438</v>
      </c>
    </row>
    <row r="26" spans="1:7" s="257" customFormat="1">
      <c r="A26" s="953" t="s">
        <v>795</v>
      </c>
      <c r="B26" s="258" t="s">
        <v>2361</v>
      </c>
      <c r="C26" s="281">
        <f ca="1">ROUND(IF('数据-取费表'!B22&lt;=1,F21*F22*'数据-取费表'!B22/2,F21*(POWER((1+F22),'数据-取费表'!B22/2)-1)),4)</f>
        <v>4.0000000000000002E-4</v>
      </c>
      <c r="D26" s="281"/>
      <c r="E26" s="284"/>
      <c r="F26" s="282"/>
      <c r="G26" s="286"/>
    </row>
    <row r="27" spans="1:7" s="257" customFormat="1" ht="24.75">
      <c r="A27" s="298" t="s">
        <v>2362</v>
      </c>
      <c r="B27" s="287" t="s">
        <v>2363</v>
      </c>
      <c r="C27" s="288">
        <f ca="1">C28</f>
        <v>234822</v>
      </c>
      <c r="D27" s="278">
        <f ca="1">C29</f>
        <v>2E-3</v>
      </c>
      <c r="E27" s="279" t="s">
        <v>2364</v>
      </c>
      <c r="F27" s="289">
        <f ca="1">IF(B1="",'数据-取费表'!Q16,INDIRECT("'数据-取费表'!q"&amp;$G$1))</f>
        <v>0.1</v>
      </c>
      <c r="G27" s="290" t="s">
        <v>2365</v>
      </c>
    </row>
    <row r="28" spans="1:7" s="257" customFormat="1" ht="13.5" customHeight="1">
      <c r="A28" s="953" t="s">
        <v>791</v>
      </c>
      <c r="B28" s="291" t="s">
        <v>2366</v>
      </c>
      <c r="C28" s="292">
        <f ca="1">ROUND((C5+C19+C20)*F27,0)</f>
        <v>234822</v>
      </c>
      <c r="D28" s="278"/>
      <c r="E28" s="279"/>
      <c r="F28" s="289"/>
      <c r="G28" s="290"/>
    </row>
    <row r="29" spans="1:7" s="257" customFormat="1" ht="13.5" customHeight="1">
      <c r="A29" s="953" t="s">
        <v>792</v>
      </c>
      <c r="B29" s="291" t="s">
        <v>2367</v>
      </c>
      <c r="C29" s="281">
        <f ca="1">ROUND(C21*F27,4)</f>
        <v>2E-3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2901201</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13410199</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11510900</v>
      </c>
      <c r="D34" s="260"/>
      <c r="E34" s="263"/>
      <c r="F34" s="300"/>
      <c r="G34" s="262"/>
    </row>
    <row r="35" spans="1:7" ht="13.5" customHeight="1">
      <c r="A35" s="953" t="s">
        <v>796</v>
      </c>
      <c r="B35" s="258" t="s">
        <v>2377</v>
      </c>
      <c r="C35" s="263">
        <f ca="1">ROUND(C34*F35,0)</f>
        <v>575545</v>
      </c>
      <c r="D35" s="263"/>
      <c r="E35" s="263"/>
      <c r="F35" s="302">
        <f>'数据-取费表'!B33</f>
        <v>0.05</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1151090</v>
      </c>
      <c r="D37" s="260">
        <f ca="1">D19</f>
        <v>5755.45</v>
      </c>
      <c r="E37" s="292">
        <f>'数据-取费表'!B35</f>
        <v>200</v>
      </c>
      <c r="F37" s="302"/>
      <c r="G37" s="304"/>
    </row>
    <row r="38" spans="1:7" ht="13.5" customHeight="1">
      <c r="A38" s="953" t="s">
        <v>799</v>
      </c>
      <c r="B38" s="258" t="s">
        <v>2383</v>
      </c>
      <c r="C38" s="263">
        <f ca="1">ROUND(C34*F38,0)</f>
        <v>172664</v>
      </c>
      <c r="D38" s="263"/>
      <c r="E38" s="263"/>
      <c r="F38" s="302">
        <f>'数据-取费表'!B36</f>
        <v>1.4999999999999999E-2</v>
      </c>
      <c r="G38" s="262" t="s">
        <v>2378</v>
      </c>
    </row>
    <row r="39" spans="1:7" s="257" customFormat="1" ht="13.5" customHeight="1">
      <c r="A39" s="298" t="s">
        <v>2384</v>
      </c>
      <c r="B39" s="253" t="s">
        <v>2385</v>
      </c>
      <c r="C39" s="275">
        <f ca="1">ROUND(C33*F20,0)</f>
        <v>268204</v>
      </c>
      <c r="D39" s="275"/>
      <c r="E39" s="275"/>
      <c r="F39" s="276"/>
      <c r="G39" s="277" t="s">
        <v>2386</v>
      </c>
    </row>
    <row r="40" spans="1:7" s="257" customFormat="1" ht="13.5" customHeight="1">
      <c r="A40" s="298" t="s">
        <v>2387</v>
      </c>
      <c r="B40" s="253" t="s">
        <v>2388</v>
      </c>
      <c r="C40" s="1729">
        <f>F21</f>
        <v>0.02</v>
      </c>
      <c r="D40" s="279" t="s">
        <v>2389</v>
      </c>
      <c r="E40" s="275"/>
      <c r="F40" s="276"/>
      <c r="G40" s="277" t="s">
        <v>2390</v>
      </c>
    </row>
    <row r="41" spans="1:7" s="257" customFormat="1" ht="13.5" customHeight="1">
      <c r="A41" s="298" t="s">
        <v>2391</v>
      </c>
      <c r="B41" s="253" t="s">
        <v>2392</v>
      </c>
      <c r="C41" s="275">
        <f ca="1">ROUND(SUM(C42:C43),0)</f>
        <v>297505</v>
      </c>
      <c r="D41" s="278">
        <f ca="1">C44</f>
        <v>4.0000000000000002E-4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ROUND(IF('数据-取费表'!B22&lt;=1,C33*F22*'数据-取费表'!B20/2,C33*(POWER((1+F22),'数据-取费表'!B20/2)-1)),0)</f>
        <v>291672</v>
      </c>
      <c r="D42" s="281"/>
      <c r="E42" s="281"/>
      <c r="F42" s="282"/>
      <c r="G42" s="3283" t="s">
        <v>2441</v>
      </c>
    </row>
    <row r="43" spans="1:7" ht="13.5" customHeight="1">
      <c r="A43" s="953" t="s">
        <v>792</v>
      </c>
      <c r="B43" s="258" t="s">
        <v>2395</v>
      </c>
      <c r="C43" s="281">
        <f ca="1">ROUND(IF('数据-取费表'!B22&lt;=1,C39*F22*'数据-取费表'!B20/2,C39*(POWER((1+F22),'数据-取费表'!B20/2)-1)),0)</f>
        <v>5833</v>
      </c>
      <c r="D43" s="281"/>
      <c r="E43" s="281"/>
      <c r="F43" s="282"/>
      <c r="G43" s="3284"/>
    </row>
    <row r="44" spans="1:7" ht="13.5" customHeight="1">
      <c r="A44" s="953" t="s">
        <v>793</v>
      </c>
      <c r="B44" s="258" t="s">
        <v>2396</v>
      </c>
      <c r="C44" s="281">
        <f ca="1">ROUND(IF('数据-取费表'!B22&lt;=1,C40*F22*'数据-取费表'!B20/2,C40*(POWER((1+F22),'数据-取费表'!B20/2)-1)),4)</f>
        <v>4.0000000000000002E-4</v>
      </c>
      <c r="D44" s="281"/>
      <c r="E44" s="281"/>
      <c r="F44" s="282"/>
      <c r="G44" s="3285"/>
    </row>
    <row r="45" spans="1:7" s="257" customFormat="1" ht="13.5" customHeight="1">
      <c r="A45" s="298" t="s">
        <v>2397</v>
      </c>
      <c r="B45" s="287" t="s">
        <v>2363</v>
      </c>
      <c r="C45" s="288">
        <f ca="1">C46</f>
        <v>1367840</v>
      </c>
      <c r="D45" s="278">
        <f ca="1">C47</f>
        <v>2E-3</v>
      </c>
      <c r="E45" s="279" t="s">
        <v>2389</v>
      </c>
      <c r="F45" s="289"/>
      <c r="G45" s="290" t="s">
        <v>2398</v>
      </c>
    </row>
    <row r="46" spans="1:7" s="257" customFormat="1" ht="13.5" customHeight="1">
      <c r="A46" s="953" t="s">
        <v>791</v>
      </c>
      <c r="B46" s="291" t="s">
        <v>2399</v>
      </c>
      <c r="C46" s="292">
        <f ca="1">ROUND((C33+C39)*F27,0)</f>
        <v>1367840</v>
      </c>
      <c r="D46" s="306"/>
      <c r="E46" s="279"/>
      <c r="F46" s="289"/>
      <c r="G46" s="290"/>
    </row>
    <row r="47" spans="1:7" s="257" customFormat="1" ht="13.5" customHeight="1">
      <c r="A47" s="953" t="s">
        <v>792</v>
      </c>
      <c r="B47" s="291" t="s">
        <v>2400</v>
      </c>
      <c r="C47" s="281">
        <f ca="1">ROUND(C40*F27,4)</f>
        <v>2E-3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16584250</v>
      </c>
      <c r="D49" s="275"/>
      <c r="E49" s="275"/>
      <c r="F49" s="307"/>
      <c r="G49" s="277" t="s">
        <v>2404</v>
      </c>
    </row>
    <row r="50" spans="1:7" s="301" customFormat="1">
      <c r="A50" s="298" t="s">
        <v>2405</v>
      </c>
      <c r="B50" s="253" t="s">
        <v>2406</v>
      </c>
      <c r="C50" s="275"/>
      <c r="D50" s="275"/>
      <c r="E50" s="275"/>
      <c r="F50" s="307">
        <f>IF('数据-取费表'!B24=0,'数据-取费表'!N16,1)</f>
        <v>0.6</v>
      </c>
      <c r="G50" s="290"/>
    </row>
    <row r="51" spans="1:7" ht="16.5" customHeight="1">
      <c r="A51" s="298" t="s">
        <v>2408</v>
      </c>
      <c r="B51" s="253" t="s">
        <v>2443</v>
      </c>
      <c r="C51" s="275">
        <f ca="1">ROUND(C49*F50,0)</f>
        <v>9950550</v>
      </c>
      <c r="D51" s="275"/>
      <c r="E51" s="275"/>
      <c r="F51" s="307"/>
      <c r="G51" s="277" t="s">
        <v>2410</v>
      </c>
    </row>
    <row r="52" spans="1:7" s="251" customFormat="1" ht="16.5" thickBot="1">
      <c r="A52" s="308" t="s">
        <v>2411</v>
      </c>
      <c r="B52" s="309"/>
      <c r="C52" s="310">
        <f ca="1">C31+C51</f>
        <v>12851751</v>
      </c>
      <c r="D52" s="309"/>
      <c r="E52" s="309"/>
      <c r="F52" s="309"/>
      <c r="G52" s="311"/>
    </row>
    <row r="55" spans="1:7" ht="15">
      <c r="B55" s="313" t="s">
        <v>2412</v>
      </c>
      <c r="C55" s="314"/>
    </row>
    <row r="56" spans="1:7">
      <c r="B56" s="316" t="s">
        <v>1513</v>
      </c>
      <c r="C56" s="318">
        <f ca="1">1-C57</f>
        <v>0.22599999999999998</v>
      </c>
    </row>
    <row r="57" spans="1:7">
      <c r="B57" s="316" t="s">
        <v>1514</v>
      </c>
      <c r="C57" s="317">
        <f ca="1">ROUND(C51/C52,3)</f>
        <v>0.77400000000000002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2"/>
      <c r="C1" s="1583"/>
      <c r="D1" s="1581"/>
      <c r="E1" s="319"/>
      <c r="F1" s="319"/>
      <c r="G1" s="1582"/>
      <c r="H1" s="319"/>
      <c r="I1" s="319"/>
      <c r="J1" s="319"/>
      <c r="K1" s="319">
        <f>MATCH(C1,'数据-取费表'!A6:A16,0)+5</f>
        <v>7</v>
      </c>
    </row>
    <row r="2" spans="1:33" ht="18" customHeight="1">
      <c r="A2" s="244" t="s">
        <v>2312</v>
      </c>
      <c r="B2" s="247">
        <f ca="1">C32</f>
        <v>0</v>
      </c>
      <c r="C2" s="319" t="s">
        <v>2445</v>
      </c>
      <c r="D2" s="319"/>
      <c r="E2" s="319"/>
      <c r="F2" s="319"/>
      <c r="G2" s="319"/>
      <c r="H2" s="319"/>
      <c r="I2" s="319"/>
      <c r="J2" s="319"/>
      <c r="K2" s="319"/>
    </row>
    <row r="3" spans="1:33" ht="18" customHeight="1" thickBot="1">
      <c r="A3" s="246" t="s">
        <v>2314</v>
      </c>
      <c r="B3" s="247">
        <f ca="1">ROUND(B2*10000/IF(C1="",'数据-汇总表'!E3,INDIRECT("'数据-取费表'!K"&amp;$K$1)),0)</f>
        <v>0</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1" t="s">
        <v>2450</v>
      </c>
      <c r="D5" s="2551" t="s">
        <v>2451</v>
      </c>
      <c r="E5" s="2551" t="s">
        <v>2452</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0.05</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5755.45</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5755.45</v>
      </c>
      <c r="E17" s="24">
        <f>'数据-取费表'!B32</f>
        <v>0</v>
      </c>
      <c r="F17" s="980"/>
      <c r="G17" s="139" t="s">
        <v>2476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0</v>
      </c>
      <c r="D18" s="1035"/>
      <c r="E18" s="24"/>
      <c r="F18" s="978"/>
      <c r="G18" s="2553"/>
      <c r="H18" s="1578"/>
      <c r="I18" s="2554"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2480</v>
      </c>
      <c r="C20" s="24">
        <f ca="1">ROUND(D20*E20/10000,0)</f>
        <v>115</v>
      </c>
      <c r="D20" s="1035">
        <f ca="1">IF(C1="",'数据-汇总表'!E6,IF(INDIRECT("'数据-取费表'!c"&amp;$K$1)="住宅",INDIRECT("'数据-取费表'!s"&amp;$K$1),INDIRECT("'数据-取费表'!k"&amp;$K$1)+INDIRECT("'数据-取费表'!s"&amp;$K$1)))</f>
        <v>5755.45</v>
      </c>
      <c r="E20" s="24">
        <f>'数据-取费表'!B28</f>
        <v>200</v>
      </c>
      <c r="F20" s="978"/>
      <c r="G20" s="15"/>
      <c r="H20" s="983"/>
      <c r="I20" s="983"/>
      <c r="J20" s="983"/>
      <c r="K20" s="984"/>
    </row>
    <row r="21" spans="1:33" s="977" customFormat="1" ht="13.5" customHeight="1">
      <c r="A21" s="963" t="s">
        <v>802</v>
      </c>
      <c r="B21" s="987" t="s">
        <v>2481</v>
      </c>
      <c r="C21" s="988">
        <f ca="1">C16+C17+C18</f>
        <v>0</v>
      </c>
      <c r="D21" s="989"/>
      <c r="E21" s="324"/>
      <c r="F21" s="324"/>
      <c r="G21" s="139" t="s">
        <v>2482</v>
      </c>
      <c r="H21" s="981"/>
      <c r="I21" s="981"/>
      <c r="J21" s="981"/>
      <c r="K21" s="982"/>
    </row>
    <row r="22" spans="1:33" s="977" customFormat="1" ht="13.5" customHeight="1">
      <c r="A22" s="963" t="s">
        <v>2454</v>
      </c>
      <c r="B22" s="987" t="s">
        <v>2483</v>
      </c>
      <c r="C22" s="988">
        <f ca="1">ROUND(C21*F22,0)</f>
        <v>0</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7">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2492</v>
      </c>
      <c r="C26" s="1358">
        <f ca="1">ROUND(IF('数据-取费表'!B22&lt;=1,(1+C24)*F25*'数据-取费表'!B24,(1+C24)*(POWER((1+F25),'数据-取费表'!B24)-1)),4)</f>
        <v>0</v>
      </c>
      <c r="D26" s="327"/>
      <c r="E26" s="328"/>
      <c r="F26" s="329"/>
      <c r="G26" s="2555"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2493</v>
      </c>
      <c r="C27" s="1359">
        <f ca="1">ROUND(IF('数据-取费表'!B22&lt;=1,(C21+C22+C23)*F25*'数据-取费表'!B24/2,(C21+C22+C23)*(POWER((1+F25),'数据-取费表'!B24/2)-1)),0)</f>
        <v>0</v>
      </c>
      <c r="D27" s="327"/>
      <c r="E27" s="328"/>
      <c r="F27" s="329"/>
      <c r="G27" s="2555" t="str">
        <f>IF('数据-取费表'!B22&lt;=1,"（1）-（3）项×年利率×建设期÷2","（1）-（3）项×((1+年利率)^(建设期÷2)-1)")</f>
        <v>（1）-（3）项×年利率×建设期÷2</v>
      </c>
      <c r="H27" s="981"/>
      <c r="I27" s="981"/>
      <c r="J27" s="981"/>
      <c r="K27" s="982"/>
    </row>
    <row r="28" spans="1:33" s="332" customFormat="1" ht="13.5" customHeight="1">
      <c r="A28" s="963" t="s">
        <v>2494</v>
      </c>
      <c r="B28" s="2556" t="s">
        <v>2495</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0</v>
      </c>
      <c r="D30" s="327"/>
      <c r="E30" s="328"/>
      <c r="F30" s="333"/>
      <c r="G30" s="139"/>
      <c r="H30" s="981"/>
      <c r="I30" s="981"/>
      <c r="J30" s="981"/>
      <c r="K30" s="982"/>
    </row>
    <row r="31" spans="1:33" s="977" customFormat="1" ht="13.5" customHeight="1" thickBot="1">
      <c r="A31" s="2557"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0</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t="s">
        <v>3294</v>
      </c>
      <c r="D1" s="1821" t="s">
        <v>70</v>
      </c>
      <c r="E1" s="1822" t="s">
        <v>1387</v>
      </c>
      <c r="F1" s="1284">
        <f ca="1">J53</f>
        <v>50</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3444</v>
      </c>
      <c r="C2" s="1846" t="s">
        <v>1516</v>
      </c>
      <c r="D2" s="1846"/>
      <c r="E2" s="1847"/>
      <c r="F2" s="1848"/>
      <c r="G2" s="1849"/>
      <c r="H2" s="1841"/>
      <c r="I2" s="1841"/>
      <c r="J2" s="1841"/>
      <c r="K2" s="1842"/>
      <c r="L2" s="1841"/>
      <c r="M2" s="1841"/>
    </row>
    <row r="3" spans="1:37" ht="18" customHeight="1" thickBot="1">
      <c r="A3" s="1850" t="s">
        <v>1517</v>
      </c>
      <c r="B3" s="1851">
        <f ca="1">IF(ISERROR(B2*10000/F43),0,ROUND(B2*10000/F43,0))</f>
        <v>5984</v>
      </c>
      <c r="C3" s="1846" t="s">
        <v>1518</v>
      </c>
      <c r="D3" s="1846"/>
      <c r="E3" s="1847"/>
      <c r="F3" s="1848"/>
      <c r="G3" s="1849"/>
      <c r="H3" s="743" t="s">
        <v>1587</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189</v>
      </c>
      <c r="D5" s="1823" t="s">
        <v>1402</v>
      </c>
      <c r="E5" s="1294"/>
      <c r="F5" s="1295"/>
      <c r="G5" s="1852"/>
      <c r="H5" s="343">
        <v>1</v>
      </c>
      <c r="I5" s="344" t="s">
        <v>1401</v>
      </c>
      <c r="J5" s="1293">
        <f ca="1">J6+J10+J12</f>
        <v>0</v>
      </c>
      <c r="K5" s="1823" t="s">
        <v>1402</v>
      </c>
      <c r="L5" s="1294"/>
      <c r="M5" s="1295"/>
    </row>
    <row r="6" spans="1:37" ht="18" customHeight="1">
      <c r="A6" s="1292" t="s">
        <v>1035</v>
      </c>
      <c r="B6" s="3288" t="s">
        <v>1403</v>
      </c>
      <c r="C6" s="1297">
        <f ca="1">ROUND(F6*F8*F7*(1-F9)/10000,0)</f>
        <v>189</v>
      </c>
      <c r="D6" s="163" t="s">
        <v>3017</v>
      </c>
      <c r="E6" s="346" t="s">
        <v>1405</v>
      </c>
      <c r="F6" s="347">
        <f ca="1">INDIRECT("'数据-取费表'!u"&amp;$G$1)</f>
        <v>1</v>
      </c>
      <c r="G6" s="1852"/>
      <c r="H6" s="1292" t="s">
        <v>1035</v>
      </c>
      <c r="I6" s="3288" t="s">
        <v>1403</v>
      </c>
      <c r="J6" s="345">
        <f ca="1">ROUND(M6*M8*M7*(1-M9)/10000,0)</f>
        <v>0</v>
      </c>
      <c r="K6" s="163" t="s">
        <v>3016</v>
      </c>
      <c r="L6" s="346" t="s">
        <v>1405</v>
      </c>
      <c r="M6" s="347">
        <f ca="1">INDIRECT("'数据-取费表'!z"&amp;$G$1)</f>
        <v>0</v>
      </c>
    </row>
    <row r="7" spans="1:37" ht="18" customHeight="1">
      <c r="A7" s="1296"/>
      <c r="B7" s="3289"/>
      <c r="C7" s="1298"/>
      <c r="D7" s="351"/>
      <c r="E7" s="1299" t="s">
        <v>1406</v>
      </c>
      <c r="F7" s="347">
        <f ca="1">IF(INDIRECT("'数据-取费表'!ah"&amp;$G$1)="",INDIRECT("'数据-取费表'!k"&amp;$G$1),INDIRECT("'数据-取费表'!ah"&amp;$G$1))</f>
        <v>5755.45</v>
      </c>
      <c r="G7" s="1852"/>
      <c r="H7" s="348"/>
      <c r="I7" s="3289"/>
      <c r="J7" s="350"/>
      <c r="K7" s="351"/>
      <c r="L7" s="346" t="s">
        <v>1406</v>
      </c>
      <c r="M7" s="347">
        <f ca="1">F7</f>
        <v>5755.45</v>
      </c>
    </row>
    <row r="8" spans="1:37" ht="18" customHeight="1">
      <c r="A8" s="348"/>
      <c r="B8" s="3289"/>
      <c r="C8" s="350"/>
      <c r="D8" s="351"/>
      <c r="E8" s="346" t="s">
        <v>1407</v>
      </c>
      <c r="F8" s="347">
        <f ca="1">INDIRECT("'数据-取费表'!ai"&amp;$G$1)</f>
        <v>365</v>
      </c>
      <c r="G8" s="1852"/>
      <c r="H8" s="348"/>
      <c r="I8" s="3289"/>
      <c r="J8" s="350"/>
      <c r="K8" s="351"/>
      <c r="L8" s="346" t="s">
        <v>1407</v>
      </c>
      <c r="M8" s="347">
        <f ca="1">INDIRECT("'数据-取费表'!ai"&amp;$G$1)</f>
        <v>365</v>
      </c>
    </row>
    <row r="9" spans="1:37" ht="18" customHeight="1">
      <c r="A9" s="348"/>
      <c r="B9" s="3290"/>
      <c r="C9" s="350"/>
      <c r="D9" s="351"/>
      <c r="E9" s="346" t="s">
        <v>1408</v>
      </c>
      <c r="F9" s="356">
        <f ca="1">INDIRECT("'数据-取费表'!w"&amp;$G$1)</f>
        <v>0.1</v>
      </c>
      <c r="G9" s="1852"/>
      <c r="H9" s="348"/>
      <c r="I9" s="3290"/>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3018</v>
      </c>
      <c r="E10" s="357" t="s">
        <v>1411</v>
      </c>
      <c r="F10" s="1367" t="s">
        <v>3221</v>
      </c>
      <c r="G10" s="1852"/>
      <c r="H10" s="1292" t="s">
        <v>1039</v>
      </c>
      <c r="I10" s="1824" t="s">
        <v>1409</v>
      </c>
      <c r="J10" s="345">
        <f ca="1">ROUND(IF(M10="押一",M6*M8*M7/12*M11,IF(M10="押二",M6*M8*M7/12*2*M11,IF(M10="押三",M6*M8*M7/12*3*M11,J11*M11)))/10000,0)</f>
        <v>0</v>
      </c>
      <c r="K10" s="1825" t="s">
        <v>3019</v>
      </c>
      <c r="L10" s="357" t="s">
        <v>1411</v>
      </c>
      <c r="M10" s="1367" t="s">
        <v>3221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995</v>
      </c>
      <c r="D13" s="1332" t="s">
        <v>1415</v>
      </c>
      <c r="E13" s="1332" t="s">
        <v>1416</v>
      </c>
      <c r="F13" s="1333">
        <f ca="1">INDIRECT("'数据-取费表'!y"&amp;$G$1)</f>
        <v>0.6</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1151</v>
      </c>
      <c r="D14" s="1801" t="s">
        <v>1418</v>
      </c>
      <c r="E14" s="1795"/>
      <c r="F14" s="363"/>
      <c r="G14" s="1852"/>
      <c r="H14" s="1202" t="s">
        <v>1035</v>
      </c>
      <c r="I14" s="346" t="s">
        <v>1419</v>
      </c>
      <c r="J14" s="24">
        <f ca="1">C29</f>
        <v>1659</v>
      </c>
      <c r="K14" s="15"/>
      <c r="L14" s="981"/>
      <c r="M14" s="982"/>
    </row>
    <row r="15" spans="1:37" s="1859" customFormat="1" ht="18" customHeight="1" thickBot="1">
      <c r="A15" s="1202" t="s">
        <v>1036</v>
      </c>
      <c r="B15" s="346" t="s">
        <v>1420</v>
      </c>
      <c r="C15" s="24">
        <f ca="1">ROUND(C14*F15,0)</f>
        <v>58</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40</v>
      </c>
      <c r="K16" s="1338" t="s">
        <v>1425</v>
      </c>
      <c r="L16" s="1339"/>
      <c r="M16" s="1295"/>
    </row>
    <row r="17" spans="1:37" s="1859" customFormat="1" ht="18" customHeight="1">
      <c r="A17" s="1202" t="s">
        <v>1390</v>
      </c>
      <c r="B17" s="346" t="s">
        <v>1426</v>
      </c>
      <c r="C17" s="24">
        <f ca="1">ROUND(F17*(F43+INDIRECT("'数据-取费表'!S"&amp;$G$1))/10000,0)</f>
        <v>115</v>
      </c>
      <c r="D17" s="346" t="s">
        <v>1427</v>
      </c>
      <c r="E17" s="346" t="s">
        <v>1428</v>
      </c>
      <c r="F17" s="26">
        <f>'数据-取费表'!B35</f>
        <v>200</v>
      </c>
      <c r="G17" s="1855"/>
      <c r="H17" s="1202" t="s">
        <v>1035</v>
      </c>
      <c r="I17" s="346" t="s">
        <v>1429</v>
      </c>
      <c r="J17" s="24">
        <f ca="1">ROUND(IF(项目基本情况!B11="自然人",J5*M17,J18+J19+J20),1)</f>
        <v>15.2</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17</v>
      </c>
      <c r="D18" s="346" t="s">
        <v>1421</v>
      </c>
      <c r="E18" s="346" t="s">
        <v>1422</v>
      </c>
      <c r="F18" s="366">
        <f>'数据-取费表'!B36</f>
        <v>1.4999999999999999E-2</v>
      </c>
      <c r="G18" s="1855"/>
      <c r="H18" s="1202" t="s">
        <v>1034</v>
      </c>
      <c r="I18" s="346" t="s">
        <v>1433</v>
      </c>
      <c r="J18" s="24">
        <f ca="1">ROUND(J5*M18/(1+'数据-取费表'!C42),2)</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1341</v>
      </c>
      <c r="D19" s="139" t="s">
        <v>1436</v>
      </c>
      <c r="E19" s="1819"/>
      <c r="F19" s="26"/>
      <c r="G19" s="1852"/>
      <c r="H19" s="1202" t="s">
        <v>1036</v>
      </c>
      <c r="I19" s="346" t="s">
        <v>1437</v>
      </c>
      <c r="J19" s="24">
        <f ca="1">IF(K19="按租金收入计税",ROUND(J5*M19,2),ROUND(C29*M19*0.7,2))</f>
        <v>13.94</v>
      </c>
      <c r="K19" s="1829" t="s">
        <v>1438</v>
      </c>
      <c r="L19" s="346" t="s">
        <v>1422</v>
      </c>
      <c r="M19" s="366">
        <f>IF(K19="按租金收入计税",'数据-取费表'!B51,'数据-取费表'!B50)</f>
        <v>1.2E-2</v>
      </c>
    </row>
    <row r="20" spans="1:37" s="1859" customFormat="1" ht="18" customHeight="1">
      <c r="A20" s="1202" t="s">
        <v>1039</v>
      </c>
      <c r="B20" s="346" t="s">
        <v>1439</v>
      </c>
      <c r="C20" s="24">
        <f ca="1">ROUND(C19*F20,0)</f>
        <v>27</v>
      </c>
      <c r="D20" s="368" t="s">
        <v>1440</v>
      </c>
      <c r="E20" s="346" t="s">
        <v>1422</v>
      </c>
      <c r="F20" s="366">
        <f>'数据-取费表'!B37</f>
        <v>0.02</v>
      </c>
      <c r="G20" s="1855"/>
      <c r="H20" s="1202" t="s">
        <v>1389</v>
      </c>
      <c r="I20" s="163" t="s">
        <v>1441</v>
      </c>
      <c r="J20" s="25">
        <f ca="1">ROUND(M20*M21/10000,2)</f>
        <v>1.21</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8089.25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单利计息。建造成本、管理费用、销售费用产生的利息。</v>
      </c>
      <c r="E22" s="1819"/>
      <c r="F22" s="26"/>
      <c r="G22" s="1852"/>
      <c r="H22" s="1202" t="s">
        <v>1039</v>
      </c>
      <c r="I22" s="346" t="s">
        <v>1449</v>
      </c>
      <c r="J22" s="24">
        <f ca="1">ROUND(J14*M22,1)</f>
        <v>24.9</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30</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1393</v>
      </c>
      <c r="I24" s="1341" t="s">
        <v>1439</v>
      </c>
      <c r="J24" s="1342">
        <f ca="1">ROUND(J5*M24,1)</f>
        <v>0</v>
      </c>
      <c r="K24" s="1343" t="s">
        <v>1459</v>
      </c>
      <c r="L24" s="1341" t="s">
        <v>1455</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1819"/>
      <c r="F25" s="26"/>
      <c r="G25" s="1852"/>
      <c r="H25" s="1330" t="s">
        <v>1031</v>
      </c>
      <c r="I25" s="1345" t="s">
        <v>1463</v>
      </c>
      <c r="J25" s="354">
        <f ca="1">J5-J16</f>
        <v>-40</v>
      </c>
      <c r="K25" s="1346" t="s">
        <v>1464</v>
      </c>
      <c r="L25" s="1347"/>
      <c r="M25" s="1348"/>
    </row>
    <row r="26" spans="1:37">
      <c r="A26" s="1202" t="s">
        <v>1034</v>
      </c>
      <c r="B26" s="346" t="s">
        <v>1465</v>
      </c>
      <c r="C26" s="24">
        <f ca="1">ROUND((C19+C20)*F26,0)</f>
        <v>137</v>
      </c>
      <c r="D26" s="368" t="s">
        <v>1466</v>
      </c>
      <c r="E26" s="357" t="s">
        <v>1467</v>
      </c>
      <c r="F26" s="356">
        <f ca="1">INDIRECT("'数据-取费表'!q"&amp;$G$1)</f>
        <v>0.1</v>
      </c>
      <c r="G26" s="1852"/>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2E-3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1659</v>
      </c>
      <c r="D29" s="1343"/>
      <c r="E29" s="1341"/>
      <c r="F29" s="1344"/>
      <c r="G29" s="1855"/>
      <c r="H29" s="379" t="s">
        <v>1033</v>
      </c>
      <c r="I29" s="380" t="s">
        <v>1479</v>
      </c>
      <c r="J29" s="381">
        <f ca="1">ROUND(J26/(1+F40)^F41,0)</f>
        <v>0</v>
      </c>
      <c r="K29" s="382" t="s">
        <v>1480</v>
      </c>
      <c r="L29" s="383"/>
      <c r="M29" s="384">
        <f ca="1">INDIRECT("'数据-取费表'!k"&amp;$G$1)</f>
        <v>5755.45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54</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25.1</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9.9</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13.94</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IF(项目基本情况!B11="自然人","——",ROUND(F34*F35/10000,2))</f>
        <v>1.21</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8089.25</v>
      </c>
      <c r="G35" s="1852"/>
      <c r="H35" s="744"/>
      <c r="I35" s="1861"/>
      <c r="J35" s="1862"/>
      <c r="K35" s="1863"/>
      <c r="L35" s="1860"/>
      <c r="M35" s="1860"/>
    </row>
    <row r="36" spans="1:18" ht="18" customHeight="1">
      <c r="A36" s="1353" t="s">
        <v>1039</v>
      </c>
      <c r="B36" s="346" t="s">
        <v>1449</v>
      </c>
      <c r="C36" s="24">
        <f ca="1">ROUND(C29*F36,1)</f>
        <v>24.9</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1.5</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2.8</v>
      </c>
      <c r="D38" s="1343" t="s">
        <v>1459</v>
      </c>
      <c r="E38" s="1341" t="s">
        <v>1455</v>
      </c>
      <c r="F38" s="1337">
        <f ca="1">INDIRECT("'数据-取费表'!Am"&amp;$G$1)</f>
        <v>1.4999999999999999E-2</v>
      </c>
      <c r="G38" s="1852"/>
      <c r="H38" s="1860"/>
      <c r="I38" s="1861"/>
      <c r="J38" s="1862"/>
      <c r="K38" s="1866"/>
      <c r="L38" s="1860"/>
      <c r="M38" s="1860"/>
    </row>
    <row r="39" spans="1:18" ht="24.6" customHeight="1" thickTop="1">
      <c r="A39" s="1330" t="s">
        <v>1031</v>
      </c>
      <c r="B39" s="1345" t="s">
        <v>1483</v>
      </c>
      <c r="C39" s="354">
        <f ca="1">C5-C30</f>
        <v>135</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3444</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50</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5984</v>
      </c>
      <c r="D43" s="382" t="s">
        <v>1488</v>
      </c>
      <c r="E43" s="383" t="s">
        <v>1489</v>
      </c>
      <c r="F43" s="384">
        <f ca="1">INDIRECT("'数据-取费表'!k"&amp;$G$1)</f>
        <v>5755.45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-4211</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3060</v>
      </c>
      <c r="K47" s="1883" t="s">
        <v>1527</v>
      </c>
      <c r="L47" s="1884">
        <f ca="1">INDIRECT("'数据-取费表'!d"&amp;$G$1)</f>
        <v>50</v>
      </c>
      <c r="M47" s="1839" t="str">
        <f>IF(ISNUMBER(FIND("住宅",C1)),"住宅","非住宅")</f>
        <v>非住宅</v>
      </c>
      <c r="O47" s="1885" t="s">
        <v>1040</v>
      </c>
      <c r="P47" s="1886" t="s">
        <v>1528</v>
      </c>
      <c r="Q47" s="1887">
        <f ca="1">C40+J29</f>
        <v>3444</v>
      </c>
      <c r="R47" s="1887" t="s">
        <v>1529</v>
      </c>
    </row>
    <row r="48" spans="1:18" s="1843" customFormat="1" ht="28.5" thickBot="1">
      <c r="A48" s="1361" t="s">
        <v>1135</v>
      </c>
      <c r="B48" s="344" t="s">
        <v>1401</v>
      </c>
      <c r="C48" s="1818">
        <f ca="1">C49+C53+C55</f>
        <v>0</v>
      </c>
      <c r="D48" s="1363"/>
      <c r="E48" s="1364"/>
      <c r="F48" s="1182"/>
      <c r="G48" s="791"/>
      <c r="H48" s="792"/>
      <c r="I48" s="1888" t="s">
        <v>1530</v>
      </c>
      <c r="J48" s="1889" t="s">
        <v>3076</v>
      </c>
      <c r="K48" s="1890" t="s">
        <v>1531</v>
      </c>
      <c r="L48" s="1891">
        <f ca="1">INDIRECT("'数据-取费表'!f"&amp;$G$1)</f>
        <v>50</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3020</v>
      </c>
      <c r="E49" s="1831" t="s">
        <v>1491</v>
      </c>
      <c r="F49" s="1282"/>
      <c r="G49" s="1892"/>
      <c r="H49" s="792"/>
      <c r="I49" s="1888" t="s">
        <v>1534</v>
      </c>
      <c r="J49" s="1893">
        <v>2222</v>
      </c>
      <c r="K49" s="1890" t="s">
        <v>1535</v>
      </c>
      <c r="L49" s="1894"/>
      <c r="O49" s="1895" t="s">
        <v>1042</v>
      </c>
      <c r="P49" s="1886" t="s">
        <v>1536</v>
      </c>
      <c r="Q49" s="1887">
        <f ca="1">C29</f>
        <v>1659</v>
      </c>
      <c r="R49" s="1887" t="s">
        <v>1529</v>
      </c>
    </row>
    <row r="50" spans="1:18" s="1843" customFormat="1" ht="13.5" thickBot="1">
      <c r="A50" s="1196"/>
      <c r="B50" s="1199"/>
      <c r="C50" s="1369"/>
      <c r="D50" s="1173"/>
      <c r="E50" s="1278" t="s">
        <v>1406</v>
      </c>
      <c r="F50" s="1279">
        <f ca="1">F7</f>
        <v>5755.45</v>
      </c>
      <c r="H50" s="792"/>
      <c r="I50" s="1888" t="s">
        <v>1537</v>
      </c>
      <c r="J50" s="1896">
        <f>SUMPRODUCT((I63:I65=J47)*(J62:L62=J48)*(J63:L65))</f>
        <v>60</v>
      </c>
      <c r="K50" s="1890" t="s">
        <v>1538</v>
      </c>
      <c r="L50" s="1894">
        <f ca="1">基准地价修正!B2</f>
        <v>1656</v>
      </c>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264</v>
      </c>
      <c r="K51" s="1901" t="s">
        <v>1541</v>
      </c>
      <c r="L51" s="1902">
        <f ca="1">ROUND(-PV(INDIRECT("'数据-取费表'!h"&amp;$G$1),L48,(C39-C13*C76),0),0)</f>
        <v>1083</v>
      </c>
      <c r="M51" s="1903"/>
      <c r="O51" s="1895" t="s">
        <v>1044</v>
      </c>
      <c r="P51" s="1886" t="s">
        <v>1542</v>
      </c>
      <c r="Q51" s="1898">
        <f>J52</f>
        <v>9.0000000000000011E-2</v>
      </c>
      <c r="R51" s="1887"/>
    </row>
    <row r="52" spans="1:18" s="1843" customFormat="1" ht="13.5" thickBot="1">
      <c r="A52" s="1197"/>
      <c r="B52" s="1199"/>
      <c r="C52" s="1200"/>
      <c r="D52" s="1173"/>
      <c r="E52" s="1201" t="s">
        <v>1408</v>
      </c>
      <c r="F52" s="1276"/>
      <c r="I52" s="1904" t="s">
        <v>1543</v>
      </c>
      <c r="J52" s="1905">
        <f>'数据-取费表'!J6+0.005</f>
        <v>9.0000000000000011E-2</v>
      </c>
      <c r="K52" s="1904" t="s">
        <v>1544</v>
      </c>
      <c r="L52" s="1905">
        <f ca="1">基准地价修正!G20</f>
        <v>4.8000000000000001E-2</v>
      </c>
      <c r="O52" s="1895" t="s">
        <v>1045</v>
      </c>
      <c r="P52" s="1886" t="s">
        <v>1545</v>
      </c>
      <c r="Q52" s="1887">
        <f ca="1">J53</f>
        <v>50</v>
      </c>
      <c r="R52" s="1887" t="s">
        <v>1546</v>
      </c>
    </row>
    <row r="53" spans="1:18" s="1843" customFormat="1" ht="24.75" thickBot="1">
      <c r="A53" s="1406" t="s">
        <v>1137</v>
      </c>
      <c r="B53" s="1832" t="s">
        <v>1409</v>
      </c>
      <c r="C53" s="360">
        <f ca="1">ROUND(IF(F53="押一",F49*F51*F50/12*F11,IF(F53="押二",F49*F51*F50/12*2*F11,IF(F53="押三",F49*F51*F50/12*3*F11,C54*F11)))/10000,0)</f>
        <v>0</v>
      </c>
      <c r="D53" s="1825" t="s">
        <v>3018</v>
      </c>
      <c r="E53" s="357" t="s">
        <v>1411</v>
      </c>
      <c r="F53" s="1367" t="s">
        <v>3221</v>
      </c>
      <c r="I53" s="1906" t="s">
        <v>1547</v>
      </c>
      <c r="J53" s="1907">
        <f ca="1">IF(M47="住宅",J51,IF(D1="——",MIN(J51,L48),IF(D1="在建（套用方法）",MIN(J51,L48-'数据-取费表'!B24),IF(D1="土地（套用方法）",MIN(J51,L48-'数据-取费表'!B20)))))</f>
        <v>50</v>
      </c>
      <c r="K53" s="3286" t="s">
        <v>1548</v>
      </c>
      <c r="L53" s="3287"/>
      <c r="O53" s="1885" t="s">
        <v>1046</v>
      </c>
      <c r="P53" s="1886" t="s">
        <v>1549</v>
      </c>
      <c r="Q53" s="1887">
        <f ca="1">Q47+Q48</f>
        <v>3444</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3276</v>
      </c>
      <c r="O55" s="1878" t="s">
        <v>1522</v>
      </c>
      <c r="P55" s="1879" t="s">
        <v>1523</v>
      </c>
      <c r="Q55" s="1880" t="s">
        <v>1524</v>
      </c>
      <c r="R55" s="1880" t="s">
        <v>1525</v>
      </c>
    </row>
    <row r="56" spans="1:18" s="1843" customFormat="1" ht="25.5" thickTop="1" thickBot="1">
      <c r="A56" s="1177">
        <v>2</v>
      </c>
      <c r="B56" s="1178" t="s">
        <v>1414</v>
      </c>
      <c r="C56" s="275">
        <f ca="1">C13</f>
        <v>995</v>
      </c>
      <c r="D56" s="1915"/>
      <c r="E56" s="1916"/>
      <c r="F56" s="1908"/>
      <c r="I56" s="1917" t="s">
        <v>1553</v>
      </c>
      <c r="J56" s="1918" t="s">
        <v>3047</v>
      </c>
      <c r="K56" s="1888" t="s">
        <v>1554</v>
      </c>
      <c r="L56" s="1891" t="str">
        <f ca="1">IF(L48&lt;J51,"——",L48-J53)</f>
        <v>——</v>
      </c>
      <c r="O56" s="1885" t="s">
        <v>1040</v>
      </c>
      <c r="P56" s="1886" t="s">
        <v>1528</v>
      </c>
      <c r="Q56" s="1887">
        <f ca="1">C40+J29</f>
        <v>3444</v>
      </c>
      <c r="R56" s="1887" t="s">
        <v>1529</v>
      </c>
    </row>
    <row r="57" spans="1:18" s="1843" customFormat="1" ht="24.75" thickBot="1">
      <c r="A57" s="1919"/>
      <c r="B57" s="1170" t="s">
        <v>1478</v>
      </c>
      <c r="C57" s="281">
        <f ca="1">C29</f>
        <v>1659</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59" t="s">
        <v>1030</v>
      </c>
      <c r="B58" s="1178" t="s">
        <v>1424</v>
      </c>
      <c r="C58" s="360">
        <f ca="1">ROUND(C59+C64+C65+C66,0)</f>
        <v>42</v>
      </c>
      <c r="D58" s="1180" t="s">
        <v>1425</v>
      </c>
      <c r="E58" s="1181"/>
      <c r="F58" s="1182"/>
      <c r="I58" s="1923" t="s">
        <v>1559</v>
      </c>
      <c r="J58" s="1925" t="e">
        <f ca="1">IF(J55&lt;0.4,0.4,J55)</f>
        <v>#VALUE!</v>
      </c>
      <c r="K58" s="1901" t="s">
        <v>1560</v>
      </c>
      <c r="L58" s="1891">
        <f ca="1">ROUND(POWER(1+L52,L47-L48)*(POWER(1+L52,L48)-1)/(POWER(1+L52,L47)-1),4)</f>
        <v>1</v>
      </c>
      <c r="O58" s="1895" t="s">
        <v>1042</v>
      </c>
      <c r="P58" s="1886" t="s">
        <v>1561</v>
      </c>
      <c r="Q58" s="1887">
        <f ca="1">IF(L55="比较法",L49,IF(L55="基准地价",L50,0))</f>
        <v>1656</v>
      </c>
      <c r="R58" s="1887" t="s">
        <v>1529</v>
      </c>
    </row>
    <row r="59" spans="1:18" s="1843" customFormat="1" ht="24.75" thickBot="1">
      <c r="A59" s="1202" t="s">
        <v>1035</v>
      </c>
      <c r="B59" s="1170" t="s">
        <v>1429</v>
      </c>
      <c r="C59" s="24">
        <f ca="1">ROUND(IF(项目基本情况!B11="自然人",C48*F59,C60+C61+C62),1)</f>
        <v>15.2</v>
      </c>
      <c r="D59" s="1183" t="s">
        <v>1430</v>
      </c>
      <c r="E59" s="1184" t="s">
        <v>1431</v>
      </c>
      <c r="F59" s="367"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1.1061000000000001</v>
      </c>
      <c r="M59" s="1839">
        <f ca="1">ROUND(POWER(1+L52,L47-(J51+'数据-取费表'!B24))*(POWER(1+L52,(J51+'数据-取费表'!B24))-1)/(POWER(1+L52,L47)-1),4)</f>
        <v>1.1061000000000001</v>
      </c>
      <c r="N59" s="1839">
        <f ca="1">ROUND(POWER(1+L52,L47-(J51+'数据-取费表'!B20))*(POWER(1+L52,(J51+'数据-取费表'!B20))-1)/(POWER(1+L52,L47)-1),4)</f>
        <v>1.1061000000000001</v>
      </c>
      <c r="O59" s="1895" t="s">
        <v>1043</v>
      </c>
      <c r="P59" s="1886" t="s">
        <v>1563</v>
      </c>
      <c r="Q59" s="1898">
        <f ca="1">L52</f>
        <v>4.8000000000000001E-2</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5.5000000000000007E-2</v>
      </c>
      <c r="I60" s="1926" t="s">
        <v>1564</v>
      </c>
      <c r="J60" s="1927" t="str">
        <f ca="1">IF(OR(M47="住宅",J51&lt;L48,J56="是"),"0",ROUND(J59/(1+J52)^J53,0))</f>
        <v>0</v>
      </c>
      <c r="K60" s="1928" t="s">
        <v>1565</v>
      </c>
      <c r="L60" s="1927">
        <f ca="1">IF(OR(M47="住宅",L48&lt;J51),0,ROUND(L57*(L58/L59-1),0))</f>
        <v>0</v>
      </c>
      <c r="O60" s="1895" t="s">
        <v>1044</v>
      </c>
      <c r="P60" s="1886" t="s">
        <v>1566</v>
      </c>
      <c r="Q60" s="1887">
        <f ca="1">L58</f>
        <v>1</v>
      </c>
      <c r="R60" s="1887" t="s">
        <v>1567</v>
      </c>
    </row>
    <row r="61" spans="1:18" s="1843" customFormat="1" ht="13.5" thickBot="1">
      <c r="A61" s="1202" t="s">
        <v>1492</v>
      </c>
      <c r="B61" s="1170" t="s">
        <v>1493</v>
      </c>
      <c r="C61" s="24">
        <f ca="1">IF(项目基本情况!B11="自然人","——",IF(D61="按租金收入计税",ROUND(C48*F61,2),IF(D61="按房产原值计税",ROUND(C57*F61*0.7,2),INDIRECT("'数据-取费表'!Aj"&amp;$G$1))))</f>
        <v>13.94</v>
      </c>
      <c r="D61" s="1829" t="s">
        <v>1438</v>
      </c>
      <c r="E61" s="1170" t="s">
        <v>1494</v>
      </c>
      <c r="F61" s="366">
        <f t="shared" si="0"/>
        <v>1.2E-2</v>
      </c>
      <c r="I61" s="1929"/>
      <c r="J61" s="1929"/>
      <c r="K61" s="1929"/>
      <c r="L61" s="1929"/>
      <c r="O61" s="1895" t="s">
        <v>1045</v>
      </c>
      <c r="P61" s="1886" t="str">
        <f>K59</f>
        <v>建筑物剩余耐用年限下的土地年期修正系数Kn</v>
      </c>
      <c r="Q61" s="1887">
        <f ca="1">L59</f>
        <v>1.1061000000000001</v>
      </c>
      <c r="R61" s="1887" t="s">
        <v>1568</v>
      </c>
    </row>
    <row r="62" spans="1:18" s="1843" customFormat="1" ht="13.5" thickBot="1">
      <c r="A62" s="1202" t="s">
        <v>1495</v>
      </c>
      <c r="B62" s="1169" t="s">
        <v>1496</v>
      </c>
      <c r="C62" s="25">
        <f ca="1">IF(项目基本情况!B11="自然人","——",ROUND(F62*F63/10000,2))</f>
        <v>1.21</v>
      </c>
      <c r="D62" s="1185" t="s">
        <v>1497</v>
      </c>
      <c r="E62" s="1170" t="s">
        <v>1498</v>
      </c>
      <c r="F62" s="370">
        <f t="shared" si="0"/>
        <v>1.5</v>
      </c>
      <c r="I62" s="1930" t="s">
        <v>1569</v>
      </c>
      <c r="J62" s="1931" t="s">
        <v>1570</v>
      </c>
      <c r="K62" s="1931" t="s">
        <v>1571</v>
      </c>
      <c r="L62" s="1931" t="s">
        <v>1572</v>
      </c>
      <c r="M62" s="1932" t="s">
        <v>1573</v>
      </c>
      <c r="O62" s="1885" t="s">
        <v>1046</v>
      </c>
      <c r="P62" s="1886" t="s">
        <v>1574</v>
      </c>
      <c r="Q62" s="1887">
        <f ca="1">Q56+Q57</f>
        <v>3444</v>
      </c>
      <c r="R62" s="1887" t="s">
        <v>1047</v>
      </c>
    </row>
    <row r="63" spans="1:18" s="1843" customFormat="1" ht="13.5" thickBot="1">
      <c r="A63" s="371"/>
      <c r="B63" s="1176"/>
      <c r="C63" s="29"/>
      <c r="D63" s="1186"/>
      <c r="E63" s="1170" t="s">
        <v>1499</v>
      </c>
      <c r="F63" s="347">
        <f t="shared" ca="1" si="0"/>
        <v>8089.25</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ROUND(C57*F64,1)</f>
        <v>24.9</v>
      </c>
      <c r="D64" s="1184" t="s">
        <v>1502</v>
      </c>
      <c r="E64" s="1170" t="s">
        <v>1494</v>
      </c>
      <c r="F64" s="373">
        <f t="shared" ca="1" si="0"/>
        <v>1.4999999999999999E-2</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1.5</v>
      </c>
      <c r="D65" s="1184" t="s">
        <v>1454</v>
      </c>
      <c r="E65" s="1170" t="s">
        <v>1455</v>
      </c>
      <c r="F65" s="375">
        <f t="shared" ca="1" si="0"/>
        <v>1.5E-3</v>
      </c>
      <c r="I65" s="1930" t="s">
        <v>1578</v>
      </c>
      <c r="J65" s="1931">
        <v>40</v>
      </c>
      <c r="K65" s="1931">
        <v>30</v>
      </c>
      <c r="L65" s="1931">
        <v>50</v>
      </c>
      <c r="M65" s="1933">
        <v>0.02</v>
      </c>
      <c r="O65" s="1885" t="s">
        <v>1040</v>
      </c>
      <c r="P65" s="1886" t="s">
        <v>1579</v>
      </c>
      <c r="Q65" s="1887">
        <f ca="1">C40+J29</f>
        <v>3444</v>
      </c>
      <c r="R65" s="1887" t="s">
        <v>1529</v>
      </c>
    </row>
    <row r="66" spans="1:18" s="1843" customFormat="1" ht="16.5" thickBot="1">
      <c r="A66" s="1202" t="s">
        <v>1504</v>
      </c>
      <c r="B66" s="1170" t="s">
        <v>1439</v>
      </c>
      <c r="C66" s="24">
        <f ca="1">ROUND(C48*F66,1)</f>
        <v>0</v>
      </c>
      <c r="D66" s="1184" t="s">
        <v>1505</v>
      </c>
      <c r="E66" s="1170" t="s">
        <v>1422</v>
      </c>
      <c r="F66" s="356">
        <f t="shared" ca="1" si="0"/>
        <v>1.4999999999999999E-2</v>
      </c>
      <c r="O66" s="1885" t="s">
        <v>1041</v>
      </c>
      <c r="P66" s="1886" t="s">
        <v>1557</v>
      </c>
      <c r="Q66" s="1887">
        <f ca="1">L60</f>
        <v>0</v>
      </c>
      <c r="R66" s="1887" t="s">
        <v>1580</v>
      </c>
    </row>
    <row r="67" spans="1:18" s="1843" customFormat="1" ht="16.5" thickBot="1">
      <c r="A67" s="1177" t="s">
        <v>1031</v>
      </c>
      <c r="B67" s="1187" t="s">
        <v>1463</v>
      </c>
      <c r="C67" s="360">
        <f ca="1">C48-C58</f>
        <v>-42</v>
      </c>
      <c r="D67" s="1183" t="s">
        <v>1464</v>
      </c>
      <c r="E67" s="1188"/>
      <c r="F67" s="1189"/>
      <c r="O67" s="1895" t="s">
        <v>1042</v>
      </c>
      <c r="P67" s="1886" t="s">
        <v>1561</v>
      </c>
      <c r="Q67" s="1934">
        <f ca="1">L51</f>
        <v>1083</v>
      </c>
      <c r="R67" s="1887" t="s">
        <v>1581</v>
      </c>
    </row>
    <row r="68" spans="1:18" s="1843" customFormat="1" ht="16.5" thickBot="1">
      <c r="A68" s="1167" t="s">
        <v>1032</v>
      </c>
      <c r="B68" s="1168" t="s">
        <v>1485</v>
      </c>
      <c r="C68" s="345">
        <f ca="1">ROUND(C67*(1-((1+F70)/(1+F68))^F69)/(F68-F70),0)</f>
        <v>-767</v>
      </c>
      <c r="D68" s="1185" t="s">
        <v>1469</v>
      </c>
      <c r="E68" s="1170" t="s">
        <v>1470</v>
      </c>
      <c r="F68" s="356">
        <f ca="1">F40</f>
        <v>0.05</v>
      </c>
      <c r="O68" s="1895" t="s">
        <v>1043</v>
      </c>
      <c r="P68" s="1935" t="s">
        <v>1582</v>
      </c>
      <c r="Q68" s="1887">
        <f ca="1">ROUND(Q69-Q70*Q71,0)</f>
        <v>50</v>
      </c>
      <c r="R68" s="1887" t="s">
        <v>1051</v>
      </c>
    </row>
    <row r="69" spans="1:18" s="1843" customFormat="1" ht="13.5" thickBot="1">
      <c r="A69" s="1171"/>
      <c r="B69" s="1172"/>
      <c r="C69" s="350"/>
      <c r="D69" s="1190" t="s">
        <v>1473</v>
      </c>
      <c r="E69" s="1170" t="s">
        <v>1474</v>
      </c>
      <c r="F69" s="378">
        <f ca="1">F41</f>
        <v>50</v>
      </c>
      <c r="O69" s="1895" t="s">
        <v>1048</v>
      </c>
      <c r="P69" s="1935" t="s">
        <v>1583</v>
      </c>
      <c r="Q69" s="1887">
        <f ca="1">C39</f>
        <v>135</v>
      </c>
      <c r="R69" s="1887" t="s">
        <v>1529</v>
      </c>
    </row>
    <row r="70" spans="1:18" s="1843" customFormat="1" ht="13.5" thickBot="1">
      <c r="A70" s="1174"/>
      <c r="B70" s="1175"/>
      <c r="C70" s="354"/>
      <c r="D70" s="1186"/>
      <c r="E70" s="1170" t="s">
        <v>1477</v>
      </c>
      <c r="F70" s="1276">
        <f>'数据-取费表'!AA6</f>
        <v>0</v>
      </c>
      <c r="O70" s="1895" t="s">
        <v>1049</v>
      </c>
      <c r="P70" s="1935" t="s">
        <v>1584</v>
      </c>
      <c r="Q70" s="1887">
        <f ca="1">C13</f>
        <v>995</v>
      </c>
      <c r="R70" s="1887" t="s">
        <v>1529</v>
      </c>
    </row>
    <row r="71" spans="1:18" s="1843" customFormat="1" ht="13.5" thickBot="1">
      <c r="A71" s="1191" t="s">
        <v>1033</v>
      </c>
      <c r="B71" s="1192" t="s">
        <v>1487</v>
      </c>
      <c r="C71" s="381">
        <f ca="1">ROUND(C68*10000/F71,0)</f>
        <v>-1333</v>
      </c>
      <c r="D71" s="1193" t="s">
        <v>1488</v>
      </c>
      <c r="E71" s="1194" t="s">
        <v>1489</v>
      </c>
      <c r="F71" s="384">
        <f ca="1">F43</f>
        <v>5755.45</v>
      </c>
      <c r="O71" s="1895" t="s">
        <v>1050</v>
      </c>
      <c r="P71" s="1935" t="s">
        <v>1585</v>
      </c>
      <c r="Q71" s="1898">
        <f ca="1">C76</f>
        <v>8.5000000000000006E-2</v>
      </c>
      <c r="R71" s="1887"/>
    </row>
    <row r="72" spans="1:18" s="1843" customFormat="1" ht="13.5" thickBot="1">
      <c r="B72" s="795"/>
      <c r="C72" s="795"/>
      <c r="O72" s="1895" t="s">
        <v>1044</v>
      </c>
      <c r="P72" s="1886" t="s">
        <v>1563</v>
      </c>
      <c r="Q72" s="1898">
        <f ca="1">L52</f>
        <v>4.8000000000000001E-2</v>
      </c>
      <c r="R72" s="1887"/>
    </row>
    <row r="73" spans="1:18" ht="16.5" thickBot="1">
      <c r="A73" s="1843"/>
      <c r="B73" s="795"/>
      <c r="C73" s="795"/>
      <c r="D73" s="1843"/>
      <c r="E73" s="1843"/>
      <c r="F73" s="1843"/>
      <c r="O73" s="1895" t="s">
        <v>1045</v>
      </c>
      <c r="P73" s="1886" t="s">
        <v>1566</v>
      </c>
      <c r="Q73" s="1887">
        <f ca="1">L58</f>
        <v>1</v>
      </c>
      <c r="R73" s="1887" t="s">
        <v>1567</v>
      </c>
    </row>
    <row r="74" spans="1:18" ht="13.5" thickBot="1">
      <c r="A74" s="1843"/>
      <c r="B74" s="316" t="s">
        <v>1586</v>
      </c>
      <c r="C74" s="1937"/>
      <c r="D74" s="1843"/>
      <c r="E74" s="1843"/>
      <c r="F74" s="1843"/>
      <c r="O74" s="1895" t="s">
        <v>1052</v>
      </c>
      <c r="P74" s="1886" t="str">
        <f>K59</f>
        <v>建筑物剩余耐用年限下的土地年期修正系数Kn</v>
      </c>
      <c r="Q74" s="1887">
        <f ca="1">L59</f>
        <v>1.1061000000000001</v>
      </c>
      <c r="R74" s="1887" t="s">
        <v>1568</v>
      </c>
    </row>
    <row r="75" spans="1:18" ht="13.5" thickBot="1">
      <c r="A75" s="1843"/>
      <c r="B75" s="385" t="s">
        <v>1506</v>
      </c>
      <c r="C75" s="386">
        <f ca="1">ROUND(C13*C76,0)</f>
        <v>85</v>
      </c>
      <c r="D75" s="1843"/>
      <c r="E75" s="1843"/>
      <c r="F75" s="1843"/>
      <c r="K75" s="1869"/>
      <c r="L75" s="1843"/>
      <c r="O75" s="1885" t="s">
        <v>1046</v>
      </c>
      <c r="P75" s="1886" t="s">
        <v>1549</v>
      </c>
      <c r="Q75" s="1887">
        <f ca="1">Q65+Q66</f>
        <v>3444</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0.37</v>
      </c>
    </row>
    <row r="80" spans="1:18">
      <c r="B80" s="385" t="s">
        <v>1511</v>
      </c>
      <c r="C80" s="317">
        <f ca="1">ROUND(C75/C39,3)</f>
        <v>0.63</v>
      </c>
    </row>
    <row r="81" spans="2:3">
      <c r="B81" s="313" t="s">
        <v>1512</v>
      </c>
      <c r="C81" s="281"/>
    </row>
    <row r="82" spans="2:3">
      <c r="B82" s="316" t="s">
        <v>1513</v>
      </c>
      <c r="C82" s="318">
        <f ca="1">1-C83</f>
        <v>0.71100000000000008</v>
      </c>
    </row>
    <row r="83" spans="2:3">
      <c r="B83" s="316" t="s">
        <v>1514</v>
      </c>
      <c r="C83" s="317">
        <f ca="1">ROUND(C13/C40,3)</f>
        <v>0.28899999999999998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3" t="s">
        <v>1587</v>
      </c>
      <c r="I3" s="1841"/>
      <c r="J3" s="1841"/>
      <c r="K3" s="1842"/>
      <c r="L3" s="1841"/>
      <c r="M3" s="1841"/>
    </row>
    <row r="4" spans="1:37" ht="18" customHeight="1">
      <c r="A4" s="339" t="s">
        <v>1594</v>
      </c>
      <c r="B4" s="340" t="s">
        <v>1595</v>
      </c>
      <c r="C4" s="340" t="s">
        <v>1596</v>
      </c>
      <c r="D4" s="340" t="s">
        <v>1597</v>
      </c>
      <c r="E4" s="341" t="s">
        <v>1598</v>
      </c>
      <c r="F4" s="342"/>
      <c r="G4" s="1852"/>
      <c r="H4" s="339" t="s">
        <v>1594</v>
      </c>
      <c r="I4" s="340" t="s">
        <v>1595</v>
      </c>
      <c r="J4" s="340" t="s">
        <v>1596</v>
      </c>
      <c r="K4" s="340" t="s">
        <v>1597</v>
      </c>
      <c r="L4" s="341" t="s">
        <v>1598</v>
      </c>
      <c r="M4" s="342"/>
    </row>
    <row r="5" spans="1:37" ht="18" customHeight="1">
      <c r="A5" s="343">
        <v>1</v>
      </c>
      <c r="B5" s="344" t="s">
        <v>1599</v>
      </c>
      <c r="C5" s="1293">
        <f ca="1">C6+C10+C12</f>
        <v>0</v>
      </c>
      <c r="D5" s="1823" t="s">
        <v>1600</v>
      </c>
      <c r="E5" s="1294"/>
      <c r="F5" s="1295"/>
      <c r="G5" s="1852"/>
      <c r="H5" s="343">
        <v>1</v>
      </c>
      <c r="I5" s="344" t="s">
        <v>1599</v>
      </c>
      <c r="J5" s="1293">
        <f ca="1">J6+J10+J12</f>
        <v>0</v>
      </c>
      <c r="K5" s="1823" t="s">
        <v>1600</v>
      </c>
      <c r="L5" s="1294"/>
      <c r="M5" s="1295"/>
    </row>
    <row r="6" spans="1:37" ht="18" customHeight="1">
      <c r="A6" s="1292" t="s">
        <v>1035</v>
      </c>
      <c r="B6" s="3288" t="s">
        <v>1403</v>
      </c>
      <c r="C6" s="1297">
        <f ca="1">ROUND(F6*F8*F7*(1-F9),0)</f>
        <v>0</v>
      </c>
      <c r="D6" s="163" t="s">
        <v>3012</v>
      </c>
      <c r="E6" s="346" t="s">
        <v>1405</v>
      </c>
      <c r="F6" s="347">
        <f ca="1">INDIRECT("'数据-取费表'!u"&amp;$G$1)</f>
        <v>0</v>
      </c>
      <c r="G6" s="1852"/>
      <c r="H6" s="1292" t="s">
        <v>1035</v>
      </c>
      <c r="I6" s="3288" t="s">
        <v>1403</v>
      </c>
      <c r="J6" s="345">
        <f ca="1">ROUND(M6*M8*M7*(1-M9),0)</f>
        <v>0</v>
      </c>
      <c r="K6" s="1835" t="s">
        <v>3015</v>
      </c>
      <c r="L6" s="346" t="s">
        <v>1405</v>
      </c>
      <c r="M6" s="347">
        <f ca="1">INDIRECT("'数据-取费表'!z"&amp;$G$1)</f>
        <v>0</v>
      </c>
    </row>
    <row r="7" spans="1:37" ht="18" customHeight="1">
      <c r="A7" s="1296"/>
      <c r="B7" s="3289"/>
      <c r="C7" s="1298"/>
      <c r="D7" s="351"/>
      <c r="E7" s="1299" t="s">
        <v>1406</v>
      </c>
      <c r="F7" s="347">
        <f ca="1">IF(INDIRECT("'数据-取费表'!ah"&amp;$G$1)="",INDIRECT("'数据-取费表'!k"&amp;$G$1),INDIRECT("'数据-取费表'!ah"&amp;$G$1))</f>
        <v>0</v>
      </c>
      <c r="G7" s="1852"/>
      <c r="H7" s="348"/>
      <c r="I7" s="3289"/>
      <c r="J7" s="350"/>
      <c r="K7" s="351"/>
      <c r="L7" s="346" t="s">
        <v>1406</v>
      </c>
      <c r="M7" s="347">
        <f ca="1">F7</f>
        <v>0</v>
      </c>
    </row>
    <row r="8" spans="1:37" ht="18" customHeight="1">
      <c r="A8" s="348"/>
      <c r="B8" s="3289"/>
      <c r="C8" s="350"/>
      <c r="D8" s="351"/>
      <c r="E8" s="346" t="s">
        <v>1407</v>
      </c>
      <c r="F8" s="347">
        <f ca="1">INDIRECT("'数据-取费表'!ai"&amp;$G$1)</f>
        <v>0</v>
      </c>
      <c r="G8" s="1852"/>
      <c r="H8" s="348"/>
      <c r="I8" s="3289"/>
      <c r="J8" s="350"/>
      <c r="K8" s="351"/>
      <c r="L8" s="346" t="s">
        <v>1407</v>
      </c>
      <c r="M8" s="347">
        <f ca="1">INDIRECT("'数据-取费表'!ai"&amp;$G$1)</f>
        <v>0</v>
      </c>
    </row>
    <row r="9" spans="1:37" ht="18" customHeight="1">
      <c r="A9" s="348"/>
      <c r="B9" s="3290"/>
      <c r="C9" s="350"/>
      <c r="D9" s="351"/>
      <c r="E9" s="346" t="s">
        <v>1408</v>
      </c>
      <c r="F9" s="356">
        <f ca="1">INDIRECT("'数据-取费表'!w"&amp;$G$1)</f>
        <v>0</v>
      </c>
      <c r="G9" s="1852"/>
      <c r="H9" s="348"/>
      <c r="I9" s="3290"/>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3013</v>
      </c>
      <c r="E10" s="357" t="s">
        <v>1411</v>
      </c>
      <c r="F10" s="1367"/>
      <c r="G10" s="1852"/>
      <c r="H10" s="1292" t="s">
        <v>1039</v>
      </c>
      <c r="I10" s="1824" t="s">
        <v>1409</v>
      </c>
      <c r="J10" s="345">
        <f ca="1">ROUND(IF(M10="押一",M6*M8*M7/12*M11,IF(M10="押二",M6*M8*M7/12*2*M11,IF(M10="押三",M6*M8*M7/12*3*M11,J11*M11))),0)</f>
        <v>0</v>
      </c>
      <c r="K10" s="1836" t="s">
        <v>3014</v>
      </c>
      <c r="L10" s="357" t="s">
        <v>1411</v>
      </c>
      <c r="M10" s="1367"/>
    </row>
    <row r="11" spans="1:37" ht="18" customHeight="1">
      <c r="A11" s="352"/>
      <c r="B11" s="1826" t="s">
        <v>1601</v>
      </c>
      <c r="C11" s="1179"/>
      <c r="D11" s="351"/>
      <c r="E11" s="357" t="s">
        <v>1412</v>
      </c>
      <c r="F11" s="358">
        <f ca="1">'数据-取费表'!B39</f>
        <v>1.4999999999999999E-2</v>
      </c>
      <c r="G11" s="1852"/>
      <c r="H11" s="1300"/>
      <c r="I11" s="1826" t="s">
        <v>1602</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1"/>
      <c r="M14" s="982"/>
    </row>
    <row r="15" spans="1:37" s="1859" customFormat="1" ht="18" customHeight="1" thickBot="1">
      <c r="A15" s="1202" t="s">
        <v>1036</v>
      </c>
      <c r="B15" s="346" t="s">
        <v>1420</v>
      </c>
      <c r="C15" s="24">
        <f ca="1">ROUND(C14*F15,0)</f>
        <v>0</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39"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3" t="s">
        <v>1441</v>
      </c>
      <c r="J20" s="25">
        <f ca="1">ROUND(M20*M21,0)</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0.02</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单利计息。建造成本、管理费用、销售费用产生的利息。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39"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1547</v>
      </c>
      <c r="J53" s="1907" t="b">
        <f>IF(M47="住宅",J51,IF(D1="——",MIN(J51,L48),IF(D1="在建（套用方法）",MIN(J51,L48-'数据-取费表'!B24),IF(D1="土地（套用方法）",MIN(J51,L48-'数据-取费表'!B20)))))</f>
        <v>0</v>
      </c>
      <c r="K53" s="3286" t="s">
        <v>1548</v>
      </c>
      <c r="L53" s="3287"/>
      <c r="O53" s="1885" t="s">
        <v>1046</v>
      </c>
      <c r="P53" s="1886" t="s">
        <v>1549</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1553</v>
      </c>
      <c r="J56" s="1918"/>
      <c r="K56" s="1888" t="s">
        <v>1554</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59" t="s">
        <v>1030</v>
      </c>
      <c r="B58" s="1178" t="s">
        <v>1424</v>
      </c>
      <c r="C58" s="360">
        <f ca="1">ROUND(C59+C64+C65+C66,0)</f>
        <v>0</v>
      </c>
      <c r="D58" s="1180" t="s">
        <v>1425</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5.5000000000000007E-2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1495</v>
      </c>
      <c r="B62" s="1169" t="s">
        <v>1496</v>
      </c>
      <c r="C62" s="25">
        <f ca="1">IF(项目基本情况!B11="自然人","——",ROUND(F62*F63,0))</f>
        <v>0</v>
      </c>
      <c r="D62" s="1185" t="s">
        <v>1497</v>
      </c>
      <c r="E62" s="1170" t="s">
        <v>1498</v>
      </c>
      <c r="F62" s="370">
        <f t="shared" si="0"/>
        <v>1.5</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1"/>
      <c r="B63" s="1176"/>
      <c r="C63" s="29"/>
      <c r="D63" s="1186"/>
      <c r="E63" s="1170" t="s">
        <v>1499</v>
      </c>
      <c r="F63" s="347">
        <f t="shared" ca="1" si="0"/>
        <v>0</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1578</v>
      </c>
      <c r="J65" s="1931">
        <v>40</v>
      </c>
      <c r="K65" s="1931">
        <v>30</v>
      </c>
      <c r="L65" s="1931">
        <v>50</v>
      </c>
      <c r="M65" s="1933">
        <v>0.02</v>
      </c>
      <c r="O65" s="1885" t="s">
        <v>1040</v>
      </c>
      <c r="P65" s="1886" t="s">
        <v>1579</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1557</v>
      </c>
      <c r="Q66" s="1887" t="e">
        <f ca="1">L60</f>
        <v>#DIV/0!</v>
      </c>
      <c r="R66" s="1887" t="s">
        <v>1580</v>
      </c>
    </row>
    <row r="67" spans="1:18" s="1843" customFormat="1" ht="16.5" thickBot="1">
      <c r="A67" s="1177" t="s">
        <v>1031</v>
      </c>
      <c r="B67" s="1187" t="s">
        <v>1463</v>
      </c>
      <c r="C67" s="360">
        <f ca="1">C48-C58</f>
        <v>0</v>
      </c>
      <c r="D67" s="1183" t="s">
        <v>1464</v>
      </c>
      <c r="E67" s="1188"/>
      <c r="F67" s="1189"/>
      <c r="O67" s="1895" t="s">
        <v>1042</v>
      </c>
      <c r="P67" s="1886" t="s">
        <v>1561</v>
      </c>
      <c r="Q67" s="1934">
        <f ca="1">L51</f>
        <v>0</v>
      </c>
      <c r="R67" s="1887" t="s">
        <v>1581</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1582</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1583</v>
      </c>
      <c r="Q69" s="1887">
        <f ca="1">C39</f>
        <v>0</v>
      </c>
      <c r="R69" s="1887" t="s">
        <v>1529</v>
      </c>
    </row>
    <row r="70" spans="1:18" s="1843" customFormat="1" ht="13.5" thickBot="1">
      <c r="A70" s="1174"/>
      <c r="B70" s="1175"/>
      <c r="C70" s="354"/>
      <c r="D70" s="1186"/>
      <c r="E70" s="1170" t="s">
        <v>1477</v>
      </c>
      <c r="F70" s="1276">
        <f ca="1">F42</f>
        <v>0</v>
      </c>
      <c r="O70" s="1895" t="s">
        <v>1049</v>
      </c>
      <c r="P70" s="1935" t="s">
        <v>1584</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1585</v>
      </c>
      <c r="Q71" s="1898">
        <f ca="1">C76</f>
        <v>0</v>
      </c>
      <c r="R71" s="1887"/>
    </row>
    <row r="72" spans="1:18" s="1843" customFormat="1" ht="13.5" thickBot="1">
      <c r="B72" s="795"/>
      <c r="C72" s="795"/>
      <c r="O72" s="1895" t="s">
        <v>1044</v>
      </c>
      <c r="P72" s="1886" t="s">
        <v>1563</v>
      </c>
      <c r="Q72" s="1898">
        <f>L52</f>
        <v>0</v>
      </c>
      <c r="R72" s="1887"/>
    </row>
    <row r="73" spans="1:18" ht="16.5" thickBot="1">
      <c r="A73" s="1843"/>
      <c r="B73" s="795"/>
      <c r="C73" s="795"/>
      <c r="D73" s="1843"/>
      <c r="E73" s="1843"/>
      <c r="F73" s="1843"/>
      <c r="O73" s="1895" t="s">
        <v>1045</v>
      </c>
      <c r="P73" s="1886" t="s">
        <v>1566</v>
      </c>
      <c r="Q73" s="1887" t="e">
        <f ca="1">L58</f>
        <v>#DIV/0!</v>
      </c>
      <c r="R73" s="1887" t="s">
        <v>1567</v>
      </c>
    </row>
    <row r="74" spans="1:18" ht="13.5" thickBot="1">
      <c r="A74" s="1843"/>
      <c r="B74" s="316"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2511</v>
      </c>
      <c r="B1" s="2559"/>
      <c r="C1" s="2559"/>
      <c r="D1" s="2559"/>
      <c r="E1" s="2560"/>
    </row>
    <row r="2" spans="1:6" ht="15.75">
      <c r="A2" s="2561" t="s">
        <v>2312</v>
      </c>
      <c r="B2" s="2562">
        <f ca="1">SUMIF(B6:B13,"&lt;&gt;#ref!",B6:B13)</f>
        <v>3444</v>
      </c>
      <c r="C2" s="2563" t="s">
        <v>2504</v>
      </c>
      <c r="D2" s="2564" t="s">
        <v>2505</v>
      </c>
      <c r="E2" s="2565">
        <f>SUM(E6:E13)</f>
        <v>5755.45</v>
      </c>
    </row>
    <row r="3" spans="1:6" ht="15.75">
      <c r="A3" s="2561" t="s">
        <v>1395</v>
      </c>
      <c r="B3" s="2562">
        <f ca="1">ROUND(B2*10000/E2,0)</f>
        <v>5984</v>
      </c>
      <c r="C3" s="2563" t="s">
        <v>2512</v>
      </c>
      <c r="D3" s="2566"/>
      <c r="E3" s="2567"/>
    </row>
    <row r="4" spans="1:6" ht="15.75">
      <c r="A4" s="2568"/>
      <c r="B4" s="2566"/>
      <c r="C4" s="2566"/>
      <c r="D4" s="2566"/>
      <c r="E4" s="2567"/>
    </row>
    <row r="5" spans="1:6" ht="15">
      <c r="A5" s="2569" t="s">
        <v>2506</v>
      </c>
      <c r="B5" s="3291" t="s">
        <v>2507</v>
      </c>
      <c r="C5" s="3291"/>
      <c r="D5" s="2570"/>
      <c r="E5" s="2571" t="s">
        <v>2508</v>
      </c>
      <c r="F5" s="2572" t="s">
        <v>2509</v>
      </c>
    </row>
    <row r="6" spans="1:6">
      <c r="A6" s="2573" t="str">
        <f>'数据-取费表'!AN6</f>
        <v>收益法</v>
      </c>
      <c r="B6" s="2572">
        <f ca="1">IF(F6="是",'数据-取费表'!AO6,0)</f>
        <v>3444</v>
      </c>
      <c r="C6" s="2563" t="s">
        <v>2504</v>
      </c>
      <c r="D6" s="2566"/>
      <c r="E6" s="2574">
        <f>IF(OR(A6=0,F6="否"),0,'数据-取费表'!K6+'数据-取费表'!S6)</f>
        <v>5755.45</v>
      </c>
      <c r="F6" s="2575" t="s">
        <v>2510</v>
      </c>
    </row>
    <row r="7" spans="1:6">
      <c r="A7" s="2573">
        <f>'数据-取费表'!AN7</f>
        <v>0</v>
      </c>
      <c r="B7" s="2572" t="e">
        <f ca="1">IF(F7="是",'数据-取费表'!AO7,0)</f>
        <v>#REF!</v>
      </c>
      <c r="C7" s="2563" t="s">
        <v>2504</v>
      </c>
      <c r="D7" s="2566"/>
      <c r="E7" s="2574">
        <f>IF(OR(A7=0,F7="否"),0,'数据-取费表'!K7+'数据-取费表'!S7)</f>
        <v>0</v>
      </c>
      <c r="F7" s="2575" t="s">
        <v>2510</v>
      </c>
    </row>
    <row r="8" spans="1:6">
      <c r="A8" s="2573">
        <f>'数据-取费表'!AN8</f>
        <v>0</v>
      </c>
      <c r="B8" s="2572" t="e">
        <f ca="1">IF(F8="是",'数据-取费表'!AO8,0)</f>
        <v>#REF!</v>
      </c>
      <c r="C8" s="2563" t="s">
        <v>2504</v>
      </c>
      <c r="D8" s="2566"/>
      <c r="E8" s="2574">
        <f>IF(OR(A8=0,F8="否"),0,'数据-取费表'!K8+'数据-取费表'!S8)</f>
        <v>0</v>
      </c>
      <c r="F8" s="2575" t="s">
        <v>2510</v>
      </c>
    </row>
    <row r="9" spans="1:6">
      <c r="A9" s="2573">
        <f>'数据-取费表'!AN9</f>
        <v>0</v>
      </c>
      <c r="B9" s="2572" t="e">
        <f ca="1">IF(F9="是",'数据-取费表'!AO9,0)</f>
        <v>#REF!</v>
      </c>
      <c r="C9" s="2563" t="s">
        <v>2504</v>
      </c>
      <c r="D9" s="2566"/>
      <c r="E9" s="2574">
        <f>IF(OR(A9=0,F9="否"),0,'数据-取费表'!K9+'数据-取费表'!S9)</f>
        <v>0</v>
      </c>
      <c r="F9" s="2575" t="s">
        <v>2510</v>
      </c>
    </row>
    <row r="10" spans="1:6">
      <c r="A10" s="2573">
        <f>'数据-取费表'!AN10</f>
        <v>0</v>
      </c>
      <c r="B10" s="2572" t="e">
        <f ca="1">IF(F10="是",'数据-取费表'!AO10,0)</f>
        <v>#REF!</v>
      </c>
      <c r="C10" s="2563" t="s">
        <v>2504</v>
      </c>
      <c r="D10" s="2566"/>
      <c r="E10" s="2574">
        <f>IF(OR(A10=0,F10="否"),0,'数据-取费表'!K10+'数据-取费表'!S10)</f>
        <v>0</v>
      </c>
      <c r="F10" s="2575" t="s">
        <v>2510</v>
      </c>
    </row>
    <row r="11" spans="1:6">
      <c r="A11" s="2573">
        <f>'数据-取费表'!AN11</f>
        <v>0</v>
      </c>
      <c r="B11" s="2572" t="e">
        <f ca="1">IF(F11="是",'数据-取费表'!AO11,0)</f>
        <v>#REF!</v>
      </c>
      <c r="C11" s="2563" t="s">
        <v>2504</v>
      </c>
      <c r="D11" s="2566"/>
      <c r="E11" s="2574">
        <f>IF(OR(A11=0,F11="否"),0,'数据-取费表'!K11+'数据-取费表'!S11)</f>
        <v>0</v>
      </c>
      <c r="F11" s="2575" t="s">
        <v>2510</v>
      </c>
    </row>
    <row r="12" spans="1:6">
      <c r="A12" s="2573">
        <f>'数据-取费表'!AN12</f>
        <v>0</v>
      </c>
      <c r="B12" s="2572" t="e">
        <f ca="1">IF(F12="是",'数据-取费表'!AO12,0)</f>
        <v>#REF!</v>
      </c>
      <c r="C12" s="2563" t="s">
        <v>2504</v>
      </c>
      <c r="D12" s="2566"/>
      <c r="E12" s="2574">
        <f>IF(OR(A12=0,F12="否"),0,'数据-取费表'!K12+'数据-取费表'!S12)</f>
        <v>0</v>
      </c>
      <c r="F12" s="2575" t="s">
        <v>2510</v>
      </c>
    </row>
    <row r="13" spans="1:6" ht="15" thickBot="1">
      <c r="A13" s="2576">
        <f>'数据-取费表'!AN13</f>
        <v>0</v>
      </c>
      <c r="B13" s="2572" t="e">
        <f ca="1">IF(F13="是",'数据-取费表'!AO13,0)</f>
        <v>#REF!</v>
      </c>
      <c r="C13" s="2577" t="s">
        <v>2504</v>
      </c>
      <c r="D13" s="2578"/>
      <c r="E13" s="2574">
        <f>IF(OR(A13=0,F13="否"),0,'数据-取费表'!K13+'数据-取费表'!S13)</f>
        <v>0</v>
      </c>
      <c r="F13" s="2575"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2" t="s">
        <v>1076</v>
      </c>
      <c r="B1" s="3293"/>
      <c r="C1" s="3294"/>
      <c r="D1" s="3295">
        <f>SUM(I10,I15,I20,I21,I23)</f>
        <v>0</v>
      </c>
      <c r="E1" s="3295"/>
      <c r="F1" s="3295"/>
      <c r="G1" s="3295"/>
      <c r="H1" s="3295"/>
      <c r="I1" s="3296"/>
    </row>
    <row r="2" spans="1:9">
      <c r="A2" s="3297" t="s">
        <v>1077</v>
      </c>
      <c r="B2" s="3298" t="s">
        <v>1078</v>
      </c>
      <c r="C2" s="3298"/>
      <c r="D2" s="1302" t="s">
        <v>1079</v>
      </c>
      <c r="E2" s="1302" t="s">
        <v>1080</v>
      </c>
      <c r="F2" s="1302" t="s">
        <v>1081</v>
      </c>
      <c r="G2" s="1302" t="s">
        <v>1082</v>
      </c>
      <c r="H2" s="1302" t="s">
        <v>1083</v>
      </c>
      <c r="I2" s="1303" t="s">
        <v>1084</v>
      </c>
    </row>
    <row r="3" spans="1:9">
      <c r="A3" s="3297"/>
      <c r="B3" s="3298" t="s">
        <v>1085</v>
      </c>
      <c r="C3" s="3298"/>
      <c r="D3" s="1304"/>
      <c r="E3" s="1302"/>
      <c r="F3" s="1305"/>
      <c r="G3" s="1305"/>
      <c r="H3" s="1306"/>
      <c r="I3" s="1307">
        <f>ROUND(D3*E3*F3*G3*H3/10000,0)</f>
        <v>0</v>
      </c>
    </row>
    <row r="4" spans="1:9">
      <c r="A4" s="3297"/>
      <c r="B4" s="3298" t="s">
        <v>1086</v>
      </c>
      <c r="C4" s="3298"/>
      <c r="D4" s="1304"/>
      <c r="E4" s="1302"/>
      <c r="F4" s="1305"/>
      <c r="G4" s="1305"/>
      <c r="H4" s="1306"/>
      <c r="I4" s="1307">
        <f t="shared" ref="I4:I9" si="0">ROUND(D4*E4*F4*G4*H4/10000,0)</f>
        <v>0</v>
      </c>
    </row>
    <row r="5" spans="1:9">
      <c r="A5" s="3297"/>
      <c r="B5" s="3298" t="s">
        <v>1087</v>
      </c>
      <c r="C5" s="3298"/>
      <c r="D5" s="1304"/>
      <c r="E5" s="1302"/>
      <c r="F5" s="1305"/>
      <c r="G5" s="1305"/>
      <c r="H5" s="1306"/>
      <c r="I5" s="1307">
        <f t="shared" si="0"/>
        <v>0</v>
      </c>
    </row>
    <row r="6" spans="1:9">
      <c r="A6" s="3297"/>
      <c r="B6" s="3298" t="s">
        <v>1088</v>
      </c>
      <c r="C6" s="3298"/>
      <c r="D6" s="1304"/>
      <c r="E6" s="1302"/>
      <c r="F6" s="1305"/>
      <c r="G6" s="1305"/>
      <c r="H6" s="1306"/>
      <c r="I6" s="1307">
        <f t="shared" si="0"/>
        <v>0</v>
      </c>
    </row>
    <row r="7" spans="1:9">
      <c r="A7" s="3297"/>
      <c r="B7" s="3298" t="s">
        <v>1089</v>
      </c>
      <c r="C7" s="3298"/>
      <c r="D7" s="1304"/>
      <c r="E7" s="1302"/>
      <c r="F7" s="1305"/>
      <c r="G7" s="1305"/>
      <c r="H7" s="1306"/>
      <c r="I7" s="1307">
        <f t="shared" si="0"/>
        <v>0</v>
      </c>
    </row>
    <row r="8" spans="1:9">
      <c r="A8" s="3297"/>
      <c r="B8" s="3298" t="s">
        <v>1090</v>
      </c>
      <c r="C8" s="3298"/>
      <c r="D8" s="1304"/>
      <c r="E8" s="1302"/>
      <c r="F8" s="1305"/>
      <c r="G8" s="1305"/>
      <c r="H8" s="1306"/>
      <c r="I8" s="1307">
        <f t="shared" si="0"/>
        <v>0</v>
      </c>
    </row>
    <row r="9" spans="1:9">
      <c r="A9" s="3297"/>
      <c r="B9" s="3298" t="s">
        <v>1091</v>
      </c>
      <c r="C9" s="3298"/>
      <c r="D9" s="1304"/>
      <c r="E9" s="1302"/>
      <c r="F9" s="1305"/>
      <c r="G9" s="1305"/>
      <c r="H9" s="1306"/>
      <c r="I9" s="1307">
        <f t="shared" si="0"/>
        <v>0</v>
      </c>
    </row>
    <row r="10" spans="1:9">
      <c r="A10" s="3297"/>
      <c r="B10" s="3299" t="s">
        <v>1092</v>
      </c>
      <c r="C10" s="3299"/>
      <c r="D10" s="1308"/>
      <c r="E10" s="1308" t="e">
        <f>ROUND(D1*10000/D10/H9,0)</f>
        <v>#DIV/0!</v>
      </c>
      <c r="F10" s="1309"/>
      <c r="G10" s="1309"/>
      <c r="H10" s="1310"/>
      <c r="I10" s="1311">
        <f>SUM(I3:I9)</f>
        <v>0</v>
      </c>
    </row>
    <row r="11" spans="1:9" ht="14.25">
      <c r="A11" s="3297" t="s">
        <v>1093</v>
      </c>
      <c r="B11" s="3298" t="s">
        <v>1094</v>
      </c>
      <c r="C11" s="3298"/>
      <c r="D11" s="1304" t="s">
        <v>1095</v>
      </c>
      <c r="E11" s="1304" t="s">
        <v>1096</v>
      </c>
      <c r="F11" s="1305" t="s">
        <v>1097</v>
      </c>
      <c r="G11" s="1305" t="s">
        <v>1083</v>
      </c>
      <c r="H11" s="1312" t="s">
        <v>1098</v>
      </c>
      <c r="I11" s="1303" t="s">
        <v>1084</v>
      </c>
    </row>
    <row r="12" spans="1:9">
      <c r="A12" s="3297"/>
      <c r="B12" s="3298" t="s">
        <v>1099</v>
      </c>
      <c r="C12" s="3298"/>
      <c r="D12" s="1304"/>
      <c r="E12" s="1304"/>
      <c r="F12" s="1305"/>
      <c r="G12" s="1306"/>
      <c r="H12" s="1313"/>
      <c r="I12" s="1303">
        <f>ROUND(D12*E12*F12*G12/10000,0)</f>
        <v>0</v>
      </c>
    </row>
    <row r="13" spans="1:9">
      <c r="A13" s="3297"/>
      <c r="B13" s="3298" t="s">
        <v>1100</v>
      </c>
      <c r="C13" s="3298"/>
      <c r="D13" s="1304"/>
      <c r="E13" s="1304"/>
      <c r="F13" s="1305"/>
      <c r="G13" s="1306"/>
      <c r="H13" s="1313"/>
      <c r="I13" s="1303">
        <f>ROUND(D13*E13*F13*G13/10000,0)</f>
        <v>0</v>
      </c>
    </row>
    <row r="14" spans="1:9">
      <c r="A14" s="3297"/>
      <c r="B14" s="3298" t="s">
        <v>1101</v>
      </c>
      <c r="C14" s="3298"/>
      <c r="D14" s="1304"/>
      <c r="E14" s="1304"/>
      <c r="F14" s="1305"/>
      <c r="G14" s="1306"/>
      <c r="H14" s="1313"/>
      <c r="I14" s="1303">
        <f>ROUND(D14*E14*F14*G14/10000,0)</f>
        <v>0</v>
      </c>
    </row>
    <row r="15" spans="1:9">
      <c r="A15" s="3297"/>
      <c r="B15" s="3299" t="s">
        <v>1092</v>
      </c>
      <c r="C15" s="3299"/>
      <c r="D15" s="1308"/>
      <c r="E15" s="1308">
        <f>SUM(E12:E14)</f>
        <v>0</v>
      </c>
      <c r="F15" s="1309"/>
      <c r="G15" s="1306"/>
      <c r="H15" s="1313"/>
      <c r="I15" s="1314">
        <f>SUM(I12:I14)</f>
        <v>0</v>
      </c>
    </row>
    <row r="16" spans="1:9" ht="24">
      <c r="A16" s="3297" t="s">
        <v>1102</v>
      </c>
      <c r="B16" s="3298" t="s">
        <v>1103</v>
      </c>
      <c r="C16" s="3298"/>
      <c r="D16" s="1304" t="s">
        <v>1079</v>
      </c>
      <c r="E16" s="1315" t="s">
        <v>1104</v>
      </c>
      <c r="F16" s="1305" t="s">
        <v>1105</v>
      </c>
      <c r="G16" s="1306" t="s">
        <v>1083</v>
      </c>
      <c r="H16" s="1312" t="s">
        <v>1098</v>
      </c>
      <c r="I16" s="1303" t="s">
        <v>1084</v>
      </c>
    </row>
    <row r="17" spans="1:9" ht="14.25">
      <c r="A17" s="3297"/>
      <c r="B17" s="3298" t="s">
        <v>1106</v>
      </c>
      <c r="C17" s="3298"/>
      <c r="D17" s="1304"/>
      <c r="E17" s="1304"/>
      <c r="F17" s="1305"/>
      <c r="G17" s="1306"/>
      <c r="H17" s="1316"/>
      <c r="I17" s="1317">
        <f>ROUND(D17*E17*F17*G17/10000,0)</f>
        <v>0</v>
      </c>
    </row>
    <row r="18" spans="1:9" ht="14.25">
      <c r="A18" s="3297"/>
      <c r="B18" s="3298" t="s">
        <v>1107</v>
      </c>
      <c r="C18" s="3298"/>
      <c r="D18" s="1304"/>
      <c r="E18" s="1304"/>
      <c r="F18" s="1305"/>
      <c r="G18" s="1306"/>
      <c r="H18" s="1316"/>
      <c r="I18" s="1317">
        <f>ROUND(D18*E18*F18*G18/10000,0)</f>
        <v>0</v>
      </c>
    </row>
    <row r="19" spans="1:9" ht="14.25">
      <c r="A19" s="3297"/>
      <c r="B19" s="3298" t="s">
        <v>1108</v>
      </c>
      <c r="C19" s="3298"/>
      <c r="D19" s="1304"/>
      <c r="E19" s="1304"/>
      <c r="F19" s="1305"/>
      <c r="G19" s="1306"/>
      <c r="H19" s="1316"/>
      <c r="I19" s="1317">
        <f>ROUND(D19*E19*F19*G19/10000,0)</f>
        <v>0</v>
      </c>
    </row>
    <row r="20" spans="1:9">
      <c r="A20" s="3297"/>
      <c r="B20" s="3299" t="s">
        <v>1092</v>
      </c>
      <c r="C20" s="3299"/>
      <c r="D20" s="1308">
        <f>SUM(D17:D19)</f>
        <v>0</v>
      </c>
      <c r="E20" s="1308"/>
      <c r="F20" s="1309"/>
      <c r="G20" s="1306"/>
      <c r="H20" s="1313"/>
      <c r="I20" s="1314">
        <f>SUM(I17:I19)</f>
        <v>0</v>
      </c>
    </row>
    <row r="21" spans="1:9">
      <c r="A21" s="3297" t="s">
        <v>1109</v>
      </c>
      <c r="B21" s="3301"/>
      <c r="C21" s="3301"/>
      <c r="D21" s="3301"/>
      <c r="E21" s="3301"/>
      <c r="F21" s="3301"/>
      <c r="G21" s="3301"/>
      <c r="H21" s="1766">
        <v>0.1</v>
      </c>
      <c r="I21" s="1311">
        <f>ROUND(I10*H21,0)</f>
        <v>0</v>
      </c>
    </row>
    <row r="22" spans="1:9" ht="14.25">
      <c r="A22" s="3302" t="s">
        <v>1110</v>
      </c>
      <c r="B22" s="3303"/>
      <c r="C22" s="3304"/>
      <c r="D22" s="1318" t="s">
        <v>1111</v>
      </c>
      <c r="E22" s="1318" t="s">
        <v>1112</v>
      </c>
      <c r="F22" s="1319" t="s">
        <v>1113</v>
      </c>
      <c r="G22" s="1319" t="s">
        <v>1114</v>
      </c>
      <c r="H22" s="1312" t="s">
        <v>1115</v>
      </c>
      <c r="I22" s="1303" t="s">
        <v>1116</v>
      </c>
    </row>
    <row r="23" spans="1:9" ht="14.25" thickBot="1">
      <c r="A23" s="3305"/>
      <c r="B23" s="3306"/>
      <c r="C23" s="3307"/>
      <c r="D23" s="1320"/>
      <c r="E23" s="1320"/>
      <c r="F23" s="1320"/>
      <c r="G23" s="1321"/>
      <c r="H23" s="1322"/>
      <c r="I23" s="1323">
        <f>ROUND(E23*D23*F23*(1-G23)/10000,0)</f>
        <v>0</v>
      </c>
    </row>
    <row r="26" spans="1:9">
      <c r="A26" s="1324" t="s">
        <v>1117</v>
      </c>
      <c r="B26" s="1324"/>
      <c r="C26" s="1324"/>
      <c r="D26" s="1324"/>
      <c r="E26" s="3308">
        <f>C27-C30-C31-C32</f>
        <v>0</v>
      </c>
      <c r="F26" s="3308"/>
      <c r="G26" s="3308"/>
      <c r="H26" s="1738" t="s">
        <v>1340</v>
      </c>
    </row>
    <row r="27" spans="1:9">
      <c r="A27" s="1325">
        <v>1</v>
      </c>
      <c r="B27" s="1326" t="s">
        <v>1118</v>
      </c>
      <c r="C27" s="1326">
        <f>C28+C29</f>
        <v>0</v>
      </c>
      <c r="D27" s="1326"/>
      <c r="E27" s="3309"/>
      <c r="F27" s="3309"/>
      <c r="G27" s="3309"/>
    </row>
    <row r="28" spans="1:9">
      <c r="A28" s="1327" t="s">
        <v>1119</v>
      </c>
      <c r="B28" s="1326" t="s">
        <v>1120</v>
      </c>
      <c r="C28" s="1326"/>
      <c r="D28" s="1326"/>
      <c r="E28" s="3309"/>
      <c r="F28" s="3309"/>
      <c r="G28" s="330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300"/>
      <c r="F32" s="3300"/>
      <c r="G32" s="3300"/>
    </row>
    <row r="33" spans="1:7" hidden="1">
      <c r="A33" s="3310" t="s">
        <v>1129</v>
      </c>
      <c r="B33" s="3311"/>
      <c r="C33" s="3311"/>
      <c r="D33" s="3312"/>
      <c r="E33" s="3308"/>
      <c r="F33" s="3308"/>
      <c r="G33" s="3308"/>
    </row>
    <row r="34" spans="1:7" hidden="1">
      <c r="A34" s="1329">
        <v>1</v>
      </c>
      <c r="B34" s="1326" t="s">
        <v>1130</v>
      </c>
      <c r="C34" s="1326"/>
      <c r="D34" s="1326"/>
      <c r="E34" s="3309"/>
      <c r="F34" s="3309"/>
      <c r="G34" s="3309"/>
    </row>
    <row r="35" spans="1:7" hidden="1">
      <c r="A35" s="1329">
        <v>2</v>
      </c>
      <c r="B35" s="1326" t="s">
        <v>1131</v>
      </c>
      <c r="C35" s="1326"/>
      <c r="D35" s="1326"/>
      <c r="E35" s="3309"/>
      <c r="F35" s="3309"/>
      <c r="G35" s="3309"/>
    </row>
    <row r="36" spans="1:7" hidden="1">
      <c r="A36" s="1329">
        <v>3</v>
      </c>
      <c r="B36" s="1326" t="s">
        <v>1132</v>
      </c>
      <c r="C36" s="1326"/>
      <c r="D36" s="1326"/>
      <c r="E36" s="3309"/>
      <c r="F36" s="3309"/>
      <c r="G36" s="3309"/>
    </row>
    <row r="37" spans="1:7" hidden="1">
      <c r="A37" s="1329">
        <v>4</v>
      </c>
      <c r="B37" s="1326" t="s">
        <v>1133</v>
      </c>
      <c r="C37" s="1326"/>
      <c r="D37" s="1326"/>
      <c r="E37" s="3309"/>
      <c r="F37" s="3309"/>
      <c r="G37" s="3309"/>
    </row>
    <row r="38" spans="1:7" hidden="1">
      <c r="A38" s="3310" t="s">
        <v>1134</v>
      </c>
      <c r="B38" s="3311"/>
      <c r="C38" s="3311"/>
      <c r="D38" s="3312"/>
      <c r="E38" s="3308"/>
      <c r="F38" s="3308"/>
      <c r="G38" s="33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579" t="s">
        <v>2514</v>
      </c>
      <c r="C1" s="1635" t="s">
        <v>2515</v>
      </c>
      <c r="D1" s="1622"/>
      <c r="E1" s="2580"/>
      <c r="F1" s="2581" t="s">
        <v>2516</v>
      </c>
      <c r="G1" s="1632" t="s">
        <v>2517</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3"/>
      <c r="D2" s="1366" t="e">
        <f ca="1">SUMIF(INDIRECT("'"&amp;F2&amp;"'"&amp;"!A:A"),"承租人权益价值",INDIRECT("'"&amp;F2&amp;"'"&amp;"!c:c"))</f>
        <v>#REF!</v>
      </c>
      <c r="E2" s="2584" t="s">
        <v>2518</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t="e">
        <f ca="1">IF(C2="——",C49,ROUND(B2*10000/D3,0))</f>
        <v>#DIV/0!</v>
      </c>
      <c r="C3" s="399" t="s">
        <v>2519</v>
      </c>
      <c r="D3" s="398">
        <f>IF(D1="",'数据-汇总表'!E3,SUMIF('数据-汇总表'!$C19:$C33,D1,'数据-汇总表'!$E19:$E33))</f>
        <v>5755.45</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0" t="s">
        <v>2520</v>
      </c>
      <c r="B4" s="401"/>
      <c r="C4" s="3331" t="s">
        <v>2521</v>
      </c>
      <c r="D4" s="3332"/>
      <c r="E4" s="3333" t="s">
        <v>2522</v>
      </c>
      <c r="F4" s="3334"/>
      <c r="G4" s="3331" t="s">
        <v>2523</v>
      </c>
      <c r="H4" s="3332"/>
      <c r="I4" s="3331" t="s">
        <v>2524</v>
      </c>
      <c r="J4" s="3332"/>
      <c r="K4" s="2593" t="s">
        <v>2525</v>
      </c>
      <c r="L4" s="1131"/>
      <c r="M4" s="1132"/>
      <c r="N4" s="1132"/>
      <c r="O4" s="1132"/>
      <c r="P4" s="3335" t="s">
        <v>2526</v>
      </c>
      <c r="Q4" s="3336"/>
      <c r="R4" s="3318" t="s">
        <v>2522</v>
      </c>
      <c r="S4" s="3319"/>
      <c r="T4" s="3318" t="s">
        <v>2523</v>
      </c>
      <c r="U4" s="3319"/>
      <c r="V4" s="3343" t="s">
        <v>2524</v>
      </c>
      <c r="W4" s="3343"/>
      <c r="X4" s="1814"/>
      <c r="Y4" s="3318" t="s">
        <v>2526</v>
      </c>
      <c r="Z4" s="3319"/>
      <c r="AA4" s="3313" t="s">
        <v>2522</v>
      </c>
      <c r="AB4" s="3313" t="s">
        <v>2523</v>
      </c>
      <c r="AC4" s="3313" t="s">
        <v>2524</v>
      </c>
    </row>
    <row r="5" spans="1:29" ht="15">
      <c r="A5" s="403"/>
      <c r="B5" s="404"/>
      <c r="C5" s="3324" t="s">
        <v>2527</v>
      </c>
      <c r="D5" s="3325"/>
      <c r="E5" s="3322" t="s">
        <v>2528</v>
      </c>
      <c r="F5" s="3323"/>
      <c r="G5" s="3324" t="s">
        <v>2529</v>
      </c>
      <c r="H5" s="3325"/>
      <c r="I5" s="3324" t="s">
        <v>2530</v>
      </c>
      <c r="J5" s="3325"/>
      <c r="K5" s="2594"/>
      <c r="L5" s="1131"/>
      <c r="M5" s="1132"/>
      <c r="N5" s="1132"/>
      <c r="O5" s="1132"/>
      <c r="P5" s="3337"/>
      <c r="Q5" s="3338"/>
      <c r="R5" s="3320"/>
      <c r="S5" s="3321"/>
      <c r="T5" s="3320"/>
      <c r="U5" s="3321"/>
      <c r="V5" s="3343"/>
      <c r="W5" s="3343"/>
      <c r="X5" s="1814"/>
      <c r="Y5" s="3320"/>
      <c r="Z5" s="3321"/>
      <c r="AA5" s="3314"/>
      <c r="AB5" s="3314"/>
      <c r="AC5" s="3314"/>
    </row>
    <row r="6" spans="1:29" ht="15.75" thickBot="1">
      <c r="A6" s="405"/>
      <c r="B6" s="406"/>
      <c r="C6" s="3326" t="s">
        <v>2531</v>
      </c>
      <c r="D6" s="3327"/>
      <c r="E6" s="3328" t="s">
        <v>2531</v>
      </c>
      <c r="F6" s="3329"/>
      <c r="G6" s="3326" t="s">
        <v>2531</v>
      </c>
      <c r="H6" s="3327"/>
      <c r="I6" s="3326" t="s">
        <v>2531</v>
      </c>
      <c r="J6" s="3327"/>
      <c r="K6" s="2594" t="s">
        <v>2532</v>
      </c>
      <c r="L6" s="1131"/>
      <c r="M6" s="1132"/>
      <c r="N6" s="1132"/>
      <c r="O6" s="1132"/>
      <c r="P6" s="3339"/>
      <c r="Q6" s="3340"/>
      <c r="R6" s="3320"/>
      <c r="S6" s="3321"/>
      <c r="T6" s="3341"/>
      <c r="U6" s="3342"/>
      <c r="V6" s="3343"/>
      <c r="W6" s="3343"/>
      <c r="X6" s="1814"/>
      <c r="Y6" s="3341"/>
      <c r="Z6" s="3342"/>
      <c r="AA6" s="3315"/>
      <c r="AB6" s="3315"/>
      <c r="AC6" s="3315"/>
    </row>
    <row r="7" spans="1:29" s="117" customFormat="1" ht="15.75" thickBot="1">
      <c r="A7" s="407" t="s">
        <v>2533</v>
      </c>
      <c r="B7" s="408"/>
      <c r="C7" s="409">
        <f>'数据-取费表'!B2</f>
        <v>43138</v>
      </c>
      <c r="D7" s="410">
        <v>100</v>
      </c>
      <c r="E7" s="411"/>
      <c r="F7" s="412">
        <f>SUMIF(58:58,YEAR(E7)&amp;"-"&amp;MONTH(E7),59:59)</f>
        <v>0</v>
      </c>
      <c r="G7" s="411"/>
      <c r="H7" s="410">
        <f>SUMIF(58:58,YEAR(G7)&amp;"-"&amp;MONTH(G7),59:59)</f>
        <v>0</v>
      </c>
      <c r="I7" s="411"/>
      <c r="J7" s="410">
        <f>SUMIF(58:58,YEAR(I7)&amp;"-"&amp;MONTH(I7),59:59)</f>
        <v>0</v>
      </c>
      <c r="K7" s="2595"/>
      <c r="L7" s="1133"/>
      <c r="M7" s="1134"/>
      <c r="N7" s="1134"/>
      <c r="O7" s="1134"/>
      <c r="P7" s="3316" t="s">
        <v>2534</v>
      </c>
      <c r="Q7" s="3344"/>
      <c r="R7" s="769" t="s">
        <v>23</v>
      </c>
      <c r="S7" s="770">
        <f t="shared" ref="S7:S15" si="0">F7</f>
        <v>0</v>
      </c>
      <c r="T7" s="769" t="s">
        <v>23</v>
      </c>
      <c r="U7" s="770">
        <f t="shared" ref="U7:U15" si="1">H7</f>
        <v>0</v>
      </c>
      <c r="V7" s="769" t="s">
        <v>23</v>
      </c>
      <c r="W7" s="770">
        <f t="shared" ref="W7:W15" si="2">J7</f>
        <v>0</v>
      </c>
      <c r="X7" s="771"/>
      <c r="Y7" s="3316" t="s">
        <v>2534</v>
      </c>
      <c r="Z7" s="3317"/>
      <c r="AA7" s="772" t="e">
        <f>D7/F7</f>
        <v>#DIV/0!</v>
      </c>
      <c r="AB7" s="772" t="e">
        <f>D7/H7</f>
        <v>#DIV/0!</v>
      </c>
      <c r="AC7" s="772" t="e">
        <f>D7/J7</f>
        <v>#DIV/0!</v>
      </c>
    </row>
    <row r="8" spans="1:29" s="117" customFormat="1" ht="15.75" thickBot="1">
      <c r="A8" s="407" t="s">
        <v>2535</v>
      </c>
      <c r="B8" s="408"/>
      <c r="C8" s="413" t="s">
        <v>2536</v>
      </c>
      <c r="D8" s="410">
        <v>100</v>
      </c>
      <c r="E8" s="2596"/>
      <c r="F8" s="412">
        <f>SUMIF(61:61,E8,62:62)-SUMIF(61:61,C8,62:62)+100</f>
        <v>0</v>
      </c>
      <c r="G8" s="413"/>
      <c r="H8" s="410">
        <f>SUMIF(61:61,G8,62:62)-SUMIF(61:61,C8,62:62)+100</f>
        <v>0</v>
      </c>
      <c r="I8" s="2596"/>
      <c r="J8" s="410">
        <f>SUMIF(61:61,I8,62:62)-SUMIF(61:61,C8,62:62)+100</f>
        <v>0</v>
      </c>
      <c r="K8" s="2595"/>
      <c r="L8" s="1133"/>
      <c r="M8" s="1134"/>
      <c r="N8" s="1134"/>
      <c r="O8" s="1134"/>
      <c r="P8" s="3316" t="s">
        <v>2537</v>
      </c>
      <c r="Q8" s="3317"/>
      <c r="R8" s="769" t="s">
        <v>23</v>
      </c>
      <c r="S8" s="770">
        <f t="shared" si="0"/>
        <v>0</v>
      </c>
      <c r="T8" s="769" t="s">
        <v>23</v>
      </c>
      <c r="U8" s="770">
        <f t="shared" si="1"/>
        <v>0</v>
      </c>
      <c r="V8" s="769" t="s">
        <v>23</v>
      </c>
      <c r="W8" s="770">
        <f t="shared" si="2"/>
        <v>0</v>
      </c>
      <c r="X8" s="771"/>
      <c r="Y8" s="3316" t="s">
        <v>2537</v>
      </c>
      <c r="Z8" s="3317"/>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5"/>
      <c r="L9" s="1133"/>
      <c r="M9" s="1134"/>
      <c r="N9" s="1134"/>
      <c r="O9" s="1134"/>
      <c r="P9" s="3330" t="s">
        <v>2540</v>
      </c>
      <c r="Q9" s="1796" t="str">
        <f t="shared" ref="Q9:Q15" si="6">B9</f>
        <v>用途</v>
      </c>
      <c r="R9" s="769" t="s">
        <v>17</v>
      </c>
      <c r="S9" s="770">
        <f t="shared" si="0"/>
        <v>100</v>
      </c>
      <c r="T9" s="769" t="s">
        <v>17</v>
      </c>
      <c r="U9" s="770">
        <f t="shared" si="1"/>
        <v>100</v>
      </c>
      <c r="V9" s="769" t="s">
        <v>17</v>
      </c>
      <c r="W9" s="770">
        <f t="shared" si="2"/>
        <v>100</v>
      </c>
      <c r="X9" s="771"/>
      <c r="Y9" s="3143"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330"/>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330"/>
      <c r="Q11" s="1796" t="str">
        <f t="shared" si="6"/>
        <v>容积率</v>
      </c>
      <c r="R11" s="769" t="s">
        <v>21</v>
      </c>
      <c r="S11" s="770" t="e">
        <f t="shared" si="0"/>
        <v>#N/A</v>
      </c>
      <c r="T11" s="769" t="s">
        <v>21</v>
      </c>
      <c r="U11" s="770" t="e">
        <f t="shared" si="1"/>
        <v>#N/A</v>
      </c>
      <c r="V11" s="769" t="s">
        <v>21</v>
      </c>
      <c r="W11" s="770" t="e">
        <f t="shared" si="2"/>
        <v>#N/A</v>
      </c>
      <c r="X11" s="771"/>
      <c r="Y11" s="3143"/>
      <c r="Z11" s="55" t="str">
        <f t="shared" si="7"/>
        <v>容积率</v>
      </c>
      <c r="AA11" s="772" t="e">
        <f t="shared" si="3"/>
        <v>#N/A</v>
      </c>
      <c r="AB11" s="772" t="e">
        <f t="shared" si="4"/>
        <v>#N/A</v>
      </c>
      <c r="AC11" s="772" t="e">
        <f t="shared" si="5"/>
        <v>#N/A</v>
      </c>
    </row>
    <row r="12" spans="1:29" s="117"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3"/>
      <c r="M12" s="1134"/>
      <c r="N12" s="1134"/>
      <c r="O12" s="1134"/>
      <c r="P12" s="3330"/>
      <c r="Q12" s="1796">
        <f t="shared" si="6"/>
        <v>111</v>
      </c>
      <c r="R12" s="769" t="s">
        <v>21</v>
      </c>
      <c r="S12" s="770">
        <f t="shared" si="0"/>
        <v>100</v>
      </c>
      <c r="T12" s="769" t="s">
        <v>21</v>
      </c>
      <c r="U12" s="770">
        <f t="shared" si="1"/>
        <v>100</v>
      </c>
      <c r="V12" s="769" t="s">
        <v>21</v>
      </c>
      <c r="W12" s="770">
        <f t="shared" si="2"/>
        <v>100</v>
      </c>
      <c r="X12" s="771"/>
      <c r="Y12" s="3143"/>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41"/>
      <c r="M13" s="1132"/>
      <c r="N13" s="1132"/>
      <c r="O13" s="1132"/>
      <c r="P13" s="3330"/>
      <c r="Q13" s="1796">
        <f t="shared" si="6"/>
        <v>111</v>
      </c>
      <c r="R13" s="769" t="s">
        <v>21</v>
      </c>
      <c r="S13" s="770">
        <f t="shared" si="0"/>
        <v>100</v>
      </c>
      <c r="T13" s="769" t="s">
        <v>21</v>
      </c>
      <c r="U13" s="770">
        <f t="shared" si="1"/>
        <v>100</v>
      </c>
      <c r="V13" s="769" t="s">
        <v>21</v>
      </c>
      <c r="W13" s="770">
        <f t="shared" si="2"/>
        <v>100</v>
      </c>
      <c r="X13" s="771"/>
      <c r="Y13" s="3143"/>
      <c r="Z13" s="55">
        <f t="shared" si="7"/>
        <v>111</v>
      </c>
      <c r="AA13" s="772">
        <f t="shared" si="3"/>
        <v>1</v>
      </c>
      <c r="AB13" s="772">
        <f t="shared" si="4"/>
        <v>1</v>
      </c>
      <c r="AC13" s="772">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41"/>
      <c r="M14" s="1132"/>
      <c r="N14" s="1132"/>
      <c r="O14" s="1132"/>
      <c r="P14" s="3330"/>
      <c r="Q14" s="1796">
        <f t="shared" si="6"/>
        <v>111</v>
      </c>
      <c r="R14" s="769" t="s">
        <v>21</v>
      </c>
      <c r="S14" s="770">
        <f t="shared" si="0"/>
        <v>100</v>
      </c>
      <c r="T14" s="769" t="s">
        <v>21</v>
      </c>
      <c r="U14" s="770">
        <f t="shared" si="1"/>
        <v>100</v>
      </c>
      <c r="V14" s="769" t="s">
        <v>21</v>
      </c>
      <c r="W14" s="770">
        <f t="shared" si="2"/>
        <v>100</v>
      </c>
      <c r="X14" s="771"/>
      <c r="Y14" s="3143"/>
      <c r="Z14" s="55">
        <f t="shared" si="7"/>
        <v>111</v>
      </c>
      <c r="AA14" s="772">
        <f t="shared" si="3"/>
        <v>1</v>
      </c>
      <c r="AB14" s="772">
        <f t="shared" si="4"/>
        <v>1</v>
      </c>
      <c r="AC14" s="772">
        <f t="shared" si="5"/>
        <v>1</v>
      </c>
    </row>
    <row r="15" spans="1:29" ht="15">
      <c r="A15" s="439" t="s">
        <v>2544</v>
      </c>
      <c r="B15" s="69" t="s">
        <v>2082</v>
      </c>
      <c r="C15" s="2600">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357" t="s">
        <v>2545</v>
      </c>
      <c r="Q15" s="1811" t="str">
        <f t="shared" si="6"/>
        <v>居住社区成熟度</v>
      </c>
      <c r="R15" s="773" t="s">
        <v>21</v>
      </c>
      <c r="S15" s="774">
        <f t="shared" si="0"/>
        <v>100</v>
      </c>
      <c r="T15" s="773" t="s">
        <v>21</v>
      </c>
      <c r="U15" s="774">
        <f t="shared" si="1"/>
        <v>100</v>
      </c>
      <c r="V15" s="773" t="s">
        <v>21</v>
      </c>
      <c r="W15" s="774">
        <f t="shared" si="2"/>
        <v>100</v>
      </c>
      <c r="X15" s="1814"/>
      <c r="Y15" s="3350" t="s">
        <v>2545</v>
      </c>
      <c r="Z15" s="1815" t="str">
        <f t="shared" si="7"/>
        <v>居住社区成熟度</v>
      </c>
      <c r="AA15" s="1812">
        <f t="shared" si="3"/>
        <v>1</v>
      </c>
      <c r="AB15" s="1812">
        <f t="shared" si="4"/>
        <v>1</v>
      </c>
      <c r="AC15" s="1812">
        <f t="shared" si="5"/>
        <v>1</v>
      </c>
    </row>
    <row r="16" spans="1:29" ht="15">
      <c r="A16" s="427"/>
      <c r="B16" s="445"/>
      <c r="C16" s="446"/>
      <c r="D16" s="447"/>
      <c r="E16" s="2601"/>
      <c r="F16" s="447"/>
      <c r="G16" s="2602"/>
      <c r="H16" s="449"/>
      <c r="I16" s="2602"/>
      <c r="J16" s="447"/>
      <c r="K16" s="2603"/>
      <c r="L16" s="1141"/>
      <c r="M16" s="1132"/>
      <c r="N16" s="1132"/>
      <c r="O16" s="1132"/>
      <c r="P16" s="3358"/>
      <c r="Q16" s="1811"/>
      <c r="R16" s="773"/>
      <c r="S16" s="774"/>
      <c r="T16" s="773"/>
      <c r="U16" s="774"/>
      <c r="V16" s="773"/>
      <c r="W16" s="774"/>
      <c r="X16" s="1814"/>
      <c r="Y16" s="3351"/>
      <c r="Z16" s="1815"/>
      <c r="AA16" s="1812">
        <v>1</v>
      </c>
      <c r="AB16" s="1812">
        <v>1</v>
      </c>
      <c r="AC16" s="1812">
        <v>1</v>
      </c>
    </row>
    <row r="17" spans="1:29" ht="15">
      <c r="A17" s="427"/>
      <c r="B17" s="450" t="s">
        <v>2088</v>
      </c>
      <c r="C17" s="2604">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358"/>
      <c r="Q17" s="1811" t="str">
        <f>B17</f>
        <v>交通便捷度</v>
      </c>
      <c r="R17" s="773" t="s">
        <v>21</v>
      </c>
      <c r="S17" s="774">
        <f>F17</f>
        <v>100</v>
      </c>
      <c r="T17" s="773" t="s">
        <v>21</v>
      </c>
      <c r="U17" s="774">
        <f>H17</f>
        <v>100</v>
      </c>
      <c r="V17" s="773" t="s">
        <v>21</v>
      </c>
      <c r="W17" s="774">
        <f>J17</f>
        <v>100</v>
      </c>
      <c r="X17" s="1814"/>
      <c r="Y17" s="3351"/>
      <c r="Z17" s="1815" t="str">
        <f>Q17</f>
        <v>交通便捷度</v>
      </c>
      <c r="AA17" s="1812">
        <f t="shared" si="3"/>
        <v>1</v>
      </c>
      <c r="AB17" s="1812">
        <f t="shared" si="4"/>
        <v>1</v>
      </c>
      <c r="AC17" s="1812">
        <f t="shared" si="5"/>
        <v>1</v>
      </c>
    </row>
    <row r="18" spans="1:29" ht="15">
      <c r="A18" s="427"/>
      <c r="B18" s="455"/>
      <c r="C18" s="2605"/>
      <c r="D18" s="449"/>
      <c r="E18" s="2606"/>
      <c r="F18" s="449"/>
      <c r="G18" s="2607"/>
      <c r="H18" s="447"/>
      <c r="I18" s="2607"/>
      <c r="J18" s="447"/>
      <c r="K18" s="2603"/>
      <c r="L18" s="1141"/>
      <c r="M18" s="1132"/>
      <c r="N18" s="1132"/>
      <c r="O18" s="1132"/>
      <c r="P18" s="3358"/>
      <c r="Q18" s="1811"/>
      <c r="R18" s="773"/>
      <c r="S18" s="774"/>
      <c r="T18" s="773"/>
      <c r="U18" s="774"/>
      <c r="V18" s="773"/>
      <c r="W18" s="774"/>
      <c r="X18" s="1814"/>
      <c r="Y18" s="3351"/>
      <c r="Z18" s="1815"/>
      <c r="AA18" s="1812">
        <v>1</v>
      </c>
      <c r="AB18" s="1812">
        <v>1</v>
      </c>
      <c r="AC18" s="1812">
        <v>1</v>
      </c>
    </row>
    <row r="19" spans="1:29" ht="15">
      <c r="A19" s="427"/>
      <c r="B19" s="450" t="s">
        <v>2087</v>
      </c>
      <c r="C19" s="2604">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358"/>
      <c r="Q19" s="1811" t="str">
        <f>B19</f>
        <v>公共配套设施</v>
      </c>
      <c r="R19" s="773" t="s">
        <v>21</v>
      </c>
      <c r="S19" s="774">
        <f>F19</f>
        <v>100</v>
      </c>
      <c r="T19" s="773" t="s">
        <v>21</v>
      </c>
      <c r="U19" s="774">
        <f>H19</f>
        <v>100</v>
      </c>
      <c r="V19" s="773" t="s">
        <v>21</v>
      </c>
      <c r="W19" s="774">
        <f>J19</f>
        <v>100</v>
      </c>
      <c r="X19" s="1814"/>
      <c r="Y19" s="3351"/>
      <c r="Z19" s="1815" t="str">
        <f>Q19</f>
        <v>公共配套设施</v>
      </c>
      <c r="AA19" s="1812">
        <f t="shared" si="3"/>
        <v>1</v>
      </c>
      <c r="AB19" s="1812">
        <f t="shared" si="4"/>
        <v>1</v>
      </c>
      <c r="AC19" s="1812">
        <f t="shared" si="5"/>
        <v>1</v>
      </c>
    </row>
    <row r="20" spans="1:29" ht="15">
      <c r="A20" s="427"/>
      <c r="B20" s="455"/>
      <c r="C20" s="446"/>
      <c r="D20" s="447"/>
      <c r="E20" s="2601"/>
      <c r="F20" s="447"/>
      <c r="G20" s="2602"/>
      <c r="H20" s="447"/>
      <c r="I20" s="2602"/>
      <c r="J20" s="447"/>
      <c r="K20" s="2603"/>
      <c r="L20" s="1141"/>
      <c r="M20" s="1132"/>
      <c r="N20" s="1132"/>
      <c r="O20" s="1132"/>
      <c r="P20" s="3358"/>
      <c r="Q20" s="1811"/>
      <c r="R20" s="773"/>
      <c r="S20" s="774"/>
      <c r="T20" s="773"/>
      <c r="U20" s="774"/>
      <c r="V20" s="773"/>
      <c r="W20" s="774"/>
      <c r="X20" s="1814"/>
      <c r="Y20" s="3351"/>
      <c r="Z20" s="1815"/>
      <c r="AA20" s="1812">
        <v>1</v>
      </c>
      <c r="AB20" s="1812">
        <v>1</v>
      </c>
      <c r="AC20" s="1812">
        <v>1</v>
      </c>
    </row>
    <row r="21" spans="1:29" ht="15">
      <c r="A21" s="427"/>
      <c r="B21" s="1385" t="s">
        <v>2089</v>
      </c>
      <c r="C21" s="2604">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358"/>
      <c r="Q21" s="1811" t="str">
        <f>B21</f>
        <v>基础设施水平</v>
      </c>
      <c r="R21" s="773" t="s">
        <v>17</v>
      </c>
      <c r="S21" s="774">
        <f>F21</f>
        <v>100</v>
      </c>
      <c r="T21" s="773" t="s">
        <v>17</v>
      </c>
      <c r="U21" s="774">
        <f>H21</f>
        <v>100</v>
      </c>
      <c r="V21" s="773" t="s">
        <v>17</v>
      </c>
      <c r="W21" s="774">
        <f>J21</f>
        <v>100</v>
      </c>
      <c r="X21" s="1814"/>
      <c r="Y21" s="3351"/>
      <c r="Z21" s="1815" t="str">
        <f>Q21</f>
        <v>基础设施水平</v>
      </c>
      <c r="AA21" s="1812">
        <f t="shared" ref="AA21" si="8">D21/F21</f>
        <v>1</v>
      </c>
      <c r="AB21" s="1812">
        <f t="shared" ref="AB21" si="9">D21/H21</f>
        <v>1</v>
      </c>
      <c r="AC21" s="1812">
        <f t="shared" ref="AC21" si="10">D21/J21</f>
        <v>1</v>
      </c>
    </row>
    <row r="22" spans="1:29" ht="15">
      <c r="A22" s="427"/>
      <c r="B22" s="1385"/>
      <c r="C22" s="2605"/>
      <c r="D22" s="447"/>
      <c r="E22" s="446"/>
      <c r="F22" s="447"/>
      <c r="G22" s="2608"/>
      <c r="H22" s="447"/>
      <c r="I22" s="446"/>
      <c r="J22" s="447"/>
      <c r="K22" s="2609"/>
      <c r="L22" s="1141"/>
      <c r="M22" s="1132"/>
      <c r="N22" s="1132"/>
      <c r="O22" s="1132"/>
      <c r="P22" s="3358"/>
      <c r="Q22" s="1811"/>
      <c r="R22" s="773"/>
      <c r="S22" s="774"/>
      <c r="T22" s="773"/>
      <c r="U22" s="774"/>
      <c r="V22" s="773"/>
      <c r="W22" s="774"/>
      <c r="X22" s="1814"/>
      <c r="Y22" s="3351"/>
      <c r="Z22" s="1815"/>
      <c r="AA22" s="1812">
        <v>1</v>
      </c>
      <c r="AB22" s="1812">
        <v>1</v>
      </c>
      <c r="AC22" s="1812">
        <v>1</v>
      </c>
    </row>
    <row r="23" spans="1:29" ht="15">
      <c r="A23" s="427"/>
      <c r="B23" s="450" t="s">
        <v>2091</v>
      </c>
      <c r="C23" s="2604">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358"/>
      <c r="Q23" s="1811" t="str">
        <f>B23</f>
        <v>自然及人文环境</v>
      </c>
      <c r="R23" s="773" t="s">
        <v>21</v>
      </c>
      <c r="S23" s="774">
        <f>F23</f>
        <v>100</v>
      </c>
      <c r="T23" s="773" t="s">
        <v>21</v>
      </c>
      <c r="U23" s="774">
        <f>H23</f>
        <v>100</v>
      </c>
      <c r="V23" s="773" t="s">
        <v>21</v>
      </c>
      <c r="W23" s="774">
        <f>J23</f>
        <v>100</v>
      </c>
      <c r="X23" s="1814"/>
      <c r="Y23" s="3351"/>
      <c r="Z23" s="1815" t="str">
        <f>Q23</f>
        <v>自然及人文环境</v>
      </c>
      <c r="AA23" s="1812">
        <f>D23/F23</f>
        <v>1</v>
      </c>
      <c r="AB23" s="1812">
        <f>D23/H23</f>
        <v>1</v>
      </c>
      <c r="AC23" s="1812">
        <f>D23/J23</f>
        <v>1</v>
      </c>
    </row>
    <row r="24" spans="1:29" ht="15">
      <c r="A24" s="427"/>
      <c r="B24" s="455"/>
      <c r="C24" s="446"/>
      <c r="D24" s="447"/>
      <c r="E24" s="2601"/>
      <c r="F24" s="447"/>
      <c r="G24" s="2602"/>
      <c r="H24" s="447"/>
      <c r="I24" s="2602"/>
      <c r="J24" s="447"/>
      <c r="K24" s="2603"/>
      <c r="L24" s="1141"/>
      <c r="M24" s="1132"/>
      <c r="N24" s="1132"/>
      <c r="O24" s="1132"/>
      <c r="P24" s="3358"/>
      <c r="Q24" s="1811"/>
      <c r="R24" s="773"/>
      <c r="S24" s="774"/>
      <c r="T24" s="773"/>
      <c r="U24" s="774"/>
      <c r="V24" s="773"/>
      <c r="W24" s="774"/>
      <c r="X24" s="1814"/>
      <c r="Y24" s="3351"/>
      <c r="Z24" s="1815"/>
      <c r="AA24" s="1812">
        <v>1</v>
      </c>
      <c r="AB24" s="1812">
        <v>1</v>
      </c>
      <c r="AC24" s="1812">
        <v>1</v>
      </c>
    </row>
    <row r="25" spans="1:29" ht="15">
      <c r="A25" s="427"/>
      <c r="B25" s="421" t="s">
        <v>2546</v>
      </c>
      <c r="C25" s="459"/>
      <c r="D25" s="434">
        <v>100</v>
      </c>
      <c r="E25" s="2610"/>
      <c r="F25" s="434">
        <f>SUMIF(86:86,E25,87:87)-SUMIF(86:86,C25,87:87)+100</f>
        <v>100</v>
      </c>
      <c r="G25" s="2611"/>
      <c r="H25" s="434">
        <f>SUMIF(86:86,G25,87:87)-SUMIF(86:86,C25,87:87)+100</f>
        <v>100</v>
      </c>
      <c r="I25" s="2611"/>
      <c r="J25" s="434">
        <f>SUMIF(86:86,I25,87:87)-SUMIF(86:86,C25,87:87)+100</f>
        <v>100</v>
      </c>
      <c r="K25" s="425"/>
      <c r="L25" s="1141"/>
      <c r="M25" s="1132"/>
      <c r="N25" s="1132"/>
      <c r="O25" s="1132"/>
      <c r="P25" s="3358"/>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351"/>
      <c r="Z25" s="1815" t="str">
        <f>Q25</f>
        <v>楼层-1</v>
      </c>
      <c r="AA25" s="1812">
        <f t="shared" ref="AA25:AA46" si="15">D25/F25</f>
        <v>1</v>
      </c>
      <c r="AB25" s="1812">
        <f t="shared" ref="AB25:AB46" si="16">D25/H25</f>
        <v>1</v>
      </c>
      <c r="AC25" s="1812">
        <f t="shared" ref="AC25:AC46" si="17">D25/J25</f>
        <v>1</v>
      </c>
    </row>
    <row r="26" spans="1:29" ht="15">
      <c r="A26" s="427"/>
      <c r="B26" s="421" t="s">
        <v>2547</v>
      </c>
      <c r="C26" s="459"/>
      <c r="D26" s="434">
        <v>100</v>
      </c>
      <c r="E26" s="2610"/>
      <c r="F26" s="434">
        <f>SUMIF(88:88,E26,89:89)-SUMIF(88:88,C26,89:89)+100</f>
        <v>100</v>
      </c>
      <c r="G26" s="2611"/>
      <c r="H26" s="434">
        <f>SUMIF(88:88,G26,89:89)-SUMIF(88:88,C26,89:89)+100</f>
        <v>100</v>
      </c>
      <c r="I26" s="2611"/>
      <c r="J26" s="434">
        <f>SUMIF(88:88,I26,89:89)-SUMIF(88:88,C26,89:89)+100</f>
        <v>100</v>
      </c>
      <c r="K26" s="425"/>
      <c r="L26" s="1141"/>
      <c r="M26" s="1132"/>
      <c r="N26" s="1132"/>
      <c r="O26" s="1132"/>
      <c r="P26" s="3358"/>
      <c r="Q26" s="1811" t="str">
        <f t="shared" si="11"/>
        <v>朝向</v>
      </c>
      <c r="R26" s="773" t="s">
        <v>21</v>
      </c>
      <c r="S26" s="774">
        <f t="shared" si="12"/>
        <v>100</v>
      </c>
      <c r="T26" s="773" t="s">
        <v>21</v>
      </c>
      <c r="U26" s="774">
        <f t="shared" si="13"/>
        <v>100</v>
      </c>
      <c r="V26" s="773" t="s">
        <v>21</v>
      </c>
      <c r="W26" s="774">
        <f t="shared" si="14"/>
        <v>100</v>
      </c>
      <c r="X26" s="1814"/>
      <c r="Y26" s="3351"/>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8"/>
      <c r="L27" s="1133"/>
      <c r="M27" s="1134"/>
      <c r="N27" s="1134"/>
      <c r="O27" s="1134"/>
      <c r="P27" s="3358"/>
      <c r="Q27" s="1796">
        <f t="shared" si="11"/>
        <v>111</v>
      </c>
      <c r="R27" s="769" t="s">
        <v>21</v>
      </c>
      <c r="S27" s="770">
        <f t="shared" si="12"/>
        <v>100</v>
      </c>
      <c r="T27" s="769" t="s">
        <v>21</v>
      </c>
      <c r="U27" s="770">
        <f t="shared" si="13"/>
        <v>100</v>
      </c>
      <c r="V27" s="769" t="s">
        <v>21</v>
      </c>
      <c r="W27" s="770">
        <f t="shared" si="14"/>
        <v>100</v>
      </c>
      <c r="X27" s="771"/>
      <c r="Y27" s="3351"/>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2"/>
      <c r="H28" s="434">
        <f>SUMIF(92:92,G28,93:93)-SUMIF(92:92,C28,93:93)+100</f>
        <v>100</v>
      </c>
      <c r="I28" s="433"/>
      <c r="J28" s="434">
        <f>SUMIF(92:92,I28,93:93)-SUMIF(92:92,C28,93:93)+100</f>
        <v>100</v>
      </c>
      <c r="K28" s="2598"/>
      <c r="L28" s="1141"/>
      <c r="M28" s="1132"/>
      <c r="N28" s="1132"/>
      <c r="O28" s="1132"/>
      <c r="P28" s="3358"/>
      <c r="Q28" s="1811">
        <f t="shared" si="11"/>
        <v>111</v>
      </c>
      <c r="R28" s="773" t="s">
        <v>21</v>
      </c>
      <c r="S28" s="774">
        <f t="shared" si="12"/>
        <v>100</v>
      </c>
      <c r="T28" s="773" t="s">
        <v>21</v>
      </c>
      <c r="U28" s="774">
        <f t="shared" si="13"/>
        <v>100</v>
      </c>
      <c r="V28" s="773" t="s">
        <v>21</v>
      </c>
      <c r="W28" s="774">
        <f t="shared" si="14"/>
        <v>100</v>
      </c>
      <c r="X28" s="1814"/>
      <c r="Y28" s="3351"/>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2"/>
      <c r="H29" s="434">
        <f>SUMIF(94:94,G29,95:95)-SUMIF(94:94,C29,95:95)+100</f>
        <v>100</v>
      </c>
      <c r="I29" s="433"/>
      <c r="J29" s="434">
        <f>SUMIF(94:94,I29,95:95)-SUMIF(94:94,C29,95:95)+100</f>
        <v>100</v>
      </c>
      <c r="K29" s="2598"/>
      <c r="L29" s="1141"/>
      <c r="M29" s="1132"/>
      <c r="N29" s="1132"/>
      <c r="O29" s="1132"/>
      <c r="P29" s="3358"/>
      <c r="Q29" s="1811">
        <f t="shared" si="11"/>
        <v>111</v>
      </c>
      <c r="R29" s="773" t="s">
        <v>21</v>
      </c>
      <c r="S29" s="774">
        <f t="shared" si="12"/>
        <v>100</v>
      </c>
      <c r="T29" s="773" t="s">
        <v>21</v>
      </c>
      <c r="U29" s="774">
        <f t="shared" si="13"/>
        <v>100</v>
      </c>
      <c r="V29" s="773" t="s">
        <v>21</v>
      </c>
      <c r="W29" s="774">
        <f t="shared" si="14"/>
        <v>100</v>
      </c>
      <c r="X29" s="1814"/>
      <c r="Y29" s="3351"/>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2"/>
      <c r="H30" s="434">
        <f>SUMIF(96:96,G30,97:97)-SUMIF(96:96,C30,97:97)+100</f>
        <v>100</v>
      </c>
      <c r="I30" s="433"/>
      <c r="J30" s="434">
        <f>SUMIF(96:96,I30,97:97)-SUMIF(96:96,C30,97:97)+100</f>
        <v>100</v>
      </c>
      <c r="K30" s="2598"/>
      <c r="L30" s="1141"/>
      <c r="M30" s="1132"/>
      <c r="N30" s="1132"/>
      <c r="O30" s="1132"/>
      <c r="P30" s="3358"/>
      <c r="Q30" s="1811">
        <f t="shared" si="11"/>
        <v>111</v>
      </c>
      <c r="R30" s="773" t="s">
        <v>21</v>
      </c>
      <c r="S30" s="774">
        <f t="shared" si="12"/>
        <v>100</v>
      </c>
      <c r="T30" s="773" t="s">
        <v>21</v>
      </c>
      <c r="U30" s="774">
        <f t="shared" si="13"/>
        <v>100</v>
      </c>
      <c r="V30" s="773" t="s">
        <v>21</v>
      </c>
      <c r="W30" s="774">
        <f t="shared" si="14"/>
        <v>100</v>
      </c>
      <c r="X30" s="1814"/>
      <c r="Y30" s="3351"/>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3"/>
      <c r="H31" s="437">
        <f>SUMIF(98:98,G31,99:99)-SUMIF(98:98,C31,99:99)+100</f>
        <v>100</v>
      </c>
      <c r="I31" s="436"/>
      <c r="J31" s="437">
        <f>SUMIF(98:98,I31,99:99)-SUMIF(98:98,C31,99:99)+100</f>
        <v>100</v>
      </c>
      <c r="K31" s="2598"/>
      <c r="L31" s="1141"/>
      <c r="M31" s="1132"/>
      <c r="N31" s="1132"/>
      <c r="O31" s="1132"/>
      <c r="P31" s="3358"/>
      <c r="Q31" s="1811">
        <f t="shared" si="11"/>
        <v>111</v>
      </c>
      <c r="R31" s="773" t="s">
        <v>21</v>
      </c>
      <c r="S31" s="774">
        <f t="shared" si="12"/>
        <v>100</v>
      </c>
      <c r="T31" s="773" t="s">
        <v>21</v>
      </c>
      <c r="U31" s="774">
        <f t="shared" si="13"/>
        <v>100</v>
      </c>
      <c r="V31" s="773" t="s">
        <v>21</v>
      </c>
      <c r="W31" s="774">
        <f t="shared" si="14"/>
        <v>100</v>
      </c>
      <c r="X31" s="1814"/>
      <c r="Y31" s="3351"/>
      <c r="Z31" s="1815">
        <f t="shared" si="18"/>
        <v>111</v>
      </c>
      <c r="AA31" s="1812">
        <f t="shared" si="15"/>
        <v>1</v>
      </c>
      <c r="AB31" s="1812">
        <f t="shared" si="16"/>
        <v>1</v>
      </c>
      <c r="AC31" s="1812">
        <f t="shared" si="17"/>
        <v>1</v>
      </c>
    </row>
    <row r="32" spans="1:29" ht="15">
      <c r="A32" s="439" t="s">
        <v>2548</v>
      </c>
      <c r="B32" s="71" t="s">
        <v>2549</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41"/>
      <c r="M32" s="1132"/>
      <c r="N32" s="1132"/>
      <c r="O32" s="1132"/>
      <c r="P32" s="3352" t="s">
        <v>2550</v>
      </c>
      <c r="Q32" s="1811" t="str">
        <f t="shared" si="11"/>
        <v>建筑类型</v>
      </c>
      <c r="R32" s="773" t="s">
        <v>21</v>
      </c>
      <c r="S32" s="774">
        <f t="shared" si="12"/>
        <v>100</v>
      </c>
      <c r="T32" s="773" t="s">
        <v>21</v>
      </c>
      <c r="U32" s="774">
        <f t="shared" si="13"/>
        <v>100</v>
      </c>
      <c r="V32" s="773" t="s">
        <v>21</v>
      </c>
      <c r="W32" s="774">
        <f t="shared" si="14"/>
        <v>100</v>
      </c>
      <c r="X32" s="1814"/>
      <c r="Y32" s="3355" t="s">
        <v>2550</v>
      </c>
      <c r="Z32" s="1815" t="str">
        <f t="shared" si="18"/>
        <v>建筑类型</v>
      </c>
      <c r="AA32" s="1812">
        <f t="shared" si="15"/>
        <v>1</v>
      </c>
      <c r="AB32" s="1812">
        <f t="shared" si="16"/>
        <v>1</v>
      </c>
      <c r="AC32" s="1812">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9"/>
      <c r="M33" s="1142"/>
      <c r="N33" s="1142"/>
      <c r="O33" s="1142"/>
      <c r="P33" s="3353"/>
      <c r="Q33" s="775" t="str">
        <f t="shared" si="11"/>
        <v>项目建筑规模</v>
      </c>
      <c r="R33" s="776" t="s">
        <v>21</v>
      </c>
      <c r="S33" s="777" t="e">
        <f t="shared" si="12"/>
        <v>#N/A</v>
      </c>
      <c r="T33" s="776" t="s">
        <v>21</v>
      </c>
      <c r="U33" s="777" t="e">
        <f t="shared" si="13"/>
        <v>#N/A</v>
      </c>
      <c r="V33" s="776" t="s">
        <v>21</v>
      </c>
      <c r="W33" s="777" t="e">
        <f t="shared" si="14"/>
        <v>#N/A</v>
      </c>
      <c r="X33" s="778"/>
      <c r="Y33" s="3355"/>
      <c r="Z33" s="779" t="str">
        <f t="shared" si="18"/>
        <v>项目建筑规模</v>
      </c>
      <c r="AA33" s="1812" t="e">
        <f t="shared" si="15"/>
        <v>#N/A</v>
      </c>
      <c r="AB33" s="1812" t="e">
        <f t="shared" si="16"/>
        <v>#N/A</v>
      </c>
      <c r="AC33" s="1812" t="e">
        <f t="shared" si="17"/>
        <v>#N/A</v>
      </c>
    </row>
    <row r="34" spans="1:29" ht="15">
      <c r="A34" s="471"/>
      <c r="B34" s="421" t="s">
        <v>2552</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41"/>
      <c r="M34" s="1132"/>
      <c r="N34" s="1132"/>
      <c r="O34" s="1132"/>
      <c r="P34" s="3353"/>
      <c r="Q34" s="1811" t="str">
        <f t="shared" si="11"/>
        <v>建筑结构</v>
      </c>
      <c r="R34" s="773" t="s">
        <v>21</v>
      </c>
      <c r="S34" s="774">
        <f t="shared" si="12"/>
        <v>100</v>
      </c>
      <c r="T34" s="773" t="s">
        <v>21</v>
      </c>
      <c r="U34" s="774">
        <f t="shared" si="13"/>
        <v>100</v>
      </c>
      <c r="V34" s="773" t="s">
        <v>21</v>
      </c>
      <c r="W34" s="774">
        <f t="shared" si="14"/>
        <v>100</v>
      </c>
      <c r="X34" s="1814"/>
      <c r="Y34" s="3355"/>
      <c r="Z34" s="1815" t="str">
        <f t="shared" si="18"/>
        <v>建筑结构</v>
      </c>
      <c r="AA34" s="1812">
        <f t="shared" si="15"/>
        <v>1</v>
      </c>
      <c r="AB34" s="1812">
        <f t="shared" si="16"/>
        <v>1</v>
      </c>
      <c r="AC34" s="1812">
        <f t="shared" si="17"/>
        <v>1</v>
      </c>
    </row>
    <row r="35" spans="1:29" ht="15">
      <c r="A35" s="471"/>
      <c r="B35" s="421" t="s">
        <v>2553</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41"/>
      <c r="M35" s="1132"/>
      <c r="N35" s="1132"/>
      <c r="O35" s="1132"/>
      <c r="P35" s="3353"/>
      <c r="Q35" s="1811" t="str">
        <f t="shared" si="11"/>
        <v>建筑品质</v>
      </c>
      <c r="R35" s="773" t="s">
        <v>21</v>
      </c>
      <c r="S35" s="774">
        <f t="shared" si="12"/>
        <v>100</v>
      </c>
      <c r="T35" s="773" t="s">
        <v>21</v>
      </c>
      <c r="U35" s="774">
        <f t="shared" si="13"/>
        <v>100</v>
      </c>
      <c r="V35" s="773" t="s">
        <v>21</v>
      </c>
      <c r="W35" s="774">
        <f t="shared" si="14"/>
        <v>100</v>
      </c>
      <c r="X35" s="1814"/>
      <c r="Y35" s="3355"/>
      <c r="Z35" s="1815" t="str">
        <f t="shared" si="18"/>
        <v>建筑品质</v>
      </c>
      <c r="AA35" s="1812">
        <f t="shared" si="15"/>
        <v>1</v>
      </c>
      <c r="AB35" s="1812">
        <f t="shared" si="16"/>
        <v>1</v>
      </c>
      <c r="AC35" s="1812">
        <f t="shared" si="17"/>
        <v>1</v>
      </c>
    </row>
    <row r="36" spans="1:29" ht="15">
      <c r="A36" s="471"/>
      <c r="B36" s="421" t="s">
        <v>2554</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41"/>
      <c r="M36" s="1132"/>
      <c r="N36" s="1132"/>
      <c r="O36" s="1132"/>
      <c r="P36" s="3353"/>
      <c r="Q36" s="1811" t="str">
        <f t="shared" si="11"/>
        <v>公共部分装修</v>
      </c>
      <c r="R36" s="773" t="s">
        <v>21</v>
      </c>
      <c r="S36" s="774">
        <f t="shared" si="12"/>
        <v>100</v>
      </c>
      <c r="T36" s="773" t="s">
        <v>21</v>
      </c>
      <c r="U36" s="774">
        <f t="shared" si="13"/>
        <v>100</v>
      </c>
      <c r="V36" s="773" t="s">
        <v>21</v>
      </c>
      <c r="W36" s="774">
        <f t="shared" si="14"/>
        <v>100</v>
      </c>
      <c r="X36" s="1814"/>
      <c r="Y36" s="3355"/>
      <c r="Z36" s="1815" t="str">
        <f t="shared" si="18"/>
        <v>公共部分装修</v>
      </c>
      <c r="AA36" s="1812">
        <f t="shared" si="15"/>
        <v>1</v>
      </c>
      <c r="AB36" s="1812">
        <f t="shared" si="16"/>
        <v>1</v>
      </c>
      <c r="AC36" s="1812">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353"/>
      <c r="Q37" s="1796" t="str">
        <f t="shared" si="11"/>
        <v>成新度</v>
      </c>
      <c r="R37" s="769" t="s">
        <v>21</v>
      </c>
      <c r="S37" s="770" t="e">
        <f t="shared" si="12"/>
        <v>#N/A</v>
      </c>
      <c r="T37" s="769" t="s">
        <v>21</v>
      </c>
      <c r="U37" s="770" t="e">
        <f t="shared" si="13"/>
        <v>#N/A</v>
      </c>
      <c r="V37" s="769" t="s">
        <v>21</v>
      </c>
      <c r="W37" s="770" t="e">
        <f t="shared" si="14"/>
        <v>#N/A</v>
      </c>
      <c r="X37" s="771"/>
      <c r="Y37" s="3355"/>
      <c r="Z37" s="55" t="str">
        <f t="shared" si="18"/>
        <v>成新度</v>
      </c>
      <c r="AA37" s="772" t="e">
        <f t="shared" si="15"/>
        <v>#N/A</v>
      </c>
      <c r="AB37" s="772" t="e">
        <f t="shared" si="16"/>
        <v>#N/A</v>
      </c>
      <c r="AC37" s="772" t="e">
        <f t="shared" si="17"/>
        <v>#N/A</v>
      </c>
    </row>
    <row r="38" spans="1:29" ht="15">
      <c r="A38" s="471"/>
      <c r="B38" s="421" t="s">
        <v>2556</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41"/>
      <c r="M38" s="1132"/>
      <c r="N38" s="1132"/>
      <c r="O38" s="1132"/>
      <c r="P38" s="3353" t="s">
        <v>2550</v>
      </c>
      <c r="Q38" s="1811" t="str">
        <f t="shared" si="11"/>
        <v>物业管理</v>
      </c>
      <c r="R38" s="773" t="s">
        <v>21</v>
      </c>
      <c r="S38" s="774">
        <f t="shared" si="12"/>
        <v>100</v>
      </c>
      <c r="T38" s="773" t="s">
        <v>21</v>
      </c>
      <c r="U38" s="774">
        <f t="shared" si="13"/>
        <v>100</v>
      </c>
      <c r="V38" s="773" t="s">
        <v>21</v>
      </c>
      <c r="W38" s="774">
        <f t="shared" si="14"/>
        <v>100</v>
      </c>
      <c r="X38" s="1814"/>
      <c r="Y38" s="3355" t="s">
        <v>2550</v>
      </c>
      <c r="Z38" s="1815" t="str">
        <f t="shared" si="18"/>
        <v>物业管理</v>
      </c>
      <c r="AA38" s="1812">
        <f t="shared" si="15"/>
        <v>1</v>
      </c>
      <c r="AB38" s="1812">
        <f t="shared" si="16"/>
        <v>1</v>
      </c>
      <c r="AC38" s="1812">
        <f t="shared" si="17"/>
        <v>1</v>
      </c>
    </row>
    <row r="39" spans="1:29" ht="15">
      <c r="A39" s="471"/>
      <c r="B39" s="421" t="s">
        <v>2557</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41"/>
      <c r="M39" s="1132"/>
      <c r="N39" s="1132"/>
      <c r="O39" s="1132"/>
      <c r="P39" s="3353"/>
      <c r="Q39" s="1811" t="str">
        <f t="shared" si="11"/>
        <v>市政基础设施</v>
      </c>
      <c r="R39" s="773" t="s">
        <v>21</v>
      </c>
      <c r="S39" s="774">
        <f t="shared" si="12"/>
        <v>100</v>
      </c>
      <c r="T39" s="773" t="s">
        <v>21</v>
      </c>
      <c r="U39" s="774">
        <f t="shared" si="13"/>
        <v>100</v>
      </c>
      <c r="V39" s="773" t="s">
        <v>21</v>
      </c>
      <c r="W39" s="774">
        <f t="shared" si="14"/>
        <v>100</v>
      </c>
      <c r="X39" s="1814"/>
      <c r="Y39" s="3355"/>
      <c r="Z39" s="1815" t="str">
        <f t="shared" si="18"/>
        <v>市政基础设施</v>
      </c>
      <c r="AA39" s="1812">
        <f t="shared" si="15"/>
        <v>1</v>
      </c>
      <c r="AB39" s="1812">
        <f t="shared" si="16"/>
        <v>1</v>
      </c>
      <c r="AC39" s="1812">
        <f t="shared" si="17"/>
        <v>1</v>
      </c>
    </row>
    <row r="40" spans="1:29" ht="15">
      <c r="A40" s="471"/>
      <c r="B40" s="421" t="s">
        <v>2558</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41"/>
      <c r="M40" s="1132"/>
      <c r="N40" s="1132"/>
      <c r="O40" s="1132"/>
      <c r="P40" s="3353"/>
      <c r="Q40" s="1811" t="str">
        <f t="shared" si="11"/>
        <v>房型</v>
      </c>
      <c r="R40" s="773" t="s">
        <v>21</v>
      </c>
      <c r="S40" s="774">
        <f t="shared" si="12"/>
        <v>100</v>
      </c>
      <c r="T40" s="773" t="s">
        <v>21</v>
      </c>
      <c r="U40" s="774">
        <f t="shared" si="13"/>
        <v>100</v>
      </c>
      <c r="V40" s="773" t="s">
        <v>21</v>
      </c>
      <c r="W40" s="774">
        <f t="shared" si="14"/>
        <v>100</v>
      </c>
      <c r="X40" s="1814"/>
      <c r="Y40" s="3355"/>
      <c r="Z40" s="1815" t="str">
        <f t="shared" si="18"/>
        <v>房型</v>
      </c>
      <c r="AA40" s="1812">
        <f t="shared" si="15"/>
        <v>1</v>
      </c>
      <c r="AB40" s="1812">
        <f t="shared" si="16"/>
        <v>1</v>
      </c>
      <c r="AC40" s="1812">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9"/>
      <c r="M41" s="1142"/>
      <c r="N41" s="1142"/>
      <c r="O41" s="1142"/>
      <c r="P41" s="3353"/>
      <c r="Q41" s="775" t="str">
        <f t="shared" si="11"/>
        <v>单套/主力户型建筑面积</v>
      </c>
      <c r="R41" s="776" t="s">
        <v>21</v>
      </c>
      <c r="S41" s="777">
        <f t="shared" si="12"/>
        <v>100</v>
      </c>
      <c r="T41" s="776" t="s">
        <v>21</v>
      </c>
      <c r="U41" s="777">
        <f t="shared" si="13"/>
        <v>100</v>
      </c>
      <c r="V41" s="776" t="s">
        <v>21</v>
      </c>
      <c r="W41" s="777">
        <f t="shared" si="14"/>
        <v>100</v>
      </c>
      <c r="X41" s="778"/>
      <c r="Y41" s="3355"/>
      <c r="Z41" s="779" t="str">
        <f t="shared" si="18"/>
        <v>单套/主力户型建筑面积</v>
      </c>
      <c r="AA41" s="1812">
        <f t="shared" si="15"/>
        <v>1</v>
      </c>
      <c r="AB41" s="1812">
        <f t="shared" si="16"/>
        <v>1</v>
      </c>
      <c r="AC41" s="1812">
        <f t="shared" si="17"/>
        <v>1</v>
      </c>
    </row>
    <row r="42" spans="1:29" ht="15">
      <c r="A42" s="471"/>
      <c r="B42" s="421" t="s">
        <v>2560</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41"/>
      <c r="M42" s="1132"/>
      <c r="N42" s="1132"/>
      <c r="O42" s="1132"/>
      <c r="P42" s="3353"/>
      <c r="Q42" s="1811" t="str">
        <f t="shared" si="11"/>
        <v>内部装修</v>
      </c>
      <c r="R42" s="773" t="s">
        <v>21</v>
      </c>
      <c r="S42" s="774">
        <f t="shared" si="12"/>
        <v>100</v>
      </c>
      <c r="T42" s="773" t="s">
        <v>21</v>
      </c>
      <c r="U42" s="774">
        <f t="shared" si="13"/>
        <v>100</v>
      </c>
      <c r="V42" s="773" t="s">
        <v>21</v>
      </c>
      <c r="W42" s="774">
        <f t="shared" si="14"/>
        <v>100</v>
      </c>
      <c r="X42" s="1814"/>
      <c r="Y42" s="3355"/>
      <c r="Z42" s="1815" t="str">
        <f t="shared" si="18"/>
        <v>内部装修</v>
      </c>
      <c r="AA42" s="1812">
        <f t="shared" si="15"/>
        <v>1</v>
      </c>
      <c r="AB42" s="1812">
        <f t="shared" si="16"/>
        <v>1</v>
      </c>
      <c r="AC42" s="1812">
        <f t="shared" si="17"/>
        <v>1</v>
      </c>
    </row>
    <row r="43" spans="1:29" ht="15">
      <c r="A43" s="471"/>
      <c r="B43" s="421" t="s">
        <v>2561</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41"/>
      <c r="M43" s="1132"/>
      <c r="N43" s="1132"/>
      <c r="O43" s="1132"/>
      <c r="P43" s="3353"/>
      <c r="Q43" s="1811" t="str">
        <f t="shared" si="11"/>
        <v>内部装修维护情况</v>
      </c>
      <c r="R43" s="773" t="s">
        <v>21</v>
      </c>
      <c r="S43" s="774">
        <f t="shared" si="12"/>
        <v>100</v>
      </c>
      <c r="T43" s="773" t="s">
        <v>21</v>
      </c>
      <c r="U43" s="774">
        <f t="shared" si="13"/>
        <v>100</v>
      </c>
      <c r="V43" s="773" t="s">
        <v>21</v>
      </c>
      <c r="W43" s="774">
        <f t="shared" si="14"/>
        <v>100</v>
      </c>
      <c r="X43" s="1814"/>
      <c r="Y43" s="3355"/>
      <c r="Z43" s="1815" t="str">
        <f t="shared" si="18"/>
        <v>内部装修维护情况</v>
      </c>
      <c r="AA43" s="1812">
        <f t="shared" si="15"/>
        <v>1</v>
      </c>
      <c r="AB43" s="1812">
        <f t="shared" si="16"/>
        <v>1</v>
      </c>
      <c r="AC43" s="1812">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3"/>
      <c r="M44" s="1134"/>
      <c r="N44" s="1134"/>
      <c r="O44" s="1134"/>
      <c r="P44" s="3353"/>
      <c r="Q44" s="1796">
        <f t="shared" si="11"/>
        <v>111</v>
      </c>
      <c r="R44" s="769" t="s">
        <v>21</v>
      </c>
      <c r="S44" s="770">
        <f t="shared" si="12"/>
        <v>100</v>
      </c>
      <c r="T44" s="769" t="s">
        <v>21</v>
      </c>
      <c r="U44" s="770">
        <f t="shared" si="13"/>
        <v>100</v>
      </c>
      <c r="V44" s="769" t="s">
        <v>21</v>
      </c>
      <c r="W44" s="770">
        <f t="shared" si="14"/>
        <v>100</v>
      </c>
      <c r="X44" s="771"/>
      <c r="Y44" s="3355"/>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41"/>
      <c r="M45" s="1132"/>
      <c r="N45" s="1132"/>
      <c r="O45" s="1132"/>
      <c r="P45" s="3353"/>
      <c r="Q45" s="1811">
        <f t="shared" si="11"/>
        <v>111</v>
      </c>
      <c r="R45" s="773" t="s">
        <v>21</v>
      </c>
      <c r="S45" s="774">
        <f t="shared" si="12"/>
        <v>100</v>
      </c>
      <c r="T45" s="773" t="s">
        <v>21</v>
      </c>
      <c r="U45" s="774">
        <f t="shared" si="13"/>
        <v>100</v>
      </c>
      <c r="V45" s="773" t="s">
        <v>21</v>
      </c>
      <c r="W45" s="774">
        <f t="shared" si="14"/>
        <v>100</v>
      </c>
      <c r="X45" s="1814"/>
      <c r="Y45" s="3355"/>
      <c r="Z45" s="1815">
        <f t="shared" si="18"/>
        <v>111</v>
      </c>
      <c r="AA45" s="1812">
        <f t="shared" si="15"/>
        <v>1</v>
      </c>
      <c r="AB45" s="1812">
        <f t="shared" si="16"/>
        <v>1</v>
      </c>
      <c r="AC45" s="1812">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41"/>
      <c r="M46" s="1132"/>
      <c r="N46" s="1132"/>
      <c r="O46" s="1132"/>
      <c r="P46" s="3354"/>
      <c r="Q46" s="1811">
        <f t="shared" si="11"/>
        <v>111</v>
      </c>
      <c r="R46" s="773" t="s">
        <v>20</v>
      </c>
      <c r="S46" s="774">
        <f t="shared" si="12"/>
        <v>100</v>
      </c>
      <c r="T46" s="773" t="s">
        <v>20</v>
      </c>
      <c r="U46" s="774">
        <f t="shared" si="13"/>
        <v>100</v>
      </c>
      <c r="V46" s="773" t="s">
        <v>20</v>
      </c>
      <c r="W46" s="774">
        <f t="shared" si="14"/>
        <v>100</v>
      </c>
      <c r="X46" s="1814"/>
      <c r="Y46" s="3356"/>
      <c r="Z46" s="1815">
        <f t="shared" si="18"/>
        <v>111</v>
      </c>
      <c r="AA46" s="1812">
        <f t="shared" si="15"/>
        <v>1</v>
      </c>
      <c r="AB46" s="1812">
        <f t="shared" si="16"/>
        <v>1</v>
      </c>
      <c r="AC46" s="1812">
        <f t="shared" si="17"/>
        <v>1</v>
      </c>
    </row>
    <row r="47" spans="1:29" ht="15">
      <c r="A47" s="478" t="s">
        <v>2562</v>
      </c>
      <c r="B47" s="479"/>
      <c r="C47" s="1408" t="s">
        <v>19</v>
      </c>
      <c r="D47" s="1409"/>
      <c r="E47" s="1410"/>
      <c r="F47" s="1411"/>
      <c r="G47" s="1412"/>
      <c r="H47" s="1413"/>
      <c r="I47" s="1410"/>
      <c r="J47" s="1413"/>
      <c r="K47" s="2618"/>
      <c r="L47" s="1144"/>
      <c r="M47" s="1145"/>
      <c r="N47" s="1132"/>
      <c r="O47" s="1145"/>
      <c r="P47" s="3348" t="str">
        <f>A47</f>
        <v>成交单价（元/平方米）</v>
      </c>
      <c r="Q47" s="3348"/>
      <c r="R47" s="3349">
        <f>E47</f>
        <v>0</v>
      </c>
      <c r="S47" s="3349"/>
      <c r="T47" s="3349">
        <f>G47</f>
        <v>0</v>
      </c>
      <c r="U47" s="3349"/>
      <c r="V47" s="3349">
        <f>I47</f>
        <v>0</v>
      </c>
      <c r="W47" s="3349"/>
      <c r="X47" s="758"/>
      <c r="Y47" s="780"/>
      <c r="Z47" s="758"/>
      <c r="AA47" s="758"/>
      <c r="AB47" s="758"/>
      <c r="AC47" s="758"/>
    </row>
    <row r="48" spans="1:29" ht="15.75" thickBot="1">
      <c r="A48" s="485" t="s">
        <v>2563</v>
      </c>
      <c r="B48" s="486"/>
      <c r="C48" s="1414" t="e">
        <f>R49</f>
        <v>#DIV/0!</v>
      </c>
      <c r="D48" s="1415"/>
      <c r="E48" s="1416" t="e">
        <f>R48</f>
        <v>#DIV/0!</v>
      </c>
      <c r="F48" s="1416"/>
      <c r="G48" s="1414" t="e">
        <f>T48</f>
        <v>#DIV/0!</v>
      </c>
      <c r="H48" s="1415"/>
      <c r="I48" s="1416" t="e">
        <f>V48</f>
        <v>#DIV/0!</v>
      </c>
      <c r="J48" s="1415"/>
      <c r="K48" s="2619"/>
      <c r="L48" s="1144"/>
      <c r="M48" s="1145"/>
      <c r="N48" s="1145"/>
      <c r="O48" s="1145"/>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2564</v>
      </c>
      <c r="B49" s="492"/>
      <c r="C49" s="1417" t="e">
        <f>R49</f>
        <v>#DIV/0!</v>
      </c>
      <c r="D49" s="1418"/>
      <c r="E49" s="1418"/>
      <c r="F49" s="1418"/>
      <c r="G49" s="1418"/>
      <c r="H49" s="1418"/>
      <c r="I49" s="1418"/>
      <c r="J49" s="1418"/>
      <c r="K49" s="2620"/>
      <c r="L49" s="1144"/>
      <c r="M49" s="1145"/>
      <c r="N49" s="1145"/>
      <c r="O49" s="1145"/>
      <c r="P49" s="3345" t="str">
        <f>A49</f>
        <v>估价对象XX用房的比较价值（楼面单价，元/平方米）</v>
      </c>
      <c r="Q49" s="3346"/>
      <c r="R49" s="3347" t="e">
        <f>IF(F1="售价",ROUND(AVERAGE(R48:V48),0),ROUND(AVERAGE(R48:V48),1))</f>
        <v>#DIV/0!</v>
      </c>
      <c r="S49" s="3347"/>
      <c r="T49" s="3347"/>
      <c r="U49" s="3347"/>
      <c r="V49" s="3347"/>
      <c r="W49" s="334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2"/>
    </row>
    <row r="55" spans="1:29" s="501"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2568</v>
      </c>
      <c r="B57" s="758"/>
      <c r="C57" s="763"/>
      <c r="D57" s="763"/>
      <c r="E57" s="763"/>
      <c r="F57" s="764"/>
      <c r="G57" s="764"/>
      <c r="H57" s="763"/>
      <c r="I57" s="763"/>
      <c r="J57" s="763"/>
      <c r="K57" s="1161"/>
      <c r="L57" s="1162"/>
      <c r="M57" s="1160"/>
      <c r="N57" s="1160"/>
      <c r="O57" s="1160"/>
      <c r="P57" s="2623"/>
      <c r="Q57" s="503"/>
    </row>
    <row r="58" spans="1:29" s="507" customFormat="1" ht="15">
      <c r="A58" s="504" t="s">
        <v>2569</v>
      </c>
      <c r="B58" s="505"/>
      <c r="C58" s="1577" t="str">
        <f>YEAR(C7)&amp;"-"&amp;MONTH(C7)</f>
        <v>2018-2</v>
      </c>
      <c r="D58" s="1576">
        <f>EDATE(C58,-1)</f>
        <v>43101</v>
      </c>
      <c r="E58" s="1576">
        <f>EDATE(D58,-1)</f>
        <v>43070</v>
      </c>
      <c r="F58" s="1576">
        <f t="shared" ref="F58:O58" si="19">EDATE(E58,-1)</f>
        <v>43040</v>
      </c>
      <c r="G58" s="1576">
        <f t="shared" si="19"/>
        <v>43009</v>
      </c>
      <c r="H58" s="1576">
        <f t="shared" si="19"/>
        <v>42979</v>
      </c>
      <c r="I58" s="1576">
        <f t="shared" si="19"/>
        <v>42948</v>
      </c>
      <c r="J58" s="1576">
        <f t="shared" si="19"/>
        <v>42917</v>
      </c>
      <c r="K58" s="1576">
        <f t="shared" si="19"/>
        <v>42887</v>
      </c>
      <c r="L58" s="1576">
        <f t="shared" si="19"/>
        <v>42856</v>
      </c>
      <c r="M58" s="1576">
        <f t="shared" si="19"/>
        <v>42826</v>
      </c>
      <c r="N58" s="1576">
        <f t="shared" si="19"/>
        <v>42795</v>
      </c>
      <c r="O58" s="1576">
        <f t="shared" si="19"/>
        <v>42767</v>
      </c>
      <c r="P58" s="1571"/>
    </row>
    <row r="59" spans="1:29" s="117" customFormat="1" ht="15">
      <c r="A59" s="508"/>
      <c r="B59" s="2624"/>
      <c r="C59" s="1574">
        <v>100</v>
      </c>
      <c r="D59" s="510"/>
      <c r="E59" s="511"/>
      <c r="F59" s="511"/>
      <c r="G59" s="511"/>
      <c r="H59" s="511"/>
      <c r="I59" s="511"/>
      <c r="J59" s="511"/>
      <c r="K59" s="511"/>
      <c r="L59" s="511"/>
      <c r="M59" s="512"/>
      <c r="N59" s="511"/>
      <c r="O59" s="512"/>
      <c r="P59" s="2625"/>
    </row>
    <row r="60" spans="1:29" s="117" customFormat="1" ht="15.75" thickBot="1">
      <c r="A60" s="514" t="s">
        <v>2570</v>
      </c>
      <c r="B60" s="515"/>
      <c r="C60" s="516"/>
      <c r="D60" s="517"/>
      <c r="E60" s="517"/>
      <c r="F60" s="517"/>
      <c r="G60" s="517"/>
      <c r="H60" s="517"/>
      <c r="I60" s="517"/>
      <c r="J60" s="517"/>
      <c r="K60" s="517"/>
      <c r="L60" s="517"/>
      <c r="M60" s="518"/>
      <c r="N60" s="517"/>
      <c r="O60" s="518"/>
      <c r="P60" s="2625"/>
      <c r="Q60" s="503"/>
    </row>
    <row r="61" spans="1:29" s="117" customFormat="1" ht="15">
      <c r="A61" s="520" t="s">
        <v>2571</v>
      </c>
      <c r="B61" s="509"/>
      <c r="C61" s="521" t="s">
        <v>2572</v>
      </c>
      <c r="D61" s="522"/>
      <c r="E61" s="522"/>
      <c r="F61" s="522"/>
      <c r="G61" s="522"/>
      <c r="H61" s="522"/>
      <c r="I61" s="522"/>
      <c r="J61" s="522"/>
      <c r="K61" s="522"/>
      <c r="L61" s="523"/>
      <c r="M61" s="524"/>
      <c r="N61" s="1152"/>
      <c r="O61" s="1152"/>
      <c r="P61" s="2626"/>
      <c r="Q61" s="503"/>
    </row>
    <row r="62" spans="1:29" s="117" customFormat="1" ht="15.75" thickBot="1">
      <c r="A62" s="520"/>
      <c r="B62" s="509"/>
      <c r="C62" s="510">
        <v>100</v>
      </c>
      <c r="D62" s="511"/>
      <c r="E62" s="511"/>
      <c r="F62" s="511"/>
      <c r="G62" s="511"/>
      <c r="H62" s="511"/>
      <c r="I62" s="511"/>
      <c r="J62" s="511"/>
      <c r="K62" s="511"/>
      <c r="L62" s="511"/>
      <c r="M62" s="513"/>
      <c r="N62" s="1152"/>
      <c r="O62" s="1152"/>
      <c r="P62" s="2625"/>
      <c r="Q62" s="503"/>
    </row>
    <row r="63" spans="1:29">
      <c r="A63" s="526" t="s">
        <v>2573</v>
      </c>
      <c r="B63" s="527" t="s">
        <v>2539</v>
      </c>
      <c r="C63" s="528">
        <f>C9</f>
        <v>0</v>
      </c>
      <c r="D63" s="529"/>
      <c r="E63" s="529"/>
      <c r="F63" s="529"/>
      <c r="G63" s="529"/>
      <c r="H63" s="529"/>
      <c r="I63" s="529"/>
      <c r="J63" s="529"/>
      <c r="K63" s="530"/>
      <c r="L63" s="531"/>
      <c r="M63" s="532"/>
      <c r="N63" s="1153"/>
      <c r="O63" s="1153"/>
      <c r="P63" s="2627"/>
      <c r="Q63" s="503"/>
    </row>
    <row r="64" spans="1:29" ht="15.75" thickBot="1">
      <c r="A64" s="533"/>
      <c r="B64" s="534"/>
      <c r="C64" s="535">
        <v>100</v>
      </c>
      <c r="D64" s="535"/>
      <c r="E64" s="535"/>
      <c r="F64" s="535"/>
      <c r="G64" s="535"/>
      <c r="H64" s="535"/>
      <c r="I64" s="535"/>
      <c r="J64" s="535"/>
      <c r="K64" s="535"/>
      <c r="L64" s="535"/>
      <c r="M64" s="536"/>
      <c r="N64" s="1154"/>
      <c r="O64" s="1154"/>
      <c r="P64" s="2627"/>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3"/>
      <c r="O65" s="1153"/>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7"/>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7"/>
      <c r="Q67" s="503"/>
    </row>
    <row r="68" spans="1:17" ht="15">
      <c r="A68" s="533"/>
      <c r="B68" s="547"/>
      <c r="C68" s="548"/>
      <c r="D68" s="548"/>
      <c r="E68" s="548"/>
      <c r="F68" s="548"/>
      <c r="G68" s="548"/>
      <c r="H68" s="548"/>
      <c r="I68" s="548"/>
      <c r="J68" s="548"/>
      <c r="K68" s="549"/>
      <c r="L68" s="550"/>
      <c r="M68" s="551"/>
      <c r="N68" s="1153"/>
      <c r="O68" s="1153"/>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7"/>
      <c r="Q69" s="503"/>
    </row>
    <row r="70" spans="1:17" s="470" customFormat="1" ht="15.75" thickTop="1">
      <c r="A70" s="552"/>
      <c r="B70" s="537">
        <f>B12</f>
        <v>111</v>
      </c>
      <c r="C70" s="553"/>
      <c r="D70" s="553"/>
      <c r="E70" s="553"/>
      <c r="F70" s="553"/>
      <c r="G70" s="553"/>
      <c r="H70" s="554"/>
      <c r="I70" s="554"/>
      <c r="J70" s="554"/>
      <c r="K70" s="554"/>
      <c r="L70" s="555"/>
      <c r="M70" s="556"/>
      <c r="N70" s="1155"/>
      <c r="O70" s="1155"/>
      <c r="P70" s="2628"/>
      <c r="Q70" s="558"/>
    </row>
    <row r="71" spans="1:17" s="470" customFormat="1" ht="15.75" thickBot="1">
      <c r="A71" s="552"/>
      <c r="B71" s="542"/>
      <c r="C71" s="559"/>
      <c r="D71" s="535"/>
      <c r="E71" s="535"/>
      <c r="F71" s="535"/>
      <c r="G71" s="535"/>
      <c r="H71" s="535"/>
      <c r="I71" s="535"/>
      <c r="J71" s="535"/>
      <c r="K71" s="535"/>
      <c r="L71" s="535"/>
      <c r="M71" s="536"/>
      <c r="N71" s="1154"/>
      <c r="O71" s="1154"/>
      <c r="P71" s="2628"/>
      <c r="Q71" s="558"/>
    </row>
    <row r="72" spans="1:17" s="470" customFormat="1" ht="15.75" thickTop="1">
      <c r="A72" s="552"/>
      <c r="B72" s="537">
        <f>B13</f>
        <v>111</v>
      </c>
      <c r="C72" s="553"/>
      <c r="D72" s="553"/>
      <c r="E72" s="553"/>
      <c r="F72" s="553"/>
      <c r="G72" s="553"/>
      <c r="H72" s="554"/>
      <c r="I72" s="554"/>
      <c r="J72" s="554"/>
      <c r="K72" s="554"/>
      <c r="L72" s="555"/>
      <c r="M72" s="556"/>
      <c r="N72" s="1155"/>
      <c r="O72" s="1155"/>
      <c r="P72" s="2629"/>
      <c r="Q72" s="560"/>
    </row>
    <row r="73" spans="1:17" s="470" customFormat="1" ht="15.75" thickBot="1">
      <c r="A73" s="552"/>
      <c r="B73" s="542"/>
      <c r="C73" s="559"/>
      <c r="D73" s="559"/>
      <c r="E73" s="559"/>
      <c r="F73" s="559"/>
      <c r="G73" s="559"/>
      <c r="H73" s="561"/>
      <c r="I73" s="561"/>
      <c r="J73" s="561"/>
      <c r="K73" s="561"/>
      <c r="L73" s="561"/>
      <c r="M73" s="562"/>
      <c r="N73" s="1155"/>
      <c r="O73" s="1155"/>
      <c r="P73" s="2628"/>
      <c r="Q73" s="558"/>
    </row>
    <row r="74" spans="1:17" s="470" customFormat="1" ht="15.75" thickTop="1">
      <c r="A74" s="552"/>
      <c r="B74" s="545">
        <f>B14</f>
        <v>111</v>
      </c>
      <c r="C74" s="553"/>
      <c r="D74" s="553"/>
      <c r="E74" s="553"/>
      <c r="F74" s="553"/>
      <c r="G74" s="522"/>
      <c r="H74" s="563"/>
      <c r="I74" s="563"/>
      <c r="J74" s="563"/>
      <c r="K74" s="563"/>
      <c r="L74" s="564"/>
      <c r="M74" s="565"/>
      <c r="N74" s="1155"/>
      <c r="O74" s="1155"/>
      <c r="P74" s="2630"/>
      <c r="Q74" s="558"/>
    </row>
    <row r="75" spans="1:17" s="470" customFormat="1" ht="15.75" thickBot="1">
      <c r="A75" s="567"/>
      <c r="B75" s="568"/>
      <c r="C75" s="569"/>
      <c r="D75" s="569"/>
      <c r="E75" s="569"/>
      <c r="F75" s="569"/>
      <c r="G75" s="569"/>
      <c r="H75" s="570"/>
      <c r="I75" s="570"/>
      <c r="J75" s="570"/>
      <c r="K75" s="570"/>
      <c r="L75" s="570"/>
      <c r="M75" s="571"/>
      <c r="N75" s="1155"/>
      <c r="O75" s="1155"/>
      <c r="P75" s="2628"/>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3"/>
      <c r="O76" s="1153"/>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7"/>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3"/>
      <c r="O78" s="1153"/>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7"/>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3"/>
      <c r="O80" s="1153"/>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7"/>
      <c r="Q81" s="503"/>
    </row>
    <row r="82" spans="1:17" ht="15.75" thickTop="1">
      <c r="A82" s="533"/>
      <c r="B82" s="545" t="s">
        <v>2089</v>
      </c>
      <c r="C82" s="538" t="s">
        <v>2589</v>
      </c>
      <c r="D82" s="538" t="s">
        <v>2590</v>
      </c>
      <c r="E82" s="538" t="s">
        <v>2591</v>
      </c>
      <c r="F82" s="538" t="s">
        <v>2592</v>
      </c>
      <c r="G82" s="538" t="s">
        <v>2593</v>
      </c>
      <c r="H82" s="538"/>
      <c r="I82" s="538"/>
      <c r="J82" s="538"/>
      <c r="K82" s="538"/>
      <c r="L82" s="538"/>
      <c r="M82" s="1383"/>
      <c r="N82" s="1154"/>
      <c r="O82" s="1154"/>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7"/>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3"/>
      <c r="O84" s="1153"/>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7"/>
      <c r="Q85" s="503"/>
    </row>
    <row r="86" spans="1:17" s="117" customFormat="1" ht="15.75" thickTop="1">
      <c r="A86" s="578"/>
      <c r="B86" s="537" t="s">
        <v>2595</v>
      </c>
      <c r="C86" s="553"/>
      <c r="D86" s="553"/>
      <c r="E86" s="553"/>
      <c r="F86" s="553"/>
      <c r="G86" s="553"/>
      <c r="H86" s="553"/>
      <c r="I86" s="553"/>
      <c r="J86" s="553"/>
      <c r="K86" s="553"/>
      <c r="L86" s="579"/>
      <c r="M86" s="580"/>
      <c r="N86" s="1152"/>
      <c r="O86" s="1152"/>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7"/>
      <c r="Q87" s="503"/>
    </row>
    <row r="88" spans="1:17" s="117" customFormat="1" ht="15.75" thickTop="1">
      <c r="A88" s="578"/>
      <c r="B88" s="537" t="s">
        <v>2596</v>
      </c>
      <c r="C88" s="553"/>
      <c r="D88" s="553"/>
      <c r="E88" s="553"/>
      <c r="F88" s="2632"/>
      <c r="G88" s="553"/>
      <c r="H88" s="553"/>
      <c r="I88" s="553"/>
      <c r="J88" s="553"/>
      <c r="K88" s="553"/>
      <c r="L88" s="553"/>
      <c r="M88" s="580"/>
      <c r="N88" s="1152"/>
      <c r="O88" s="1152"/>
      <c r="P88" s="2627"/>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7"/>
      <c r="Q89" s="503"/>
    </row>
    <row r="90" spans="1:17" s="470" customFormat="1" ht="15.75" thickTop="1">
      <c r="A90" s="552"/>
      <c r="B90" s="537">
        <f>B27</f>
        <v>111</v>
      </c>
      <c r="C90" s="553"/>
      <c r="D90" s="553"/>
      <c r="E90" s="553"/>
      <c r="F90" s="553"/>
      <c r="G90" s="553"/>
      <c r="H90" s="554"/>
      <c r="I90" s="554"/>
      <c r="J90" s="554"/>
      <c r="K90" s="554"/>
      <c r="L90" s="555"/>
      <c r="M90" s="556"/>
      <c r="N90" s="1155"/>
      <c r="O90" s="1155"/>
      <c r="P90" s="2628"/>
      <c r="Q90" s="558"/>
    </row>
    <row r="91" spans="1:17" s="470" customFormat="1" ht="15.75" thickBot="1">
      <c r="A91" s="552"/>
      <c r="B91" s="542"/>
      <c r="C91" s="559"/>
      <c r="D91" s="559"/>
      <c r="E91" s="559"/>
      <c r="F91" s="559"/>
      <c r="G91" s="559"/>
      <c r="H91" s="561"/>
      <c r="I91" s="561"/>
      <c r="J91" s="561"/>
      <c r="K91" s="561"/>
      <c r="L91" s="561"/>
      <c r="M91" s="562"/>
      <c r="N91" s="1155"/>
      <c r="O91" s="1155"/>
      <c r="P91" s="2628"/>
      <c r="Q91" s="558"/>
    </row>
    <row r="92" spans="1:17" ht="15.75" thickTop="1">
      <c r="A92" s="533"/>
      <c r="B92" s="537">
        <f>B28</f>
        <v>111</v>
      </c>
      <c r="C92" s="553"/>
      <c r="D92" s="553"/>
      <c r="E92" s="553"/>
      <c r="F92" s="553"/>
      <c r="G92" s="582"/>
      <c r="H92" s="582"/>
      <c r="I92" s="582"/>
      <c r="J92" s="582"/>
      <c r="K92" s="583"/>
      <c r="L92" s="584"/>
      <c r="M92" s="585"/>
      <c r="N92" s="1153"/>
      <c r="O92" s="1153"/>
      <c r="P92" s="2627"/>
      <c r="Q92" s="503"/>
    </row>
    <row r="93" spans="1:17" ht="15.75" thickBot="1">
      <c r="A93" s="533"/>
      <c r="B93" s="542"/>
      <c r="C93" s="559"/>
      <c r="D93" s="535"/>
      <c r="E93" s="535"/>
      <c r="F93" s="535"/>
      <c r="G93" s="535"/>
      <c r="H93" s="535"/>
      <c r="I93" s="535"/>
      <c r="J93" s="535"/>
      <c r="K93" s="535"/>
      <c r="L93" s="535"/>
      <c r="M93" s="536"/>
      <c r="N93" s="1154"/>
      <c r="O93" s="1154"/>
      <c r="P93" s="2627"/>
      <c r="Q93" s="503"/>
    </row>
    <row r="94" spans="1:17" ht="15.75" thickTop="1">
      <c r="A94" s="533"/>
      <c r="B94" s="537">
        <f>B29</f>
        <v>111</v>
      </c>
      <c r="C94" s="553"/>
      <c r="D94" s="553"/>
      <c r="E94" s="553"/>
      <c r="F94" s="553"/>
      <c r="G94" s="582"/>
      <c r="H94" s="582"/>
      <c r="I94" s="582"/>
      <c r="J94" s="582"/>
      <c r="K94" s="583"/>
      <c r="L94" s="584"/>
      <c r="M94" s="585"/>
      <c r="N94" s="1153"/>
      <c r="O94" s="1153"/>
      <c r="P94" s="2627"/>
      <c r="Q94" s="503"/>
    </row>
    <row r="95" spans="1:17" ht="15.75" thickBot="1">
      <c r="A95" s="533"/>
      <c r="B95" s="542"/>
      <c r="C95" s="559"/>
      <c r="D95" s="559"/>
      <c r="E95" s="559"/>
      <c r="F95" s="559"/>
      <c r="G95" s="535"/>
      <c r="H95" s="535"/>
      <c r="I95" s="535"/>
      <c r="J95" s="535"/>
      <c r="K95" s="535"/>
      <c r="L95" s="535"/>
      <c r="M95" s="536"/>
      <c r="N95" s="1154"/>
      <c r="O95" s="1154"/>
      <c r="P95" s="2627"/>
      <c r="Q95" s="503"/>
    </row>
    <row r="96" spans="1:17" ht="15.75" thickTop="1">
      <c r="A96" s="533"/>
      <c r="B96" s="537">
        <f>B30</f>
        <v>111</v>
      </c>
      <c r="C96" s="553"/>
      <c r="D96" s="553"/>
      <c r="E96" s="553"/>
      <c r="F96" s="553"/>
      <c r="G96" s="582"/>
      <c r="H96" s="582"/>
      <c r="I96" s="582"/>
      <c r="J96" s="582"/>
      <c r="K96" s="583"/>
      <c r="L96" s="584"/>
      <c r="M96" s="585"/>
      <c r="N96" s="1153"/>
      <c r="O96" s="1153"/>
      <c r="P96" s="2627"/>
      <c r="Q96" s="503"/>
    </row>
    <row r="97" spans="1:17" ht="15.75" thickBot="1">
      <c r="A97" s="533"/>
      <c r="B97" s="542"/>
      <c r="C97" s="569"/>
      <c r="D97" s="569"/>
      <c r="E97" s="569"/>
      <c r="F97" s="569"/>
      <c r="G97" s="535"/>
      <c r="H97" s="535"/>
      <c r="I97" s="535"/>
      <c r="J97" s="535"/>
      <c r="K97" s="535"/>
      <c r="L97" s="535"/>
      <c r="M97" s="536"/>
      <c r="N97" s="1154"/>
      <c r="O97" s="1154"/>
      <c r="P97" s="2627"/>
      <c r="Q97" s="503"/>
    </row>
    <row r="98" spans="1:17" ht="15.75" thickTop="1">
      <c r="A98" s="533"/>
      <c r="B98" s="545">
        <f>B31</f>
        <v>111</v>
      </c>
      <c r="C98" s="586"/>
      <c r="D98" s="586"/>
      <c r="E98" s="586"/>
      <c r="F98" s="586"/>
      <c r="G98" s="586"/>
      <c r="H98" s="586"/>
      <c r="I98" s="586"/>
      <c r="J98" s="586"/>
      <c r="K98" s="587"/>
      <c r="L98" s="588"/>
      <c r="M98" s="589"/>
      <c r="N98" s="1153"/>
      <c r="O98" s="1153"/>
      <c r="P98" s="2627"/>
      <c r="Q98" s="503"/>
    </row>
    <row r="99" spans="1:17" ht="15.75" thickBot="1">
      <c r="A99" s="2633"/>
      <c r="B99" s="568"/>
      <c r="C99" s="590"/>
      <c r="D99" s="590"/>
      <c r="E99" s="590"/>
      <c r="F99" s="590"/>
      <c r="G99" s="590"/>
      <c r="H99" s="590"/>
      <c r="I99" s="590"/>
      <c r="J99" s="590"/>
      <c r="K99" s="590"/>
      <c r="L99" s="590"/>
      <c r="M99" s="591"/>
      <c r="N99" s="1154"/>
      <c r="O99" s="1154"/>
      <c r="P99" s="2627"/>
      <c r="Q99" s="503"/>
    </row>
    <row r="100" spans="1:17">
      <c r="A100" s="526" t="s">
        <v>2548</v>
      </c>
      <c r="B100" s="527" t="s">
        <v>2597</v>
      </c>
      <c r="C100" s="529"/>
      <c r="D100" s="529"/>
      <c r="E100" s="529"/>
      <c r="F100" s="529"/>
      <c r="G100" s="529"/>
      <c r="H100" s="529"/>
      <c r="I100" s="529"/>
      <c r="J100" s="529"/>
      <c r="K100" s="530"/>
      <c r="L100" s="531"/>
      <c r="M100" s="532"/>
      <c r="N100" s="1153"/>
      <c r="O100" s="1153"/>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7"/>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7"/>
      <c r="Q102" s="503"/>
    </row>
    <row r="103" spans="1:17" s="470" customFormat="1">
      <c r="A103" s="592"/>
      <c r="B103" s="593"/>
      <c r="C103" s="594"/>
      <c r="D103" s="594"/>
      <c r="E103" s="594"/>
      <c r="F103" s="594"/>
      <c r="G103" s="594"/>
      <c r="H103" s="594"/>
      <c r="I103" s="594"/>
      <c r="J103" s="595"/>
      <c r="K103" s="595"/>
      <c r="L103" s="596"/>
      <c r="M103" s="597"/>
      <c r="N103" s="1155"/>
      <c r="O103" s="1155"/>
      <c r="P103" s="2628"/>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8"/>
      <c r="Q104" s="558"/>
    </row>
    <row r="105" spans="1:17" ht="15" thickTop="1">
      <c r="A105" s="598"/>
      <c r="B105" s="537" t="s">
        <v>2599</v>
      </c>
      <c r="C105" s="553"/>
      <c r="D105" s="553"/>
      <c r="E105" s="582"/>
      <c r="F105" s="582"/>
      <c r="G105" s="582"/>
      <c r="H105" s="582"/>
      <c r="I105" s="582"/>
      <c r="J105" s="582"/>
      <c r="K105" s="583"/>
      <c r="L105" s="584"/>
      <c r="M105" s="585"/>
      <c r="N105" s="1153"/>
      <c r="O105" s="1153"/>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7"/>
      <c r="Q106" s="503"/>
    </row>
    <row r="107" spans="1:17" ht="15" thickTop="1">
      <c r="A107" s="598"/>
      <c r="B107" s="537" t="s">
        <v>2600</v>
      </c>
      <c r="C107" s="582"/>
      <c r="D107" s="582"/>
      <c r="E107" s="582"/>
      <c r="F107" s="582"/>
      <c r="G107" s="582"/>
      <c r="H107" s="582"/>
      <c r="I107" s="582"/>
      <c r="J107" s="582"/>
      <c r="K107" s="583"/>
      <c r="L107" s="584"/>
      <c r="M107" s="585"/>
      <c r="N107" s="1153"/>
      <c r="O107" s="1153"/>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7"/>
      <c r="Q108" s="503"/>
    </row>
    <row r="109" spans="1:17" ht="15" thickTop="1">
      <c r="A109" s="598"/>
      <c r="B109" s="537" t="s">
        <v>2601</v>
      </c>
      <c r="C109" s="553"/>
      <c r="D109" s="553"/>
      <c r="E109" s="553"/>
      <c r="F109" s="582"/>
      <c r="G109" s="582"/>
      <c r="H109" s="582"/>
      <c r="I109" s="582"/>
      <c r="J109" s="582"/>
      <c r="K109" s="583"/>
      <c r="L109" s="584"/>
      <c r="M109" s="585"/>
      <c r="N109" s="1153"/>
      <c r="O109" s="1153"/>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7"/>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8"/>
      <c r="Q113" s="558"/>
    </row>
    <row r="114" spans="1:17" ht="15" thickTop="1">
      <c r="A114" s="598"/>
      <c r="B114" s="537" t="s">
        <v>2602</v>
      </c>
      <c r="C114" s="553"/>
      <c r="D114" s="553"/>
      <c r="E114" s="582"/>
      <c r="F114" s="582"/>
      <c r="G114" s="582"/>
      <c r="H114" s="582"/>
      <c r="I114" s="582"/>
      <c r="J114" s="582"/>
      <c r="K114" s="583"/>
      <c r="L114" s="584"/>
      <c r="M114" s="585"/>
      <c r="N114" s="1153"/>
      <c r="O114" s="1153"/>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7"/>
      <c r="Q115" s="503"/>
    </row>
    <row r="116" spans="1:17" ht="15" thickTop="1">
      <c r="A116" s="598"/>
      <c r="B116" s="537" t="s">
        <v>2603</v>
      </c>
      <c r="C116" s="553"/>
      <c r="D116" s="553"/>
      <c r="E116" s="553"/>
      <c r="F116" s="553"/>
      <c r="G116" s="553"/>
      <c r="H116" s="582"/>
      <c r="I116" s="582"/>
      <c r="J116" s="582"/>
      <c r="K116" s="583"/>
      <c r="L116" s="584"/>
      <c r="M116" s="585"/>
      <c r="N116" s="1153"/>
      <c r="O116" s="1153"/>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7"/>
      <c r="Q117" s="503"/>
    </row>
    <row r="118" spans="1:17" ht="15" thickTop="1">
      <c r="A118" s="598"/>
      <c r="B118" s="537" t="s">
        <v>2604</v>
      </c>
      <c r="C118" s="582"/>
      <c r="D118" s="582"/>
      <c r="E118" s="582"/>
      <c r="F118" s="582"/>
      <c r="G118" s="582"/>
      <c r="H118" s="582"/>
      <c r="I118" s="582"/>
      <c r="J118" s="582"/>
      <c r="K118" s="583"/>
      <c r="L118" s="584"/>
      <c r="M118" s="585"/>
      <c r="N118" s="1153"/>
      <c r="O118" s="1153"/>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7"/>
      <c r="Q119" s="503"/>
    </row>
    <row r="120" spans="1:17" s="470" customFormat="1" ht="28.5" thickTop="1">
      <c r="A120" s="592"/>
      <c r="B120" s="537" t="s">
        <v>2559</v>
      </c>
      <c r="C120" s="553"/>
      <c r="D120" s="553"/>
      <c r="E120" s="553"/>
      <c r="F120" s="553"/>
      <c r="G120" s="553"/>
      <c r="H120" s="553"/>
      <c r="I120" s="553"/>
      <c r="J120" s="553"/>
      <c r="K120" s="553"/>
      <c r="L120" s="579"/>
      <c r="M120" s="580"/>
      <c r="N120" s="1155"/>
      <c r="O120" s="1155"/>
      <c r="P120" s="2628"/>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8"/>
      <c r="Q121" s="558"/>
    </row>
    <row r="122" spans="1:17" ht="15" thickTop="1">
      <c r="A122" s="598"/>
      <c r="B122" s="537" t="s">
        <v>2605</v>
      </c>
      <c r="C122" s="553"/>
      <c r="D122" s="553"/>
      <c r="E122" s="553"/>
      <c r="F122" s="582"/>
      <c r="G122" s="582"/>
      <c r="H122" s="582"/>
      <c r="I122" s="582"/>
      <c r="J122" s="582"/>
      <c r="K122" s="583"/>
      <c r="L122" s="584"/>
      <c r="M122" s="585"/>
      <c r="N122" s="1153"/>
      <c r="O122" s="1153"/>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7"/>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3"/>
      <c r="O124" s="1153"/>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7"/>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8"/>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8"/>
      <c r="Q127" s="558"/>
    </row>
    <row r="128" spans="1:17" ht="15" thickTop="1">
      <c r="A128" s="598"/>
      <c r="B128" s="537">
        <f>B45</f>
        <v>111</v>
      </c>
      <c r="C128" s="553"/>
      <c r="D128" s="553"/>
      <c r="E128" s="553"/>
      <c r="F128" s="553"/>
      <c r="G128" s="582"/>
      <c r="H128" s="582"/>
      <c r="I128" s="582"/>
      <c r="J128" s="582"/>
      <c r="K128" s="583"/>
      <c r="L128" s="584"/>
      <c r="M128" s="585"/>
      <c r="N128" s="1153"/>
      <c r="O128" s="1153"/>
      <c r="P128" s="2627"/>
      <c r="Q128" s="503"/>
    </row>
    <row r="129" spans="1:17" ht="15.75" thickBot="1">
      <c r="A129" s="533"/>
      <c r="B129" s="542"/>
      <c r="C129" s="559"/>
      <c r="D129" s="559"/>
      <c r="E129" s="559"/>
      <c r="F129" s="559"/>
      <c r="G129" s="535"/>
      <c r="H129" s="535"/>
      <c r="I129" s="535"/>
      <c r="J129" s="535"/>
      <c r="K129" s="535"/>
      <c r="L129" s="535"/>
      <c r="M129" s="536"/>
      <c r="N129" s="1154"/>
      <c r="O129" s="1154"/>
      <c r="P129" s="2627"/>
      <c r="Q129" s="503"/>
    </row>
    <row r="130" spans="1:17" ht="15" thickTop="1">
      <c r="A130" s="598"/>
      <c r="B130" s="545">
        <f>B46</f>
        <v>111</v>
      </c>
      <c r="C130" s="553"/>
      <c r="D130" s="553"/>
      <c r="E130" s="553"/>
      <c r="F130" s="553"/>
      <c r="G130" s="586"/>
      <c r="H130" s="586"/>
      <c r="I130" s="586"/>
      <c r="J130" s="586"/>
      <c r="K130" s="522"/>
      <c r="L130" s="523"/>
      <c r="M130" s="589"/>
      <c r="N130" s="1153"/>
      <c r="O130" s="1153"/>
      <c r="P130" s="2627"/>
      <c r="Q130" s="503"/>
    </row>
    <row r="131" spans="1:17" ht="15.75" thickBot="1">
      <c r="A131" s="2633"/>
      <c r="B131" s="568"/>
      <c r="C131" s="569"/>
      <c r="D131" s="569"/>
      <c r="E131" s="569"/>
      <c r="F131" s="569"/>
      <c r="G131" s="590"/>
      <c r="H131" s="590"/>
      <c r="I131" s="590"/>
      <c r="J131" s="590"/>
      <c r="K131" s="590"/>
      <c r="L131" s="590"/>
      <c r="M131" s="591"/>
      <c r="N131" s="1154"/>
      <c r="O131" s="1154"/>
      <c r="P131" s="2627"/>
      <c r="Q131" s="503"/>
    </row>
    <row r="136" spans="1:17" ht="15" thickBot="1">
      <c r="B136" s="2634" t="s">
        <v>2607</v>
      </c>
    </row>
    <row r="137" spans="1:17" ht="15">
      <c r="B137" s="2635" t="s">
        <v>2608</v>
      </c>
      <c r="C137" s="2636"/>
      <c r="D137" s="2636"/>
      <c r="E137" s="2636"/>
      <c r="F137" s="2636"/>
      <c r="G137" s="2637"/>
      <c r="H137" s="2638"/>
      <c r="I137" s="2639" t="s">
        <v>2609</v>
      </c>
      <c r="J137" s="2636"/>
      <c r="K137" s="2640"/>
    </row>
    <row r="138" spans="1:17" ht="15">
      <c r="B138" s="2641"/>
      <c r="C138" s="145" t="s">
        <v>2610</v>
      </c>
      <c r="D138" s="145" t="s">
        <v>2611</v>
      </c>
      <c r="E138" s="2642" t="s">
        <v>2612</v>
      </c>
      <c r="F138" s="2643" t="s">
        <v>2613</v>
      </c>
      <c r="G138" s="145" t="s">
        <v>2611</v>
      </c>
      <c r="H138" s="146" t="s">
        <v>2612</v>
      </c>
      <c r="I138" s="2644"/>
      <c r="J138" s="145" t="s">
        <v>2614</v>
      </c>
      <c r="K138" s="146" t="s">
        <v>2615</v>
      </c>
    </row>
    <row r="139" spans="1:17" ht="15">
      <c r="B139" s="1085">
        <v>6</v>
      </c>
      <c r="C139" s="1086">
        <v>96</v>
      </c>
      <c r="D139" s="2645" t="s">
        <v>2616</v>
      </c>
      <c r="E139" s="1087">
        <v>100</v>
      </c>
      <c r="F139" s="1088">
        <v>102.5</v>
      </c>
      <c r="G139" s="2645" t="s">
        <v>2616</v>
      </c>
      <c r="H139" s="1089">
        <v>105</v>
      </c>
      <c r="I139" s="2646" t="s">
        <v>2617</v>
      </c>
      <c r="J139" s="1086">
        <v>20</v>
      </c>
      <c r="K139" s="1090">
        <f>C145/(J139-2)</f>
        <v>4.0555555555555553E-3</v>
      </c>
    </row>
    <row r="140" spans="1:17" ht="15">
      <c r="B140" s="1091">
        <v>5</v>
      </c>
      <c r="C140" s="1092">
        <v>100</v>
      </c>
      <c r="D140" s="1092"/>
      <c r="E140" s="1093"/>
      <c r="F140" s="1094">
        <v>102</v>
      </c>
      <c r="G140" s="1092"/>
      <c r="H140" s="1095"/>
      <c r="I140" s="2647" t="s">
        <v>2618</v>
      </c>
      <c r="J140" s="314">
        <f>ROUNDUP((J139-1)/2,0)</f>
        <v>10</v>
      </c>
      <c r="K140" s="1096">
        <v>100</v>
      </c>
    </row>
    <row r="141" spans="1:17" ht="15">
      <c r="B141" s="1091">
        <v>4</v>
      </c>
      <c r="C141" s="1092">
        <v>102</v>
      </c>
      <c r="D141" s="1092"/>
      <c r="E141" s="1093"/>
      <c r="F141" s="1094">
        <v>101.5</v>
      </c>
      <c r="G141" s="1092"/>
      <c r="H141" s="1095"/>
      <c r="I141" s="2647" t="s">
        <v>2619</v>
      </c>
      <c r="J141" s="314">
        <v>1</v>
      </c>
      <c r="K141" s="1097">
        <f>ROUND(100+(J141-J140)*K139*100,1)</f>
        <v>96.4</v>
      </c>
    </row>
    <row r="142" spans="1:17" ht="15">
      <c r="B142" s="1091">
        <v>3</v>
      </c>
      <c r="C142" s="1092">
        <v>103</v>
      </c>
      <c r="D142" s="1092"/>
      <c r="E142" s="1093"/>
      <c r="F142" s="1094">
        <v>101</v>
      </c>
      <c r="G142" s="1092"/>
      <c r="H142" s="1095"/>
      <c r="I142" s="2647" t="s">
        <v>2620</v>
      </c>
      <c r="J142" s="314">
        <f>J139</f>
        <v>20</v>
      </c>
      <c r="K142" s="1098">
        <v>95</v>
      </c>
    </row>
    <row r="143" spans="1:17" ht="15">
      <c r="B143" s="1091">
        <v>2</v>
      </c>
      <c r="C143" s="1092">
        <v>100</v>
      </c>
      <c r="D143" s="1092"/>
      <c r="E143" s="1093"/>
      <c r="F143" s="1094">
        <v>100.5</v>
      </c>
      <c r="G143" s="1092"/>
      <c r="H143" s="1095"/>
      <c r="I143" s="2647" t="s">
        <v>2621</v>
      </c>
      <c r="J143" s="1092">
        <v>15</v>
      </c>
      <c r="K143" s="1097">
        <f>ROUND(100+(J143-J140)*K139*100,1)</f>
        <v>102</v>
      </c>
    </row>
    <row r="144" spans="1:17" ht="15">
      <c r="B144" s="1091">
        <v>1</v>
      </c>
      <c r="C144" s="1092">
        <v>98</v>
      </c>
      <c r="D144" s="2648" t="s">
        <v>2622</v>
      </c>
      <c r="E144" s="1093">
        <v>102</v>
      </c>
      <c r="F144" s="1099">
        <v>100</v>
      </c>
      <c r="G144" s="2648" t="s">
        <v>2622</v>
      </c>
      <c r="H144" s="1095">
        <v>105</v>
      </c>
      <c r="I144" s="2647" t="s">
        <v>2621</v>
      </c>
      <c r="J144" s="1092">
        <v>18</v>
      </c>
      <c r="K144" s="1097">
        <f>ROUND(100+(J144-J140)*K139*100,1)</f>
        <v>103.2</v>
      </c>
    </row>
    <row r="145" spans="2:11" ht="15.75" thickBot="1">
      <c r="B145" s="2649" t="s">
        <v>2623</v>
      </c>
      <c r="C145" s="1100">
        <f>ROUND(MAX(C139:C144)/MIN(C139:C144)-1,3)</f>
        <v>7.2999999999999995E-2</v>
      </c>
      <c r="D145" s="1101"/>
      <c r="E145" s="1101"/>
      <c r="F145" s="2650" t="s">
        <v>2624</v>
      </c>
      <c r="G145" s="2651"/>
      <c r="H145" s="2652"/>
      <c r="I145" s="2653" t="s">
        <v>2621</v>
      </c>
      <c r="J145" s="1102">
        <v>8</v>
      </c>
      <c r="K145" s="1103">
        <f>ROUND(100+(J145-J140)*K139*100,1)</f>
        <v>99.2</v>
      </c>
    </row>
    <row r="147" spans="2:11">
      <c r="B147" s="2634" t="s">
        <v>2625</v>
      </c>
    </row>
    <row r="148" spans="2:11">
      <c r="B148" s="2634"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579" t="s">
        <v>2627</v>
      </c>
      <c r="C1" s="1635" t="s">
        <v>2515</v>
      </c>
      <c r="D1" s="1622"/>
      <c r="E1" s="2654"/>
      <c r="F1" s="2581"/>
      <c r="G1" s="1632" t="s">
        <v>2628</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7" customFormat="1" ht="28.5" customHeight="1" thickTop="1">
      <c r="A2" s="1618" t="s">
        <v>2312</v>
      </c>
      <c r="B2" s="1419" t="e">
        <f ca="1">IF(C2="——",ROUND(C49*D3/10000,0),ROUND(C49*D3/10000,0)-D2)</f>
        <v>#DIV/0!</v>
      </c>
      <c r="C2" s="2583"/>
      <c r="D2" s="1366" t="e">
        <f ca="1">SUMIF(INDIRECT("'"&amp;F2&amp;"'"&amp;"!A:A"),"承租人权益价值",INDIRECT("'"&amp;F2&amp;"'"&amp;"!c:c"))</f>
        <v>#REF!</v>
      </c>
      <c r="E2" s="2584" t="s">
        <v>2313</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7" customFormat="1" ht="28.5" customHeight="1" thickBot="1">
      <c r="A3" s="246" t="s">
        <v>2314</v>
      </c>
      <c r="B3" s="608" t="e">
        <f ca="1">IF(C2="——",C49,ROUND(B2*10000/D3,0))</f>
        <v>#DIV/0!</v>
      </c>
      <c r="C3" s="399" t="s">
        <v>2629</v>
      </c>
      <c r="D3" s="398">
        <f>IF(D1="",'数据-汇总表'!E3,SUMIF('数据-汇总表'!$C19:$C33,D1,'数据-汇总表'!$E19:$E33))</f>
        <v>5755.45</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0" t="s">
        <v>2630</v>
      </c>
      <c r="B4" s="401"/>
      <c r="C4" s="3331" t="s">
        <v>2631</v>
      </c>
      <c r="D4" s="3332"/>
      <c r="E4" s="3333" t="s">
        <v>2632</v>
      </c>
      <c r="F4" s="3334"/>
      <c r="G4" s="3331" t="s">
        <v>2633</v>
      </c>
      <c r="H4" s="3332"/>
      <c r="I4" s="3331" t="s">
        <v>2634</v>
      </c>
      <c r="J4" s="3332"/>
      <c r="K4" s="609" t="s">
        <v>2635</v>
      </c>
      <c r="L4" s="1131"/>
      <c r="M4" s="1132"/>
      <c r="N4" s="1132"/>
      <c r="O4" s="1132"/>
      <c r="P4" s="3335" t="s">
        <v>2636</v>
      </c>
      <c r="Q4" s="3336"/>
      <c r="R4" s="3318" t="s">
        <v>2632</v>
      </c>
      <c r="S4" s="3319"/>
      <c r="T4" s="3318" t="s">
        <v>2633</v>
      </c>
      <c r="U4" s="3319"/>
      <c r="V4" s="3343" t="s">
        <v>2634</v>
      </c>
      <c r="W4" s="3343"/>
      <c r="X4" s="1814"/>
      <c r="Y4" s="3318" t="s">
        <v>2636</v>
      </c>
      <c r="Z4" s="3319"/>
      <c r="AA4" s="3313" t="s">
        <v>2632</v>
      </c>
      <c r="AB4" s="3343" t="s">
        <v>2633</v>
      </c>
      <c r="AC4" s="3313" t="s">
        <v>2634</v>
      </c>
    </row>
    <row r="5" spans="1:29" ht="15">
      <c r="A5" s="403"/>
      <c r="B5" s="404"/>
      <c r="C5" s="3324" t="s">
        <v>2527</v>
      </c>
      <c r="D5" s="3325"/>
      <c r="E5" s="3322" t="s">
        <v>2528</v>
      </c>
      <c r="F5" s="3323"/>
      <c r="G5" s="3324" t="s">
        <v>2529</v>
      </c>
      <c r="H5" s="3325"/>
      <c r="I5" s="3324" t="s">
        <v>2530</v>
      </c>
      <c r="J5" s="3325"/>
      <c r="K5" s="609"/>
      <c r="L5" s="1131"/>
      <c r="M5" s="1132"/>
      <c r="N5" s="1132"/>
      <c r="O5" s="1132"/>
      <c r="P5" s="3337"/>
      <c r="Q5" s="3338"/>
      <c r="R5" s="3320"/>
      <c r="S5" s="3321"/>
      <c r="T5" s="3320"/>
      <c r="U5" s="3321"/>
      <c r="V5" s="3343"/>
      <c r="W5" s="3343"/>
      <c r="X5" s="1814"/>
      <c r="Y5" s="3320"/>
      <c r="Z5" s="3321"/>
      <c r="AA5" s="3314"/>
      <c r="AB5" s="3343"/>
      <c r="AC5" s="3314"/>
    </row>
    <row r="6" spans="1:29" ht="15.75" thickBot="1">
      <c r="A6" s="405"/>
      <c r="B6" s="406"/>
      <c r="C6" s="3326" t="s">
        <v>2531</v>
      </c>
      <c r="D6" s="3327"/>
      <c r="E6" s="3328" t="s">
        <v>2531</v>
      </c>
      <c r="F6" s="3329"/>
      <c r="G6" s="3326" t="s">
        <v>2531</v>
      </c>
      <c r="H6" s="3327"/>
      <c r="I6" s="3326" t="s">
        <v>2531</v>
      </c>
      <c r="J6" s="3327"/>
      <c r="K6" s="609" t="s">
        <v>2532</v>
      </c>
      <c r="L6" s="1131"/>
      <c r="M6" s="1132"/>
      <c r="N6" s="1132"/>
      <c r="O6" s="1132"/>
      <c r="P6" s="3339"/>
      <c r="Q6" s="3340"/>
      <c r="R6" s="3320"/>
      <c r="S6" s="3321"/>
      <c r="T6" s="3341"/>
      <c r="U6" s="3342"/>
      <c r="V6" s="3343"/>
      <c r="W6" s="3343"/>
      <c r="X6" s="1814"/>
      <c r="Y6" s="3341"/>
      <c r="Z6" s="3342"/>
      <c r="AA6" s="3315"/>
      <c r="AB6" s="3343"/>
      <c r="AC6" s="3315"/>
    </row>
    <row r="7" spans="1:29" s="117" customFormat="1" ht="15.75" thickBot="1">
      <c r="A7" s="407" t="s">
        <v>2533</v>
      </c>
      <c r="B7" s="408"/>
      <c r="C7" s="409">
        <f>'数据-取费表'!B2</f>
        <v>43138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316" t="s">
        <v>2534</v>
      </c>
      <c r="Q7" s="3344"/>
      <c r="R7" s="769" t="s">
        <v>17</v>
      </c>
      <c r="S7" s="770">
        <f t="shared" ref="S7:S15" si="0">F7</f>
        <v>0</v>
      </c>
      <c r="T7" s="769" t="s">
        <v>17</v>
      </c>
      <c r="U7" s="770">
        <f t="shared" ref="U7:U15" si="1">H7</f>
        <v>0</v>
      </c>
      <c r="V7" s="769" t="s">
        <v>17</v>
      </c>
      <c r="W7" s="770">
        <f t="shared" ref="W7:W15" si="2">J7</f>
        <v>0</v>
      </c>
      <c r="X7" s="771"/>
      <c r="Y7" s="3316" t="s">
        <v>2534</v>
      </c>
      <c r="Z7" s="3317"/>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316" t="s">
        <v>2537</v>
      </c>
      <c r="Q8" s="3317"/>
      <c r="R8" s="769" t="s">
        <v>17</v>
      </c>
      <c r="S8" s="770">
        <f t="shared" si="0"/>
        <v>0</v>
      </c>
      <c r="T8" s="769" t="s">
        <v>17</v>
      </c>
      <c r="U8" s="770">
        <f t="shared" si="1"/>
        <v>0</v>
      </c>
      <c r="V8" s="769" t="s">
        <v>17</v>
      </c>
      <c r="W8" s="770">
        <f t="shared" si="2"/>
        <v>0</v>
      </c>
      <c r="X8" s="771"/>
      <c r="Y8" s="3316" t="s">
        <v>2537</v>
      </c>
      <c r="Z8" s="3317"/>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330" t="s">
        <v>2540</v>
      </c>
      <c r="Q9" s="1796" t="str">
        <f t="shared" ref="Q9:Q15" si="6">B9</f>
        <v>用途</v>
      </c>
      <c r="R9" s="769" t="s">
        <v>17</v>
      </c>
      <c r="S9" s="770">
        <f t="shared" si="0"/>
        <v>100</v>
      </c>
      <c r="T9" s="769" t="s">
        <v>17</v>
      </c>
      <c r="U9" s="770">
        <f t="shared" si="1"/>
        <v>100</v>
      </c>
      <c r="V9" s="769" t="s">
        <v>17</v>
      </c>
      <c r="W9" s="770">
        <f t="shared" si="2"/>
        <v>100</v>
      </c>
      <c r="X9" s="771"/>
      <c r="Y9" s="3143"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330"/>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330"/>
      <c r="Q11" s="1796" t="str">
        <f t="shared" si="6"/>
        <v>容积率</v>
      </c>
      <c r="R11" s="769" t="s">
        <v>17</v>
      </c>
      <c r="S11" s="770" t="e">
        <f t="shared" si="0"/>
        <v>#N/A</v>
      </c>
      <c r="T11" s="769" t="s">
        <v>17</v>
      </c>
      <c r="U11" s="770" t="e">
        <f t="shared" si="1"/>
        <v>#N/A</v>
      </c>
      <c r="V11" s="769" t="s">
        <v>17</v>
      </c>
      <c r="W11" s="770" t="e">
        <f t="shared" si="2"/>
        <v>#N/A</v>
      </c>
      <c r="X11" s="771"/>
      <c r="Y11" s="3143"/>
      <c r="Z11" s="55" t="str">
        <f t="shared" si="7"/>
        <v>容积率</v>
      </c>
      <c r="AA11" s="772" t="e">
        <f t="shared" si="3"/>
        <v>#N/A</v>
      </c>
      <c r="AB11" s="772" t="e">
        <f t="shared" si="4"/>
        <v>#N/A</v>
      </c>
      <c r="AC11" s="772" t="e">
        <f t="shared" si="5"/>
        <v>#N/A</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330"/>
      <c r="Q12" s="1796">
        <f t="shared" si="6"/>
        <v>111</v>
      </c>
      <c r="R12" s="769" t="s">
        <v>17</v>
      </c>
      <c r="S12" s="770">
        <f t="shared" si="0"/>
        <v>100</v>
      </c>
      <c r="T12" s="769" t="s">
        <v>17</v>
      </c>
      <c r="U12" s="770">
        <f t="shared" si="1"/>
        <v>100</v>
      </c>
      <c r="V12" s="769" t="s">
        <v>17</v>
      </c>
      <c r="W12" s="770">
        <f t="shared" si="2"/>
        <v>100</v>
      </c>
      <c r="X12" s="771"/>
      <c r="Y12" s="3143"/>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330"/>
      <c r="Q13" s="1796">
        <f t="shared" si="6"/>
        <v>111</v>
      </c>
      <c r="R13" s="769" t="s">
        <v>17</v>
      </c>
      <c r="S13" s="770">
        <f t="shared" si="0"/>
        <v>100</v>
      </c>
      <c r="T13" s="769" t="s">
        <v>17</v>
      </c>
      <c r="U13" s="770">
        <f t="shared" si="1"/>
        <v>100</v>
      </c>
      <c r="V13" s="769" t="s">
        <v>17</v>
      </c>
      <c r="W13" s="770">
        <f t="shared" si="2"/>
        <v>100</v>
      </c>
      <c r="X13" s="771"/>
      <c r="Y13" s="3143"/>
      <c r="Z13" s="55">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330"/>
      <c r="Q14" s="1796">
        <f t="shared" si="6"/>
        <v>111</v>
      </c>
      <c r="R14" s="769" t="s">
        <v>17</v>
      </c>
      <c r="S14" s="770">
        <f t="shared" si="0"/>
        <v>100</v>
      </c>
      <c r="T14" s="769" t="s">
        <v>17</v>
      </c>
      <c r="U14" s="770">
        <f t="shared" si="1"/>
        <v>100</v>
      </c>
      <c r="V14" s="769" t="s">
        <v>17</v>
      </c>
      <c r="W14" s="770">
        <f t="shared" si="2"/>
        <v>100</v>
      </c>
      <c r="X14" s="771"/>
      <c r="Y14" s="3143"/>
      <c r="Z14" s="55">
        <f t="shared" si="7"/>
        <v>111</v>
      </c>
      <c r="AA14" s="772">
        <f t="shared" si="3"/>
        <v>1</v>
      </c>
      <c r="AB14" s="772">
        <f t="shared" si="4"/>
        <v>1</v>
      </c>
      <c r="AC14" s="772">
        <f t="shared" si="5"/>
        <v>1</v>
      </c>
    </row>
    <row r="15" spans="1:29" ht="15">
      <c r="A15" s="439" t="s">
        <v>2544</v>
      </c>
      <c r="B15" s="69" t="s">
        <v>2638</v>
      </c>
      <c r="C15" s="2600">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357" t="s">
        <v>2545</v>
      </c>
      <c r="Q15" s="1811" t="str">
        <f t="shared" si="6"/>
        <v>商业繁华度</v>
      </c>
      <c r="R15" s="773" t="s">
        <v>17</v>
      </c>
      <c r="S15" s="774">
        <f t="shared" si="0"/>
        <v>100</v>
      </c>
      <c r="T15" s="773" t="s">
        <v>17</v>
      </c>
      <c r="U15" s="774">
        <f t="shared" si="1"/>
        <v>100</v>
      </c>
      <c r="V15" s="773" t="s">
        <v>17</v>
      </c>
      <c r="W15" s="774">
        <f t="shared" si="2"/>
        <v>100</v>
      </c>
      <c r="X15" s="1814"/>
      <c r="Y15" s="3350" t="s">
        <v>2545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358"/>
      <c r="Q16" s="1811"/>
      <c r="R16" s="773"/>
      <c r="S16" s="774"/>
      <c r="T16" s="773"/>
      <c r="U16" s="774"/>
      <c r="V16" s="773"/>
      <c r="W16" s="774"/>
      <c r="X16" s="1814"/>
      <c r="Y16" s="3351"/>
      <c r="Z16" s="1815"/>
      <c r="AA16" s="1812">
        <v>1</v>
      </c>
      <c r="AB16" s="1812">
        <v>1</v>
      </c>
      <c r="AC16" s="1812">
        <v>1</v>
      </c>
    </row>
    <row r="17" spans="1:29" ht="15">
      <c r="A17" s="427"/>
      <c r="B17" s="450" t="s">
        <v>2088</v>
      </c>
      <c r="C17" s="2604">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358"/>
      <c r="Q17" s="1811" t="str">
        <f>B17</f>
        <v>交通便捷度</v>
      </c>
      <c r="R17" s="773" t="s">
        <v>17</v>
      </c>
      <c r="S17" s="774">
        <f>F17</f>
        <v>100</v>
      </c>
      <c r="T17" s="773" t="s">
        <v>17</v>
      </c>
      <c r="U17" s="774">
        <f>H17</f>
        <v>100</v>
      </c>
      <c r="V17" s="773" t="s">
        <v>17</v>
      </c>
      <c r="W17" s="774">
        <f>J17</f>
        <v>100</v>
      </c>
      <c r="X17" s="1814"/>
      <c r="Y17" s="3351"/>
      <c r="Z17" s="1815" t="str">
        <f>Q17</f>
        <v>交通便捷度</v>
      </c>
      <c r="AA17" s="1812">
        <f t="shared" si="3"/>
        <v>1</v>
      </c>
      <c r="AB17" s="1812">
        <f t="shared" si="4"/>
        <v>1</v>
      </c>
      <c r="AC17" s="1812">
        <f t="shared" si="5"/>
        <v>1</v>
      </c>
    </row>
    <row r="18" spans="1:29" ht="15">
      <c r="A18" s="427"/>
      <c r="B18" s="455"/>
      <c r="C18" s="2605"/>
      <c r="D18" s="449"/>
      <c r="E18" s="2607"/>
      <c r="F18" s="452"/>
      <c r="G18" s="2606"/>
      <c r="H18" s="447"/>
      <c r="I18" s="2607"/>
      <c r="J18" s="447"/>
      <c r="K18" s="614"/>
      <c r="L18" s="1141"/>
      <c r="M18" s="1132"/>
      <c r="N18" s="1132"/>
      <c r="O18" s="1132"/>
      <c r="P18" s="3358"/>
      <c r="Q18" s="1811"/>
      <c r="R18" s="773"/>
      <c r="S18" s="774"/>
      <c r="T18" s="773"/>
      <c r="U18" s="774"/>
      <c r="V18" s="773"/>
      <c r="W18" s="774"/>
      <c r="X18" s="1814"/>
      <c r="Y18" s="3351"/>
      <c r="Z18" s="1815"/>
      <c r="AA18" s="1812">
        <v>1</v>
      </c>
      <c r="AB18" s="1812">
        <v>1</v>
      </c>
      <c r="AC18" s="1812">
        <v>1</v>
      </c>
    </row>
    <row r="19" spans="1:29" ht="15">
      <c r="A19" s="427"/>
      <c r="B19" s="450" t="s">
        <v>2639</v>
      </c>
      <c r="C19" s="2604">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358"/>
      <c r="Q19" s="1811" t="str">
        <f>B19</f>
        <v>公共配套设施</v>
      </c>
      <c r="R19" s="773" t="s">
        <v>17</v>
      </c>
      <c r="S19" s="774">
        <f>F19</f>
        <v>100</v>
      </c>
      <c r="T19" s="773" t="s">
        <v>17</v>
      </c>
      <c r="U19" s="774">
        <f>H19</f>
        <v>100</v>
      </c>
      <c r="V19" s="773" t="s">
        <v>17</v>
      </c>
      <c r="W19" s="774">
        <f>J19</f>
        <v>100</v>
      </c>
      <c r="X19" s="1814"/>
      <c r="Y19" s="3351"/>
      <c r="Z19" s="1815" t="str">
        <f>Q19</f>
        <v>公共配套设施</v>
      </c>
      <c r="AA19" s="1812">
        <f t="shared" si="3"/>
        <v>1</v>
      </c>
      <c r="AB19" s="1812">
        <f t="shared" si="4"/>
        <v>1</v>
      </c>
      <c r="AC19" s="1812">
        <f t="shared" si="5"/>
        <v>1</v>
      </c>
    </row>
    <row r="20" spans="1:29" ht="15">
      <c r="A20" s="427"/>
      <c r="B20" s="455"/>
      <c r="C20" s="446"/>
      <c r="D20" s="447"/>
      <c r="E20" s="2602"/>
      <c r="F20" s="448"/>
      <c r="G20" s="2601"/>
      <c r="H20" s="447"/>
      <c r="I20" s="2602"/>
      <c r="J20" s="447"/>
      <c r="K20" s="614"/>
      <c r="L20" s="1141"/>
      <c r="M20" s="1132"/>
      <c r="N20" s="1132"/>
      <c r="O20" s="1132"/>
      <c r="P20" s="3358"/>
      <c r="Q20" s="1811"/>
      <c r="R20" s="773"/>
      <c r="S20" s="774"/>
      <c r="T20" s="773"/>
      <c r="U20" s="774"/>
      <c r="V20" s="773"/>
      <c r="W20" s="774"/>
      <c r="X20" s="1814"/>
      <c r="Y20" s="3351"/>
      <c r="Z20" s="1815"/>
      <c r="AA20" s="1812">
        <v>1</v>
      </c>
      <c r="AB20" s="1812">
        <v>1</v>
      </c>
      <c r="AC20" s="1812">
        <v>1</v>
      </c>
    </row>
    <row r="21" spans="1:29" ht="15">
      <c r="A21" s="427"/>
      <c r="B21" s="1385" t="s">
        <v>2640</v>
      </c>
      <c r="C21" s="2604">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358"/>
      <c r="Q21" s="1811" t="str">
        <f>B21</f>
        <v>基础设施水平</v>
      </c>
      <c r="R21" s="773" t="s">
        <v>17</v>
      </c>
      <c r="S21" s="774">
        <f>F21</f>
        <v>100</v>
      </c>
      <c r="T21" s="773" t="s">
        <v>17</v>
      </c>
      <c r="U21" s="774">
        <f>H21</f>
        <v>100</v>
      </c>
      <c r="V21" s="773" t="s">
        <v>17</v>
      </c>
      <c r="W21" s="774">
        <f>J21</f>
        <v>100</v>
      </c>
      <c r="X21" s="1814"/>
      <c r="Y21" s="3351"/>
      <c r="Z21" s="1815" t="str">
        <f>Q21</f>
        <v>基础设施水平</v>
      </c>
      <c r="AA21" s="1812">
        <f t="shared" ref="AA21" si="8">D21/F21</f>
        <v>1</v>
      </c>
      <c r="AB21" s="1812">
        <f t="shared" ref="AB21" si="9">D21/H21</f>
        <v>1</v>
      </c>
      <c r="AC21" s="1812">
        <f t="shared" ref="AC21" si="10">D21/J21</f>
        <v>1</v>
      </c>
    </row>
    <row r="22" spans="1:29" ht="15">
      <c r="A22" s="427"/>
      <c r="B22" s="1385"/>
      <c r="C22" s="2605"/>
      <c r="D22" s="447"/>
      <c r="E22" s="446"/>
      <c r="F22" s="448"/>
      <c r="G22" s="446"/>
      <c r="H22" s="447"/>
      <c r="I22" s="446"/>
      <c r="J22" s="447"/>
      <c r="K22" s="1384"/>
      <c r="L22" s="1141"/>
      <c r="M22" s="1132"/>
      <c r="N22" s="1132"/>
      <c r="O22" s="1132"/>
      <c r="P22" s="3358"/>
      <c r="Q22" s="1811"/>
      <c r="R22" s="773"/>
      <c r="S22" s="774"/>
      <c r="T22" s="773"/>
      <c r="U22" s="774"/>
      <c r="V22" s="773"/>
      <c r="W22" s="774"/>
      <c r="X22" s="1814"/>
      <c r="Y22" s="3351"/>
      <c r="Z22" s="1815"/>
      <c r="AA22" s="1812">
        <v>1</v>
      </c>
      <c r="AB22" s="1812">
        <v>1</v>
      </c>
      <c r="AC22" s="1812">
        <v>1</v>
      </c>
    </row>
    <row r="23" spans="1:29" ht="15">
      <c r="A23" s="427"/>
      <c r="B23" s="450" t="s">
        <v>2091</v>
      </c>
      <c r="C23" s="2661">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358"/>
      <c r="Q23" s="1811" t="str">
        <f>B23</f>
        <v>自然及人文环境</v>
      </c>
      <c r="R23" s="773" t="s">
        <v>17</v>
      </c>
      <c r="S23" s="774">
        <f>F23</f>
        <v>100</v>
      </c>
      <c r="T23" s="773" t="s">
        <v>17</v>
      </c>
      <c r="U23" s="774">
        <f>H23</f>
        <v>100</v>
      </c>
      <c r="V23" s="773" t="s">
        <v>17</v>
      </c>
      <c r="W23" s="774">
        <f>J23</f>
        <v>100</v>
      </c>
      <c r="X23" s="1814"/>
      <c r="Y23" s="3351"/>
      <c r="Z23" s="1815" t="str">
        <f>Q23</f>
        <v>自然及人文环境</v>
      </c>
      <c r="AA23" s="1812">
        <f t="shared" si="3"/>
        <v>1</v>
      </c>
      <c r="AB23" s="1812">
        <f t="shared" si="4"/>
        <v>1</v>
      </c>
      <c r="AC23" s="1812">
        <f t="shared" si="5"/>
        <v>1</v>
      </c>
    </row>
    <row r="24" spans="1:29" ht="15">
      <c r="A24" s="427"/>
      <c r="B24" s="455"/>
      <c r="C24" s="446"/>
      <c r="D24" s="447"/>
      <c r="E24" s="2602"/>
      <c r="F24" s="448"/>
      <c r="G24" s="2601"/>
      <c r="H24" s="447"/>
      <c r="I24" s="2602"/>
      <c r="J24" s="447"/>
      <c r="K24" s="614"/>
      <c r="L24" s="1141"/>
      <c r="M24" s="1132"/>
      <c r="N24" s="1132"/>
      <c r="O24" s="1132"/>
      <c r="P24" s="3358"/>
      <c r="Q24" s="1811"/>
      <c r="R24" s="773"/>
      <c r="S24" s="774"/>
      <c r="T24" s="773"/>
      <c r="U24" s="774"/>
      <c r="V24" s="773"/>
      <c r="W24" s="774"/>
      <c r="X24" s="1814"/>
      <c r="Y24" s="3351"/>
      <c r="Z24" s="1815"/>
      <c r="AA24" s="1812">
        <v>1</v>
      </c>
      <c r="AB24" s="1812">
        <v>1</v>
      </c>
      <c r="AC24" s="1812">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358"/>
      <c r="Q25" s="1811" t="str">
        <f t="shared" ref="Q25:Q46" si="11">B25</f>
        <v>临街状况</v>
      </c>
      <c r="R25" s="773" t="s">
        <v>17</v>
      </c>
      <c r="S25" s="774">
        <f>F25</f>
        <v>100</v>
      </c>
      <c r="T25" s="773" t="s">
        <v>17</v>
      </c>
      <c r="U25" s="774">
        <f>H25</f>
        <v>100</v>
      </c>
      <c r="V25" s="773" t="s">
        <v>17</v>
      </c>
      <c r="W25" s="774">
        <f>J25</f>
        <v>100</v>
      </c>
      <c r="X25" s="1814"/>
      <c r="Y25" s="3351"/>
      <c r="Z25" s="1815" t="str">
        <f>Q25</f>
        <v>临街状况</v>
      </c>
      <c r="AA25" s="1812">
        <f t="shared" si="3"/>
        <v>1</v>
      </c>
      <c r="AB25" s="1812">
        <f t="shared" si="4"/>
        <v>1</v>
      </c>
      <c r="AC25" s="1812">
        <f t="shared" si="5"/>
        <v>1</v>
      </c>
    </row>
    <row r="26" spans="1:29" ht="15">
      <c r="A26" s="427"/>
      <c r="B26" s="1387" t="s">
        <v>2642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358"/>
      <c r="Q26" s="1811" t="str">
        <f t="shared" si="11"/>
        <v>平面位置/可视性</v>
      </c>
      <c r="R26" s="773" t="s">
        <v>17</v>
      </c>
      <c r="S26" s="774">
        <f>F26</f>
        <v>100</v>
      </c>
      <c r="T26" s="773" t="s">
        <v>17</v>
      </c>
      <c r="U26" s="774">
        <f>H26</f>
        <v>100</v>
      </c>
      <c r="V26" s="773" t="s">
        <v>17</v>
      </c>
      <c r="W26" s="774">
        <f>J26</f>
        <v>100</v>
      </c>
      <c r="X26" s="1814"/>
      <c r="Y26" s="3351"/>
      <c r="Z26" s="1815" t="str">
        <f>Q26</f>
        <v>平面位置/可视性</v>
      </c>
      <c r="AA26" s="1812">
        <f t="shared" si="3"/>
        <v>1</v>
      </c>
      <c r="AB26" s="1812">
        <f t="shared" si="4"/>
        <v>1</v>
      </c>
      <c r="AC26" s="1812">
        <f t="shared" si="5"/>
        <v>1</v>
      </c>
    </row>
    <row r="27" spans="1:29" s="117" customFormat="1" ht="15">
      <c r="A27" s="430"/>
      <c r="B27" s="450" t="s">
        <v>2643</v>
      </c>
      <c r="C27" s="2662"/>
      <c r="D27" s="461">
        <v>100</v>
      </c>
      <c r="E27" s="2662"/>
      <c r="F27" s="463">
        <f>SUMIF(90:90,E27,91:91)-SUMIF(90:90,C27,91:91)+100</f>
        <v>100</v>
      </c>
      <c r="G27" s="2662"/>
      <c r="H27" s="461">
        <f>SUMIF(90:90,G27,91:91)-SUMIF(90:90,C27,91:91)+100</f>
        <v>100</v>
      </c>
      <c r="I27" s="2662"/>
      <c r="J27" s="461">
        <f>SUMIF(90:90,I27,91:91)-SUMIF(90:90,C27,91:91)+100</f>
        <v>100</v>
      </c>
      <c r="K27" s="611"/>
      <c r="L27" s="1133"/>
      <c r="M27" s="1134"/>
      <c r="N27" s="1134"/>
      <c r="O27" s="1134"/>
      <c r="P27" s="3358"/>
      <c r="Q27" s="1796" t="str">
        <f t="shared" si="11"/>
        <v>人流量</v>
      </c>
      <c r="R27" s="769" t="s">
        <v>17</v>
      </c>
      <c r="S27" s="770">
        <f>F27</f>
        <v>100</v>
      </c>
      <c r="T27" s="769" t="s">
        <v>17</v>
      </c>
      <c r="U27" s="770">
        <f>H27</f>
        <v>100</v>
      </c>
      <c r="V27" s="769" t="s">
        <v>17</v>
      </c>
      <c r="W27" s="770">
        <f>J27</f>
        <v>100</v>
      </c>
      <c r="X27" s="771"/>
      <c r="Y27" s="3351"/>
      <c r="Z27" s="55" t="str">
        <f>Q27</f>
        <v>人流量</v>
      </c>
      <c r="AA27" s="1812">
        <f>D27/F27</f>
        <v>1</v>
      </c>
      <c r="AB27" s="1812">
        <f>D27/H27</f>
        <v>1</v>
      </c>
      <c r="AC27" s="1812">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358"/>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351"/>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358"/>
      <c r="Q29" s="1811">
        <f t="shared" si="11"/>
        <v>111</v>
      </c>
      <c r="R29" s="773" t="s">
        <v>17</v>
      </c>
      <c r="S29" s="774">
        <f t="shared" si="12"/>
        <v>100</v>
      </c>
      <c r="T29" s="773" t="s">
        <v>17</v>
      </c>
      <c r="U29" s="774">
        <f t="shared" si="13"/>
        <v>100</v>
      </c>
      <c r="V29" s="773" t="s">
        <v>17</v>
      </c>
      <c r="W29" s="774">
        <f t="shared" si="14"/>
        <v>100</v>
      </c>
      <c r="X29" s="1814"/>
      <c r="Y29" s="3351"/>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358"/>
      <c r="Q30" s="1811">
        <f t="shared" si="11"/>
        <v>111</v>
      </c>
      <c r="R30" s="773" t="s">
        <v>17</v>
      </c>
      <c r="S30" s="774">
        <f t="shared" si="12"/>
        <v>100</v>
      </c>
      <c r="T30" s="773" t="s">
        <v>17</v>
      </c>
      <c r="U30" s="774">
        <f t="shared" si="13"/>
        <v>100</v>
      </c>
      <c r="V30" s="773" t="s">
        <v>17</v>
      </c>
      <c r="W30" s="774">
        <f t="shared" si="14"/>
        <v>100</v>
      </c>
      <c r="X30" s="1814"/>
      <c r="Y30" s="3351"/>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358"/>
      <c r="Q31" s="1811">
        <f t="shared" si="11"/>
        <v>111</v>
      </c>
      <c r="R31" s="773" t="s">
        <v>17</v>
      </c>
      <c r="S31" s="774">
        <f t="shared" si="12"/>
        <v>100</v>
      </c>
      <c r="T31" s="773" t="s">
        <v>17</v>
      </c>
      <c r="U31" s="774">
        <f t="shared" si="13"/>
        <v>100</v>
      </c>
      <c r="V31" s="773" t="s">
        <v>17</v>
      </c>
      <c r="W31" s="774">
        <f t="shared" si="14"/>
        <v>100</v>
      </c>
      <c r="X31" s="1814"/>
      <c r="Y31" s="3351"/>
      <c r="Z31" s="1815">
        <f t="shared" si="15"/>
        <v>111</v>
      </c>
      <c r="AA31" s="1812">
        <f t="shared" si="3"/>
        <v>1</v>
      </c>
      <c r="AB31" s="1812">
        <f t="shared" si="4"/>
        <v>1</v>
      </c>
      <c r="AC31" s="1812">
        <f t="shared" si="5"/>
        <v>1</v>
      </c>
    </row>
    <row r="32" spans="1:29" ht="15">
      <c r="A32" s="439" t="s">
        <v>2548</v>
      </c>
      <c r="B32" s="71" t="s">
        <v>2645</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41"/>
      <c r="M32" s="1132"/>
      <c r="N32" s="1132"/>
      <c r="O32" s="1132"/>
      <c r="P32" s="3352" t="s">
        <v>2550</v>
      </c>
      <c r="Q32" s="1811" t="str">
        <f t="shared" si="11"/>
        <v>商业类型</v>
      </c>
      <c r="R32" s="773" t="s">
        <v>17</v>
      </c>
      <c r="S32" s="774">
        <f t="shared" si="12"/>
        <v>100</v>
      </c>
      <c r="T32" s="773" t="s">
        <v>17</v>
      </c>
      <c r="U32" s="774">
        <f t="shared" si="13"/>
        <v>100</v>
      </c>
      <c r="V32" s="773" t="s">
        <v>17</v>
      </c>
      <c r="W32" s="774">
        <f t="shared" si="14"/>
        <v>100</v>
      </c>
      <c r="X32" s="1814"/>
      <c r="Y32" s="3355" t="s">
        <v>2550</v>
      </c>
      <c r="Z32" s="1815" t="str">
        <f t="shared" si="15"/>
        <v>商业类型</v>
      </c>
      <c r="AA32" s="1812">
        <f t="shared" si="3"/>
        <v>1</v>
      </c>
      <c r="AB32" s="1812">
        <f t="shared" si="4"/>
        <v>1</v>
      </c>
      <c r="AC32" s="1812">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353"/>
      <c r="Q33" s="775" t="str">
        <f t="shared" si="11"/>
        <v>项目建筑规模</v>
      </c>
      <c r="R33" s="776" t="s">
        <v>17</v>
      </c>
      <c r="S33" s="777" t="e">
        <f t="shared" si="12"/>
        <v>#N/A</v>
      </c>
      <c r="T33" s="776" t="s">
        <v>17</v>
      </c>
      <c r="U33" s="777" t="e">
        <f t="shared" si="13"/>
        <v>#N/A</v>
      </c>
      <c r="V33" s="776" t="s">
        <v>17</v>
      </c>
      <c r="W33" s="777" t="e">
        <f t="shared" si="14"/>
        <v>#N/A</v>
      </c>
      <c r="X33" s="778"/>
      <c r="Y33" s="3355"/>
      <c r="Z33" s="779" t="str">
        <f t="shared" si="15"/>
        <v>项目建筑规模</v>
      </c>
      <c r="AA33" s="1812" t="e">
        <f t="shared" si="3"/>
        <v>#N/A</v>
      </c>
      <c r="AB33" s="1812" t="e">
        <f t="shared" si="4"/>
        <v>#N/A</v>
      </c>
      <c r="AC33" s="1812" t="e">
        <f t="shared" si="5"/>
        <v>#N/A</v>
      </c>
    </row>
    <row r="34" spans="1:29" ht="15">
      <c r="A34" s="471"/>
      <c r="B34" s="421" t="s">
        <v>2552</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41"/>
      <c r="M34" s="1132"/>
      <c r="N34" s="1132"/>
      <c r="O34" s="1132"/>
      <c r="P34" s="3353"/>
      <c r="Q34" s="1811" t="str">
        <f t="shared" si="11"/>
        <v>建筑结构</v>
      </c>
      <c r="R34" s="773" t="s">
        <v>17</v>
      </c>
      <c r="S34" s="774">
        <f t="shared" si="12"/>
        <v>100</v>
      </c>
      <c r="T34" s="773" t="s">
        <v>17</v>
      </c>
      <c r="U34" s="774">
        <f t="shared" si="13"/>
        <v>100</v>
      </c>
      <c r="V34" s="773" t="s">
        <v>17</v>
      </c>
      <c r="W34" s="774">
        <f t="shared" si="14"/>
        <v>100</v>
      </c>
      <c r="X34" s="1814"/>
      <c r="Y34" s="3355"/>
      <c r="Z34" s="1815" t="str">
        <f t="shared" si="15"/>
        <v>建筑结构</v>
      </c>
      <c r="AA34" s="1812">
        <f t="shared" si="3"/>
        <v>1</v>
      </c>
      <c r="AB34" s="1812">
        <f t="shared" si="4"/>
        <v>1</v>
      </c>
      <c r="AC34" s="1812">
        <f t="shared" si="5"/>
        <v>1</v>
      </c>
    </row>
    <row r="35" spans="1:29" ht="15">
      <c r="A35" s="471"/>
      <c r="B35" s="421" t="s">
        <v>2646</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41"/>
      <c r="M35" s="1132"/>
      <c r="N35" s="1132"/>
      <c r="O35" s="1132"/>
      <c r="P35" s="3353"/>
      <c r="Q35" s="1811" t="str">
        <f t="shared" si="11"/>
        <v>公共部分装修</v>
      </c>
      <c r="R35" s="773" t="s">
        <v>17</v>
      </c>
      <c r="S35" s="774">
        <f t="shared" si="12"/>
        <v>100</v>
      </c>
      <c r="T35" s="773" t="s">
        <v>17</v>
      </c>
      <c r="U35" s="774">
        <f t="shared" si="13"/>
        <v>100</v>
      </c>
      <c r="V35" s="773" t="s">
        <v>17</v>
      </c>
      <c r="W35" s="774">
        <f t="shared" si="14"/>
        <v>100</v>
      </c>
      <c r="X35" s="1814"/>
      <c r="Y35" s="3355"/>
      <c r="Z35" s="1815" t="str">
        <f t="shared" si="15"/>
        <v>公共部分装修</v>
      </c>
      <c r="AA35" s="1812">
        <f t="shared" si="3"/>
        <v>1</v>
      </c>
      <c r="AB35" s="1812">
        <f t="shared" si="4"/>
        <v>1</v>
      </c>
      <c r="AC35" s="1812">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353"/>
      <c r="Q36" s="1811" t="str">
        <f t="shared" si="11"/>
        <v>成新度</v>
      </c>
      <c r="R36" s="773" t="s">
        <v>17</v>
      </c>
      <c r="S36" s="774" t="e">
        <f t="shared" si="12"/>
        <v>#N/A</v>
      </c>
      <c r="T36" s="773" t="s">
        <v>17</v>
      </c>
      <c r="U36" s="774" t="e">
        <f t="shared" si="13"/>
        <v>#N/A</v>
      </c>
      <c r="V36" s="773" t="s">
        <v>17</v>
      </c>
      <c r="W36" s="774" t="e">
        <f t="shared" si="14"/>
        <v>#N/A</v>
      </c>
      <c r="X36" s="1814"/>
      <c r="Y36" s="3355"/>
      <c r="Z36" s="1815" t="str">
        <f t="shared" si="15"/>
        <v>成新度</v>
      </c>
      <c r="AA36" s="1812" t="e">
        <f t="shared" si="3"/>
        <v>#N/A</v>
      </c>
      <c r="AB36" s="1812" t="e">
        <f t="shared" si="4"/>
        <v>#N/A</v>
      </c>
      <c r="AC36" s="1812" t="e">
        <f t="shared" si="5"/>
        <v>#N/A</v>
      </c>
    </row>
    <row r="37" spans="1:29" s="117" customFormat="1" ht="15">
      <c r="A37" s="472"/>
      <c r="B37" s="421" t="s">
        <v>2648</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3"/>
      <c r="M37" s="1134"/>
      <c r="N37" s="1134"/>
      <c r="O37" s="1134"/>
      <c r="P37" s="3353"/>
      <c r="Q37" s="1796" t="str">
        <f t="shared" si="11"/>
        <v>市政基础设施</v>
      </c>
      <c r="R37" s="769" t="s">
        <v>17</v>
      </c>
      <c r="S37" s="770">
        <f t="shared" si="12"/>
        <v>100</v>
      </c>
      <c r="T37" s="769" t="s">
        <v>17</v>
      </c>
      <c r="U37" s="770">
        <f t="shared" si="13"/>
        <v>100</v>
      </c>
      <c r="V37" s="769" t="s">
        <v>17</v>
      </c>
      <c r="W37" s="770">
        <f t="shared" si="14"/>
        <v>100</v>
      </c>
      <c r="X37" s="771"/>
      <c r="Y37" s="3355"/>
      <c r="Z37" s="55" t="str">
        <f t="shared" si="15"/>
        <v>市政基础设施</v>
      </c>
      <c r="AA37" s="772">
        <f t="shared" si="3"/>
        <v>1</v>
      </c>
      <c r="AB37" s="772">
        <f t="shared" si="4"/>
        <v>1</v>
      </c>
      <c r="AC37" s="772">
        <f t="shared" si="5"/>
        <v>1</v>
      </c>
    </row>
    <row r="38" spans="1:29" ht="15">
      <c r="A38" s="471"/>
      <c r="B38" s="421" t="s">
        <v>2649</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41"/>
      <c r="M38" s="1132"/>
      <c r="N38" s="1132"/>
      <c r="O38" s="1132"/>
      <c r="P38" s="3353" t="s">
        <v>2550</v>
      </c>
      <c r="Q38" s="1811" t="str">
        <f t="shared" si="11"/>
        <v>业态</v>
      </c>
      <c r="R38" s="773" t="s">
        <v>17</v>
      </c>
      <c r="S38" s="774">
        <f t="shared" si="12"/>
        <v>100</v>
      </c>
      <c r="T38" s="773" t="s">
        <v>17</v>
      </c>
      <c r="U38" s="774">
        <f t="shared" si="13"/>
        <v>100</v>
      </c>
      <c r="V38" s="773" t="s">
        <v>17</v>
      </c>
      <c r="W38" s="774">
        <f t="shared" si="14"/>
        <v>100</v>
      </c>
      <c r="X38" s="1814"/>
      <c r="Y38" s="3355" t="s">
        <v>2550</v>
      </c>
      <c r="Z38" s="1815" t="str">
        <f t="shared" si="15"/>
        <v>业态</v>
      </c>
      <c r="AA38" s="1812">
        <f t="shared" si="3"/>
        <v>1</v>
      </c>
      <c r="AB38" s="1812">
        <f t="shared" si="4"/>
        <v>1</v>
      </c>
      <c r="AC38" s="1812">
        <f t="shared" si="5"/>
        <v>1</v>
      </c>
    </row>
    <row r="39" spans="1:29" ht="15">
      <c r="A39" s="471"/>
      <c r="B39" s="421" t="s">
        <v>2650</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41"/>
      <c r="M39" s="1132"/>
      <c r="N39" s="1132"/>
      <c r="O39" s="1132"/>
      <c r="P39" s="3353"/>
      <c r="Q39" s="1811" t="str">
        <f t="shared" si="11"/>
        <v>层高</v>
      </c>
      <c r="R39" s="773" t="s">
        <v>17</v>
      </c>
      <c r="S39" s="774">
        <f t="shared" si="12"/>
        <v>100</v>
      </c>
      <c r="T39" s="773" t="s">
        <v>17</v>
      </c>
      <c r="U39" s="774">
        <f t="shared" si="13"/>
        <v>100</v>
      </c>
      <c r="V39" s="773" t="s">
        <v>17</v>
      </c>
      <c r="W39" s="774">
        <f t="shared" si="14"/>
        <v>100</v>
      </c>
      <c r="X39" s="1814"/>
      <c r="Y39" s="3355"/>
      <c r="Z39" s="1815" t="str">
        <f t="shared" si="15"/>
        <v>层高</v>
      </c>
      <c r="AA39" s="1812">
        <f t="shared" si="3"/>
        <v>1</v>
      </c>
      <c r="AB39" s="1812">
        <f t="shared" si="4"/>
        <v>1</v>
      </c>
      <c r="AC39" s="1812">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353"/>
      <c r="Q40" s="1811" t="str">
        <f t="shared" si="11"/>
        <v>单套建筑面积</v>
      </c>
      <c r="R40" s="773" t="s">
        <v>17</v>
      </c>
      <c r="S40" s="774">
        <f t="shared" si="12"/>
        <v>100</v>
      </c>
      <c r="T40" s="773" t="s">
        <v>17</v>
      </c>
      <c r="U40" s="774">
        <f t="shared" si="13"/>
        <v>100</v>
      </c>
      <c r="V40" s="773" t="s">
        <v>17</v>
      </c>
      <c r="W40" s="774">
        <f t="shared" si="14"/>
        <v>100</v>
      </c>
      <c r="X40" s="1814"/>
      <c r="Y40" s="3355"/>
      <c r="Z40" s="1815" t="str">
        <f t="shared" si="15"/>
        <v>单套建筑面积</v>
      </c>
      <c r="AA40" s="1812">
        <f t="shared" si="3"/>
        <v>1</v>
      </c>
      <c r="AB40" s="1812">
        <f t="shared" si="4"/>
        <v>1</v>
      </c>
      <c r="AC40" s="1812">
        <f t="shared" si="5"/>
        <v>1</v>
      </c>
    </row>
    <row r="41" spans="1:29" s="470" customFormat="1" ht="15">
      <c r="A41" s="467"/>
      <c r="B41" s="1813"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353"/>
      <c r="Q41" s="775" t="str">
        <f t="shared" si="11"/>
        <v>进深比</v>
      </c>
      <c r="R41" s="776" t="s">
        <v>17</v>
      </c>
      <c r="S41" s="777">
        <f t="shared" si="12"/>
        <v>100</v>
      </c>
      <c r="T41" s="776" t="s">
        <v>17</v>
      </c>
      <c r="U41" s="777">
        <f t="shared" si="13"/>
        <v>100</v>
      </c>
      <c r="V41" s="776" t="s">
        <v>17</v>
      </c>
      <c r="W41" s="777">
        <f t="shared" si="14"/>
        <v>100</v>
      </c>
      <c r="X41" s="778"/>
      <c r="Y41" s="3355"/>
      <c r="Z41" s="779" t="str">
        <f t="shared" si="15"/>
        <v>进深比</v>
      </c>
      <c r="AA41" s="1812">
        <f t="shared" si="3"/>
        <v>1</v>
      </c>
      <c r="AB41" s="1812">
        <f t="shared" si="4"/>
        <v>1</v>
      </c>
      <c r="AC41" s="1812">
        <f t="shared" si="5"/>
        <v>1</v>
      </c>
    </row>
    <row r="42" spans="1:29" ht="15">
      <c r="A42" s="471"/>
      <c r="B42" s="421" t="s">
        <v>2653</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41"/>
      <c r="M42" s="1132"/>
      <c r="N42" s="1132"/>
      <c r="O42" s="1132"/>
      <c r="P42" s="3353"/>
      <c r="Q42" s="1811" t="str">
        <f t="shared" si="11"/>
        <v>内部装修</v>
      </c>
      <c r="R42" s="773" t="s">
        <v>17</v>
      </c>
      <c r="S42" s="774">
        <f t="shared" si="12"/>
        <v>100</v>
      </c>
      <c r="T42" s="773" t="s">
        <v>17</v>
      </c>
      <c r="U42" s="774">
        <f t="shared" si="13"/>
        <v>100</v>
      </c>
      <c r="V42" s="773" t="s">
        <v>17</v>
      </c>
      <c r="W42" s="774">
        <f t="shared" si="14"/>
        <v>100</v>
      </c>
      <c r="X42" s="1814"/>
      <c r="Y42" s="3355"/>
      <c r="Z42" s="1815" t="str">
        <f t="shared" si="15"/>
        <v>内部装修</v>
      </c>
      <c r="AA42" s="1812">
        <f t="shared" si="3"/>
        <v>1</v>
      </c>
      <c r="AB42" s="1812">
        <f t="shared" si="4"/>
        <v>1</v>
      </c>
      <c r="AC42" s="1812">
        <f t="shared" si="5"/>
        <v>1</v>
      </c>
    </row>
    <row r="43" spans="1:29" ht="15">
      <c r="A43" s="471"/>
      <c r="B43" s="421" t="s">
        <v>2561</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41"/>
      <c r="M43" s="1132"/>
      <c r="N43" s="1132"/>
      <c r="O43" s="1132"/>
      <c r="P43" s="3353"/>
      <c r="Q43" s="1811" t="str">
        <f t="shared" si="11"/>
        <v>内部装修维护情况</v>
      </c>
      <c r="R43" s="773" t="s">
        <v>17</v>
      </c>
      <c r="S43" s="774">
        <f t="shared" si="12"/>
        <v>100</v>
      </c>
      <c r="T43" s="773" t="s">
        <v>17</v>
      </c>
      <c r="U43" s="774">
        <f t="shared" si="13"/>
        <v>100</v>
      </c>
      <c r="V43" s="773" t="s">
        <v>17</v>
      </c>
      <c r="W43" s="774">
        <f t="shared" si="14"/>
        <v>100</v>
      </c>
      <c r="X43" s="1814"/>
      <c r="Y43" s="3355"/>
      <c r="Z43" s="1815" t="str">
        <f t="shared" si="15"/>
        <v>内部装修维护情况</v>
      </c>
      <c r="AA43" s="1812">
        <f t="shared" si="3"/>
        <v>1</v>
      </c>
      <c r="AB43" s="1812">
        <f t="shared" si="4"/>
        <v>1</v>
      </c>
      <c r="AC43" s="1812">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353"/>
      <c r="Q44" s="1796">
        <f t="shared" si="11"/>
        <v>111</v>
      </c>
      <c r="R44" s="769" t="s">
        <v>17</v>
      </c>
      <c r="S44" s="770">
        <f t="shared" si="12"/>
        <v>100</v>
      </c>
      <c r="T44" s="769" t="s">
        <v>17</v>
      </c>
      <c r="U44" s="770">
        <f t="shared" si="13"/>
        <v>100</v>
      </c>
      <c r="V44" s="769" t="s">
        <v>17</v>
      </c>
      <c r="W44" s="770">
        <f t="shared" si="14"/>
        <v>100</v>
      </c>
      <c r="X44" s="771"/>
      <c r="Y44" s="3355"/>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353"/>
      <c r="Q45" s="1811">
        <f t="shared" si="11"/>
        <v>111</v>
      </c>
      <c r="R45" s="773" t="s">
        <v>17</v>
      </c>
      <c r="S45" s="774">
        <f t="shared" si="12"/>
        <v>100</v>
      </c>
      <c r="T45" s="773" t="s">
        <v>17</v>
      </c>
      <c r="U45" s="774">
        <f t="shared" si="13"/>
        <v>100</v>
      </c>
      <c r="V45" s="773" t="s">
        <v>17</v>
      </c>
      <c r="W45" s="774">
        <f t="shared" si="14"/>
        <v>100</v>
      </c>
      <c r="X45" s="1814"/>
      <c r="Y45" s="3355"/>
      <c r="Z45" s="1815">
        <f t="shared" si="15"/>
        <v>111</v>
      </c>
      <c r="AA45" s="1812">
        <f t="shared" si="3"/>
        <v>1</v>
      </c>
      <c r="AB45" s="1812">
        <f t="shared" si="4"/>
        <v>1</v>
      </c>
      <c r="AC45" s="1812">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354"/>
      <c r="Q46" s="1811">
        <f t="shared" si="11"/>
        <v>111</v>
      </c>
      <c r="R46" s="773" t="s">
        <v>17</v>
      </c>
      <c r="S46" s="774">
        <f t="shared" si="12"/>
        <v>100</v>
      </c>
      <c r="T46" s="773" t="s">
        <v>17</v>
      </c>
      <c r="U46" s="774">
        <f t="shared" si="13"/>
        <v>100</v>
      </c>
      <c r="V46" s="773" t="s">
        <v>17</v>
      </c>
      <c r="W46" s="774">
        <f t="shared" si="14"/>
        <v>100</v>
      </c>
      <c r="X46" s="1814"/>
      <c r="Y46" s="3356"/>
      <c r="Z46" s="1815">
        <f t="shared" si="15"/>
        <v>111</v>
      </c>
      <c r="AA46" s="1812">
        <f t="shared" si="3"/>
        <v>1</v>
      </c>
      <c r="AB46" s="1812">
        <f t="shared" si="4"/>
        <v>1</v>
      </c>
      <c r="AC46" s="1812">
        <f t="shared" si="5"/>
        <v>1</v>
      </c>
    </row>
    <row r="47" spans="1:29" ht="15">
      <c r="A47" s="478" t="s">
        <v>2562</v>
      </c>
      <c r="B47" s="479"/>
      <c r="C47" s="1408" t="s">
        <v>1</v>
      </c>
      <c r="D47" s="1409"/>
      <c r="E47" s="1410"/>
      <c r="F47" s="1411"/>
      <c r="G47" s="1412"/>
      <c r="H47" s="1413"/>
      <c r="I47" s="1410"/>
      <c r="J47" s="1413"/>
      <c r="K47" s="782"/>
      <c r="L47" s="1144"/>
      <c r="M47" s="1145"/>
      <c r="N47" s="1132"/>
      <c r="O47" s="1145"/>
      <c r="P47" s="3348" t="str">
        <f>A47</f>
        <v>成交单价（元/平方米）</v>
      </c>
      <c r="Q47" s="3348"/>
      <c r="R47" s="3343">
        <f>E47</f>
        <v>0</v>
      </c>
      <c r="S47" s="3343"/>
      <c r="T47" s="3343">
        <f>G47</f>
        <v>0</v>
      </c>
      <c r="U47" s="3343"/>
      <c r="V47" s="3343">
        <f>I47</f>
        <v>0</v>
      </c>
      <c r="W47" s="3343"/>
      <c r="X47" s="758"/>
      <c r="Y47" s="780"/>
      <c r="Z47" s="758"/>
      <c r="AA47" s="758"/>
      <c r="AB47" s="758"/>
      <c r="AC47" s="758"/>
    </row>
    <row r="48" spans="1:29" ht="15.75" thickBot="1">
      <c r="A48" s="485" t="s">
        <v>2654</v>
      </c>
      <c r="B48" s="486"/>
      <c r="C48" s="1414" t="e">
        <f>R49</f>
        <v>#DIV/0!</v>
      </c>
      <c r="D48" s="1415"/>
      <c r="E48" s="1416" t="e">
        <f>R48</f>
        <v>#DIV/0!</v>
      </c>
      <c r="F48" s="1416"/>
      <c r="G48" s="1414" t="e">
        <f>T48</f>
        <v>#DIV/0!</v>
      </c>
      <c r="H48" s="1415"/>
      <c r="I48" s="1416" t="e">
        <f>V48</f>
        <v>#DIV/0!</v>
      </c>
      <c r="J48" s="1415"/>
      <c r="K48" s="783"/>
      <c r="L48" s="1144"/>
      <c r="M48" s="1145"/>
      <c r="N48" s="1132"/>
      <c r="O48" s="1145"/>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2655</v>
      </c>
      <c r="B49" s="492"/>
      <c r="C49" s="1418" t="e">
        <f>R49</f>
        <v>#DIV/0!</v>
      </c>
      <c r="D49" s="1418"/>
      <c r="E49" s="1418"/>
      <c r="F49" s="1418"/>
      <c r="G49" s="1418"/>
      <c r="H49" s="1418"/>
      <c r="I49" s="1418"/>
      <c r="J49" s="1418"/>
      <c r="K49" s="784"/>
      <c r="L49" s="1144"/>
      <c r="M49" s="1145"/>
      <c r="N49" s="1132"/>
      <c r="O49" s="1145"/>
      <c r="P49" s="3345" t="str">
        <f>A49</f>
        <v>估价对象XX用房的比较价值（楼面单价，元/平方米）</v>
      </c>
      <c r="Q49" s="3346"/>
      <c r="R49" s="3347" t="e">
        <f>IF(F1="售价",ROUND(AVERAGE(R48:V48),0),ROUND(AVERAGE(R48:V48),1))</f>
        <v>#DIV/0!</v>
      </c>
      <c r="S49" s="3347"/>
      <c r="T49" s="3347"/>
      <c r="U49" s="3347"/>
      <c r="V49" s="3347"/>
      <c r="W49" s="334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3"/>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7" customFormat="1" ht="15">
      <c r="A58" s="504" t="s">
        <v>2533</v>
      </c>
      <c r="B58" s="505"/>
      <c r="C58" s="1575" t="str">
        <f>YEAR(C7)&amp;"-"&amp;MONTH(C7)</f>
        <v>2018-2</v>
      </c>
      <c r="D58" s="1576">
        <f>EDATE(C58,-1)</f>
        <v>43101</v>
      </c>
      <c r="E58" s="1576">
        <f t="shared" ref="E58:N58" si="16">EDATE(D58,-1)</f>
        <v>43070</v>
      </c>
      <c r="F58" s="1576">
        <f t="shared" si="16"/>
        <v>43040</v>
      </c>
      <c r="G58" s="1576">
        <f t="shared" si="16"/>
        <v>43009</v>
      </c>
      <c r="H58" s="1576">
        <f t="shared" si="16"/>
        <v>42979</v>
      </c>
      <c r="I58" s="1576">
        <f t="shared" si="16"/>
        <v>42948</v>
      </c>
      <c r="J58" s="1576">
        <f t="shared" si="16"/>
        <v>42917</v>
      </c>
      <c r="K58" s="1576">
        <f t="shared" si="16"/>
        <v>42887</v>
      </c>
      <c r="L58" s="1576">
        <f t="shared" si="16"/>
        <v>42856</v>
      </c>
      <c r="M58" s="1576">
        <f t="shared" si="16"/>
        <v>42826</v>
      </c>
      <c r="N58" s="1576">
        <f t="shared" si="16"/>
        <v>42795</v>
      </c>
      <c r="O58" s="1576">
        <f>EDATE(N58,-1)</f>
        <v>42767</v>
      </c>
      <c r="P58" s="1571"/>
    </row>
    <row r="59" spans="1:29" s="117" customFormat="1" ht="15">
      <c r="A59" s="508"/>
      <c r="B59" s="509"/>
      <c r="C59" s="1574">
        <v>100</v>
      </c>
      <c r="D59" s="511"/>
      <c r="E59" s="511"/>
      <c r="F59" s="511"/>
      <c r="G59" s="511"/>
      <c r="H59" s="511"/>
      <c r="I59" s="511"/>
      <c r="J59" s="511"/>
      <c r="K59" s="511"/>
      <c r="L59" s="511"/>
      <c r="M59" s="512"/>
      <c r="N59" s="511"/>
      <c r="O59" s="512"/>
      <c r="P59" s="2625"/>
    </row>
    <row r="60" spans="1:29" s="117" customFormat="1" ht="15.75" thickBot="1">
      <c r="A60" s="514" t="s">
        <v>2570</v>
      </c>
      <c r="B60" s="515"/>
      <c r="C60" s="516"/>
      <c r="D60" s="517"/>
      <c r="E60" s="517"/>
      <c r="F60" s="517"/>
      <c r="G60" s="517"/>
      <c r="H60" s="517"/>
      <c r="I60" s="517"/>
      <c r="J60" s="517"/>
      <c r="K60" s="517"/>
      <c r="L60" s="517"/>
      <c r="M60" s="518"/>
      <c r="N60" s="517"/>
      <c r="O60" s="518"/>
      <c r="P60" s="2625"/>
      <c r="Q60" s="503"/>
    </row>
    <row r="61" spans="1:29" s="117" customFormat="1" ht="15">
      <c r="A61" s="520" t="s">
        <v>2535</v>
      </c>
      <c r="B61" s="509"/>
      <c r="C61" s="521" t="s">
        <v>2637</v>
      </c>
      <c r="D61" s="522"/>
      <c r="E61" s="522"/>
      <c r="F61" s="522"/>
      <c r="G61" s="522"/>
      <c r="H61" s="522"/>
      <c r="I61" s="522"/>
      <c r="J61" s="522"/>
      <c r="K61" s="522"/>
      <c r="L61" s="523"/>
      <c r="M61" s="524"/>
      <c r="N61" s="1152"/>
      <c r="O61" s="1152"/>
      <c r="P61" s="2626"/>
      <c r="Q61" s="503"/>
    </row>
    <row r="62" spans="1:29" s="117" customFormat="1" ht="15.75" thickBot="1">
      <c r="A62" s="520"/>
      <c r="B62" s="509"/>
      <c r="C62" s="510">
        <v>100</v>
      </c>
      <c r="D62" s="511"/>
      <c r="E62" s="511"/>
      <c r="F62" s="511"/>
      <c r="G62" s="511"/>
      <c r="H62" s="511"/>
      <c r="I62" s="511"/>
      <c r="J62" s="511"/>
      <c r="K62" s="511"/>
      <c r="L62" s="511"/>
      <c r="M62" s="513"/>
      <c r="N62" s="1152"/>
      <c r="O62" s="1152"/>
      <c r="P62" s="2625"/>
      <c r="Q62" s="503"/>
    </row>
    <row r="63" spans="1:29">
      <c r="A63" s="526" t="s">
        <v>2573</v>
      </c>
      <c r="B63" s="527" t="s">
        <v>2539</v>
      </c>
      <c r="C63" s="528">
        <f>C9</f>
        <v>0</v>
      </c>
      <c r="D63" s="529"/>
      <c r="E63" s="529"/>
      <c r="F63" s="529"/>
      <c r="G63" s="529"/>
      <c r="H63" s="529"/>
      <c r="I63" s="529"/>
      <c r="J63" s="529"/>
      <c r="K63" s="530"/>
      <c r="L63" s="531"/>
      <c r="M63" s="532"/>
      <c r="N63" s="1153"/>
      <c r="O63" s="1153"/>
      <c r="P63" s="2627"/>
      <c r="Q63" s="503"/>
    </row>
    <row r="64" spans="1:29" ht="15.75" thickBot="1">
      <c r="A64" s="533"/>
      <c r="B64" s="534"/>
      <c r="C64" s="535">
        <v>100</v>
      </c>
      <c r="D64" s="535"/>
      <c r="E64" s="535"/>
      <c r="F64" s="535"/>
      <c r="G64" s="535"/>
      <c r="H64" s="535"/>
      <c r="I64" s="535"/>
      <c r="J64" s="535"/>
      <c r="K64" s="535"/>
      <c r="L64" s="535"/>
      <c r="M64" s="536"/>
      <c r="N64" s="1154"/>
      <c r="O64" s="1154"/>
      <c r="P64" s="2627"/>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3"/>
      <c r="O65" s="1153"/>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7"/>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7"/>
      <c r="Q67" s="503"/>
    </row>
    <row r="68" spans="1:17" ht="15">
      <c r="A68" s="533"/>
      <c r="B68" s="547"/>
      <c r="C68" s="548"/>
      <c r="D68" s="548"/>
      <c r="E68" s="548"/>
      <c r="F68" s="548"/>
      <c r="G68" s="548"/>
      <c r="H68" s="548"/>
      <c r="I68" s="548"/>
      <c r="J68" s="548"/>
      <c r="K68" s="549"/>
      <c r="L68" s="550"/>
      <c r="M68" s="551"/>
      <c r="N68" s="1153"/>
      <c r="O68" s="1153"/>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7"/>
      <c r="Q69" s="503"/>
    </row>
    <row r="70" spans="1:17" s="470" customFormat="1" ht="15.75" thickTop="1">
      <c r="A70" s="552"/>
      <c r="B70" s="537">
        <f>B12</f>
        <v>111</v>
      </c>
      <c r="C70" s="553"/>
      <c r="D70" s="553"/>
      <c r="E70" s="553"/>
      <c r="F70" s="553"/>
      <c r="G70" s="553"/>
      <c r="H70" s="554"/>
      <c r="I70" s="554"/>
      <c r="J70" s="554"/>
      <c r="K70" s="554"/>
      <c r="L70" s="555"/>
      <c r="M70" s="556"/>
      <c r="N70" s="1155"/>
      <c r="O70" s="1155"/>
      <c r="P70" s="2628"/>
      <c r="Q70" s="558"/>
    </row>
    <row r="71" spans="1:17" s="470" customFormat="1" ht="15.75" thickBot="1">
      <c r="A71" s="552"/>
      <c r="B71" s="542"/>
      <c r="C71" s="559"/>
      <c r="D71" s="535"/>
      <c r="E71" s="535"/>
      <c r="F71" s="535"/>
      <c r="G71" s="535"/>
      <c r="H71" s="535"/>
      <c r="I71" s="535"/>
      <c r="J71" s="535"/>
      <c r="K71" s="535"/>
      <c r="L71" s="535"/>
      <c r="M71" s="536"/>
      <c r="N71" s="1154"/>
      <c r="O71" s="1154"/>
      <c r="P71" s="2628"/>
      <c r="Q71" s="558"/>
    </row>
    <row r="72" spans="1:17" s="470" customFormat="1" ht="15.75" thickTop="1">
      <c r="A72" s="552"/>
      <c r="B72" s="537">
        <f>B13</f>
        <v>111</v>
      </c>
      <c r="C72" s="553"/>
      <c r="D72" s="553"/>
      <c r="E72" s="553"/>
      <c r="F72" s="553"/>
      <c r="G72" s="553"/>
      <c r="H72" s="554"/>
      <c r="I72" s="554"/>
      <c r="J72" s="554"/>
      <c r="K72" s="554"/>
      <c r="L72" s="555"/>
      <c r="M72" s="556"/>
      <c r="N72" s="1155"/>
      <c r="O72" s="1155"/>
      <c r="P72" s="2629"/>
      <c r="Q72" s="560"/>
    </row>
    <row r="73" spans="1:17" s="470" customFormat="1" ht="15.75" thickBot="1">
      <c r="A73" s="552"/>
      <c r="B73" s="542"/>
      <c r="C73" s="559"/>
      <c r="D73" s="535"/>
      <c r="E73" s="535"/>
      <c r="F73" s="535"/>
      <c r="G73" s="559"/>
      <c r="H73" s="561"/>
      <c r="I73" s="561"/>
      <c r="J73" s="561"/>
      <c r="K73" s="561"/>
      <c r="L73" s="561"/>
      <c r="M73" s="562"/>
      <c r="N73" s="1155"/>
      <c r="O73" s="1155"/>
      <c r="P73" s="2628"/>
      <c r="Q73" s="558"/>
    </row>
    <row r="74" spans="1:17" s="470" customFormat="1" ht="15.75" thickTop="1">
      <c r="A74" s="552"/>
      <c r="B74" s="545">
        <f>B14</f>
        <v>111</v>
      </c>
      <c r="C74" s="553"/>
      <c r="D74" s="553"/>
      <c r="E74" s="553"/>
      <c r="F74" s="553"/>
      <c r="G74" s="522"/>
      <c r="H74" s="563"/>
      <c r="I74" s="563"/>
      <c r="J74" s="563"/>
      <c r="K74" s="563"/>
      <c r="L74" s="564"/>
      <c r="M74" s="565"/>
      <c r="N74" s="1155"/>
      <c r="O74" s="1155"/>
      <c r="P74" s="2630"/>
      <c r="Q74" s="558"/>
    </row>
    <row r="75" spans="1:17" s="470" customFormat="1" ht="15.75" thickBot="1">
      <c r="A75" s="567"/>
      <c r="B75" s="568"/>
      <c r="C75" s="569"/>
      <c r="D75" s="569"/>
      <c r="E75" s="569"/>
      <c r="F75" s="569"/>
      <c r="G75" s="569"/>
      <c r="H75" s="570"/>
      <c r="I75" s="570"/>
      <c r="J75" s="570"/>
      <c r="K75" s="570"/>
      <c r="L75" s="570"/>
      <c r="M75" s="571"/>
      <c r="N75" s="1155"/>
      <c r="O75" s="1155"/>
      <c r="P75" s="2628"/>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3"/>
      <c r="O76" s="1153"/>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7"/>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3"/>
      <c r="O78" s="1153"/>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7"/>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3"/>
      <c r="O80" s="1153"/>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7"/>
      <c r="Q81" s="503"/>
    </row>
    <row r="82" spans="1:17" ht="15.75" thickTop="1">
      <c r="A82" s="533"/>
      <c r="B82" s="545" t="s">
        <v>2640</v>
      </c>
      <c r="C82" s="659" t="s">
        <v>2660</v>
      </c>
      <c r="D82" s="659" t="s">
        <v>2661</v>
      </c>
      <c r="E82" s="659" t="s">
        <v>2662</v>
      </c>
      <c r="F82" s="659" t="s">
        <v>2663</v>
      </c>
      <c r="G82" s="659" t="s">
        <v>2664</v>
      </c>
      <c r="H82" s="538"/>
      <c r="I82" s="538"/>
      <c r="J82" s="538"/>
      <c r="K82" s="538"/>
      <c r="L82" s="538"/>
      <c r="M82" s="1383"/>
      <c r="N82" s="1154"/>
      <c r="O82" s="1154"/>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7"/>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3"/>
      <c r="O84" s="1153"/>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7"/>
      <c r="Q85" s="503"/>
    </row>
    <row r="86" spans="1:17" s="117" customFormat="1" ht="15.75" thickTop="1">
      <c r="A86" s="578"/>
      <c r="B86" s="537" t="s">
        <v>2665</v>
      </c>
      <c r="C86" s="553"/>
      <c r="D86" s="553"/>
      <c r="E86" s="553"/>
      <c r="F86" s="553"/>
      <c r="G86" s="553"/>
      <c r="H86" s="553"/>
      <c r="I86" s="553"/>
      <c r="J86" s="553"/>
      <c r="K86" s="553"/>
      <c r="L86" s="579"/>
      <c r="M86" s="580"/>
      <c r="N86" s="1152"/>
      <c r="O86" s="1152"/>
      <c r="P86" s="2627"/>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7"/>
      <c r="Q87" s="503"/>
    </row>
    <row r="88" spans="1:17" s="117" customFormat="1" ht="15.75" thickTop="1">
      <c r="A88" s="578"/>
      <c r="B88" s="537" t="str">
        <f>B26</f>
        <v>平面位置/可视性</v>
      </c>
      <c r="C88" s="553"/>
      <c r="D88" s="553"/>
      <c r="E88" s="553"/>
      <c r="F88" s="2632"/>
      <c r="G88" s="553"/>
      <c r="H88" s="553"/>
      <c r="I88" s="553"/>
      <c r="J88" s="553"/>
      <c r="K88" s="553"/>
      <c r="L88" s="553"/>
      <c r="M88" s="580"/>
      <c r="N88" s="1152"/>
      <c r="O88" s="1152"/>
      <c r="P88" s="2627"/>
      <c r="Q88" s="503"/>
    </row>
    <row r="89" spans="1:17" s="117" customFormat="1" ht="15.75" thickBot="1">
      <c r="A89" s="578"/>
      <c r="B89" s="542"/>
      <c r="C89" s="559"/>
      <c r="D89" s="535"/>
      <c r="E89" s="535"/>
      <c r="F89" s="535"/>
      <c r="G89" s="535"/>
      <c r="H89" s="535"/>
      <c r="I89" s="535"/>
      <c r="J89" s="535"/>
      <c r="K89" s="535"/>
      <c r="L89" s="535"/>
      <c r="M89" s="535"/>
      <c r="N89" s="1154"/>
      <c r="O89" s="1154"/>
      <c r="P89" s="2627"/>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8"/>
      <c r="Q91" s="558"/>
    </row>
    <row r="92" spans="1:17" ht="15.75" thickTop="1">
      <c r="A92" s="533"/>
      <c r="B92" s="537" t="str">
        <f>B28</f>
        <v>楼层</v>
      </c>
      <c r="C92" s="553"/>
      <c r="D92" s="553"/>
      <c r="E92" s="553"/>
      <c r="F92" s="553"/>
      <c r="G92" s="553"/>
      <c r="H92" s="553"/>
      <c r="I92" s="553"/>
      <c r="J92" s="553"/>
      <c r="K92" s="553"/>
      <c r="L92" s="579"/>
      <c r="M92" s="580"/>
      <c r="N92" s="1153"/>
      <c r="O92" s="1153"/>
      <c r="P92" s="2627"/>
      <c r="Q92" s="503"/>
    </row>
    <row r="93" spans="1:17" ht="15.75" thickBot="1">
      <c r="A93" s="533"/>
      <c r="B93" s="542"/>
      <c r="C93" s="535"/>
      <c r="D93" s="535"/>
      <c r="E93" s="535"/>
      <c r="F93" s="535"/>
      <c r="G93" s="535"/>
      <c r="H93" s="535"/>
      <c r="I93" s="535"/>
      <c r="J93" s="535"/>
      <c r="K93" s="535"/>
      <c r="L93" s="535"/>
      <c r="M93" s="536"/>
      <c r="N93" s="1154"/>
      <c r="O93" s="1154"/>
      <c r="P93" s="2627"/>
      <c r="Q93" s="503"/>
    </row>
    <row r="94" spans="1:17" ht="15.75" thickTop="1">
      <c r="A94" s="533"/>
      <c r="B94" s="537">
        <f>B29</f>
        <v>111</v>
      </c>
      <c r="C94" s="553"/>
      <c r="D94" s="553"/>
      <c r="E94" s="553"/>
      <c r="F94" s="553"/>
      <c r="G94" s="582"/>
      <c r="H94" s="582"/>
      <c r="I94" s="582"/>
      <c r="J94" s="582"/>
      <c r="K94" s="583"/>
      <c r="L94" s="584"/>
      <c r="M94" s="585"/>
      <c r="N94" s="1153"/>
      <c r="O94" s="1153"/>
      <c r="P94" s="2627"/>
      <c r="Q94" s="503"/>
    </row>
    <row r="95" spans="1:17" ht="15.75" thickBot="1">
      <c r="A95" s="533"/>
      <c r="B95" s="542"/>
      <c r="C95" s="559"/>
      <c r="D95" s="535"/>
      <c r="E95" s="535"/>
      <c r="F95" s="535"/>
      <c r="G95" s="535"/>
      <c r="H95" s="535"/>
      <c r="I95" s="535"/>
      <c r="J95" s="535"/>
      <c r="K95" s="535"/>
      <c r="L95" s="535"/>
      <c r="M95" s="536"/>
      <c r="N95" s="1154"/>
      <c r="O95" s="1154"/>
      <c r="P95" s="2627"/>
      <c r="Q95" s="503"/>
    </row>
    <row r="96" spans="1:17" ht="15.75" thickTop="1">
      <c r="A96" s="533"/>
      <c r="B96" s="537">
        <f>B30</f>
        <v>111</v>
      </c>
      <c r="C96" s="553"/>
      <c r="D96" s="553"/>
      <c r="E96" s="553"/>
      <c r="F96" s="553"/>
      <c r="G96" s="582"/>
      <c r="H96" s="582"/>
      <c r="I96" s="582"/>
      <c r="J96" s="582"/>
      <c r="K96" s="583"/>
      <c r="L96" s="584"/>
      <c r="M96" s="585"/>
      <c r="N96" s="1153"/>
      <c r="O96" s="1153"/>
      <c r="P96" s="2627"/>
      <c r="Q96" s="503"/>
    </row>
    <row r="97" spans="1:17" ht="15.75" thickBot="1">
      <c r="A97" s="533"/>
      <c r="B97" s="542"/>
      <c r="C97" s="559"/>
      <c r="D97" s="535"/>
      <c r="E97" s="535"/>
      <c r="F97" s="535"/>
      <c r="G97" s="535"/>
      <c r="H97" s="535"/>
      <c r="I97" s="535"/>
      <c r="J97" s="535"/>
      <c r="K97" s="535"/>
      <c r="L97" s="535"/>
      <c r="M97" s="536"/>
      <c r="N97" s="1154"/>
      <c r="O97" s="1154"/>
      <c r="P97" s="2627"/>
      <c r="Q97" s="503"/>
    </row>
    <row r="98" spans="1:17" ht="15.75" thickTop="1">
      <c r="A98" s="533"/>
      <c r="B98" s="545">
        <f>B31</f>
        <v>111</v>
      </c>
      <c r="C98" s="553"/>
      <c r="D98" s="553"/>
      <c r="E98" s="553"/>
      <c r="F98" s="553"/>
      <c r="G98" s="586"/>
      <c r="H98" s="586"/>
      <c r="I98" s="586"/>
      <c r="J98" s="586"/>
      <c r="K98" s="587"/>
      <c r="L98" s="588"/>
      <c r="M98" s="589"/>
      <c r="N98" s="1153"/>
      <c r="O98" s="1153"/>
      <c r="P98" s="2627"/>
      <c r="Q98" s="503"/>
    </row>
    <row r="99" spans="1:17" ht="15.75" thickBot="1">
      <c r="A99" s="2633"/>
      <c r="B99" s="568"/>
      <c r="C99" s="569"/>
      <c r="D99" s="569"/>
      <c r="E99" s="569"/>
      <c r="F99" s="569"/>
      <c r="G99" s="590"/>
      <c r="H99" s="590"/>
      <c r="I99" s="590"/>
      <c r="J99" s="590"/>
      <c r="K99" s="590"/>
      <c r="L99" s="590"/>
      <c r="M99" s="591"/>
      <c r="N99" s="1154"/>
      <c r="O99" s="1154"/>
      <c r="P99" s="2627"/>
      <c r="Q99" s="503"/>
    </row>
    <row r="100" spans="1:17">
      <c r="A100" s="526" t="s">
        <v>2548</v>
      </c>
      <c r="B100" s="527" t="s">
        <v>2666</v>
      </c>
      <c r="C100" s="529"/>
      <c r="D100" s="529"/>
      <c r="E100" s="529"/>
      <c r="F100" s="529"/>
      <c r="G100" s="529"/>
      <c r="H100" s="529"/>
      <c r="I100" s="529"/>
      <c r="J100" s="529"/>
      <c r="K100" s="530"/>
      <c r="L100" s="531"/>
      <c r="M100" s="532"/>
      <c r="N100" s="1153"/>
      <c r="O100" s="1153"/>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7"/>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7"/>
      <c r="Q102" s="503"/>
    </row>
    <row r="103" spans="1:17" s="470" customFormat="1">
      <c r="A103" s="592"/>
      <c r="B103" s="593"/>
      <c r="C103" s="594"/>
      <c r="D103" s="594"/>
      <c r="E103" s="594"/>
      <c r="F103" s="594"/>
      <c r="G103" s="594"/>
      <c r="H103" s="594"/>
      <c r="I103" s="594"/>
      <c r="J103" s="595"/>
      <c r="K103" s="595"/>
      <c r="L103" s="596"/>
      <c r="M103" s="597"/>
      <c r="N103" s="1155"/>
      <c r="O103" s="1155"/>
      <c r="P103" s="2628"/>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8"/>
      <c r="Q104" s="558"/>
    </row>
    <row r="105" spans="1:17" ht="15" thickTop="1">
      <c r="A105" s="598"/>
      <c r="B105" s="537" t="s">
        <v>2599</v>
      </c>
      <c r="C105" s="553"/>
      <c r="D105" s="553"/>
      <c r="E105" s="582"/>
      <c r="F105" s="582"/>
      <c r="G105" s="582"/>
      <c r="H105" s="582"/>
      <c r="I105" s="582"/>
      <c r="J105" s="582"/>
      <c r="K105" s="583"/>
      <c r="L105" s="584"/>
      <c r="M105" s="585"/>
      <c r="N105" s="1153"/>
      <c r="O105" s="1153"/>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7"/>
      <c r="Q106" s="503"/>
    </row>
    <row r="107" spans="1:17" ht="15" thickTop="1">
      <c r="A107" s="598"/>
      <c r="B107" s="537" t="s">
        <v>2601</v>
      </c>
      <c r="C107" s="553"/>
      <c r="D107" s="553"/>
      <c r="E107" s="553"/>
      <c r="F107" s="582"/>
      <c r="G107" s="582"/>
      <c r="H107" s="582"/>
      <c r="I107" s="582"/>
      <c r="J107" s="582"/>
      <c r="K107" s="583"/>
      <c r="L107" s="584"/>
      <c r="M107" s="585"/>
      <c r="N107" s="1153"/>
      <c r="O107" s="1153"/>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7"/>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7"/>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7"/>
      <c r="Q111" s="503"/>
    </row>
    <row r="112" spans="1:17" s="470" customFormat="1" ht="15" thickTop="1">
      <c r="A112" s="592"/>
      <c r="B112" s="537" t="s">
        <v>2603</v>
      </c>
      <c r="C112" s="553"/>
      <c r="D112" s="553"/>
      <c r="E112" s="553"/>
      <c r="F112" s="553"/>
      <c r="G112" s="553"/>
      <c r="H112" s="582"/>
      <c r="I112" s="582"/>
      <c r="J112" s="582"/>
      <c r="K112" s="583"/>
      <c r="L112" s="584"/>
      <c r="M112" s="585"/>
      <c r="N112" s="1155"/>
      <c r="O112" s="1155"/>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8"/>
      <c r="Q113" s="558"/>
    </row>
    <row r="114" spans="1:17" ht="15" thickTop="1">
      <c r="A114" s="598"/>
      <c r="B114" s="537" t="s">
        <v>2667</v>
      </c>
      <c r="C114" s="553"/>
      <c r="D114" s="553"/>
      <c r="E114" s="582"/>
      <c r="F114" s="582"/>
      <c r="G114" s="582"/>
      <c r="H114" s="582"/>
      <c r="I114" s="582"/>
      <c r="J114" s="582"/>
      <c r="K114" s="583"/>
      <c r="L114" s="584"/>
      <c r="M114" s="585"/>
      <c r="N114" s="1153"/>
      <c r="O114" s="1153"/>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7"/>
      <c r="Q115" s="503"/>
    </row>
    <row r="116" spans="1:17" ht="15" thickTop="1">
      <c r="A116" s="598"/>
      <c r="B116" s="537" t="s">
        <v>2668</v>
      </c>
      <c r="C116" s="553"/>
      <c r="D116" s="553"/>
      <c r="E116" s="553"/>
      <c r="F116" s="553"/>
      <c r="G116" s="553"/>
      <c r="H116" s="582"/>
      <c r="I116" s="582"/>
      <c r="J116" s="582"/>
      <c r="K116" s="583"/>
      <c r="L116" s="584"/>
      <c r="M116" s="585"/>
      <c r="N116" s="1153"/>
      <c r="O116" s="1153"/>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7"/>
      <c r="Q117" s="503"/>
    </row>
    <row r="118" spans="1:17" ht="15" thickTop="1">
      <c r="A118" s="598"/>
      <c r="B118" s="537" t="s">
        <v>2669</v>
      </c>
      <c r="C118" s="626"/>
      <c r="D118" s="626"/>
      <c r="E118" s="626"/>
      <c r="F118" s="626"/>
      <c r="G118" s="626"/>
      <c r="H118" s="554"/>
      <c r="I118" s="554"/>
      <c r="J118" s="554"/>
      <c r="K118" s="554"/>
      <c r="L118" s="555"/>
      <c r="M118" s="556"/>
      <c r="N118" s="1153"/>
      <c r="O118" s="1153"/>
      <c r="P118" s="2627"/>
      <c r="Q118" s="503"/>
    </row>
    <row r="119" spans="1:17" ht="15.75" thickBot="1">
      <c r="A119" s="533"/>
      <c r="B119" s="542"/>
      <c r="C119" s="559"/>
      <c r="D119" s="535"/>
      <c r="E119" s="535"/>
      <c r="F119" s="535"/>
      <c r="G119" s="535"/>
      <c r="H119" s="535"/>
      <c r="I119" s="535"/>
      <c r="J119" s="535"/>
      <c r="K119" s="535"/>
      <c r="L119" s="535"/>
      <c r="M119" s="536"/>
      <c r="N119" s="1154"/>
      <c r="O119" s="1154"/>
      <c r="P119" s="2627"/>
      <c r="Q119" s="503"/>
    </row>
    <row r="120" spans="1:17" s="470" customFormat="1" ht="15" thickTop="1">
      <c r="A120" s="592"/>
      <c r="B120" s="537" t="s">
        <v>2670</v>
      </c>
      <c r="C120" s="582"/>
      <c r="D120" s="582"/>
      <c r="E120" s="582"/>
      <c r="F120" s="582"/>
      <c r="G120" s="554"/>
      <c r="H120" s="554"/>
      <c r="I120" s="554"/>
      <c r="J120" s="554"/>
      <c r="K120" s="554"/>
      <c r="L120" s="555"/>
      <c r="M120" s="556"/>
      <c r="N120" s="1155"/>
      <c r="O120" s="1155"/>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8"/>
      <c r="Q121" s="558"/>
    </row>
    <row r="122" spans="1:17" ht="15" thickTop="1">
      <c r="A122" s="598"/>
      <c r="B122" s="537" t="s">
        <v>2605</v>
      </c>
      <c r="C122" s="553"/>
      <c r="D122" s="553"/>
      <c r="E122" s="553"/>
      <c r="F122" s="582"/>
      <c r="G122" s="582"/>
      <c r="H122" s="582"/>
      <c r="I122" s="582"/>
      <c r="J122" s="582"/>
      <c r="K122" s="583"/>
      <c r="L122" s="584"/>
      <c r="M122" s="585"/>
      <c r="N122" s="1153"/>
      <c r="O122" s="1153"/>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7"/>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3"/>
      <c r="O124" s="1153"/>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7"/>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8"/>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8"/>
      <c r="Q127" s="558"/>
    </row>
    <row r="128" spans="1:17" ht="15" thickTop="1">
      <c r="A128" s="598"/>
      <c r="B128" s="537">
        <f>B45</f>
        <v>111</v>
      </c>
      <c r="C128" s="553"/>
      <c r="D128" s="553"/>
      <c r="E128" s="553"/>
      <c r="F128" s="553"/>
      <c r="G128" s="582"/>
      <c r="H128" s="582"/>
      <c r="I128" s="582"/>
      <c r="J128" s="582"/>
      <c r="K128" s="583"/>
      <c r="L128" s="584"/>
      <c r="M128" s="585"/>
      <c r="N128" s="1153"/>
      <c r="O128" s="1153"/>
      <c r="P128" s="2627"/>
      <c r="Q128" s="503"/>
    </row>
    <row r="129" spans="1:17" ht="15.75" thickBot="1">
      <c r="A129" s="533"/>
      <c r="B129" s="542"/>
      <c r="C129" s="559"/>
      <c r="D129" s="535"/>
      <c r="E129" s="535"/>
      <c r="F129" s="535"/>
      <c r="G129" s="535"/>
      <c r="H129" s="535"/>
      <c r="I129" s="535"/>
      <c r="J129" s="535"/>
      <c r="K129" s="535"/>
      <c r="L129" s="535"/>
      <c r="M129" s="536"/>
      <c r="N129" s="1154"/>
      <c r="O129" s="1154"/>
      <c r="P129" s="2627"/>
      <c r="Q129" s="503"/>
    </row>
    <row r="130" spans="1:17" ht="15" thickTop="1">
      <c r="A130" s="598"/>
      <c r="B130" s="545">
        <f>B46</f>
        <v>111</v>
      </c>
      <c r="C130" s="553"/>
      <c r="D130" s="553"/>
      <c r="E130" s="553"/>
      <c r="F130" s="553"/>
      <c r="G130" s="586"/>
      <c r="H130" s="586"/>
      <c r="I130" s="586"/>
      <c r="J130" s="586"/>
      <c r="K130" s="522"/>
      <c r="L130" s="523"/>
      <c r="M130" s="589"/>
      <c r="N130" s="1153"/>
      <c r="O130" s="1153"/>
      <c r="P130" s="2627"/>
      <c r="Q130" s="503"/>
    </row>
    <row r="131" spans="1:17" ht="15.75" thickBot="1">
      <c r="A131" s="2633"/>
      <c r="B131" s="568"/>
      <c r="C131" s="569"/>
      <c r="D131" s="569"/>
      <c r="E131" s="569"/>
      <c r="F131" s="569"/>
      <c r="G131" s="590"/>
      <c r="H131" s="590"/>
      <c r="I131" s="590"/>
      <c r="J131" s="590"/>
      <c r="K131" s="590"/>
      <c r="L131" s="590"/>
      <c r="M131" s="591"/>
      <c r="N131" s="1154"/>
      <c r="O131" s="1154"/>
      <c r="P131" s="2627"/>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666" t="s">
        <v>2671</v>
      </c>
      <c r="C1" s="1621" t="s">
        <v>2515</v>
      </c>
      <c r="D1" s="1622"/>
      <c r="E1" s="1631"/>
      <c r="F1" s="2581"/>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19" t="e">
        <f ca="1">IF(C2="——",ROUND(C50*D3/10000,0),ROUND(C50*D3/10000,0)-D2)</f>
        <v>#DIV/0!</v>
      </c>
      <c r="C2" s="2583"/>
      <c r="D2" s="1366" t="e">
        <f ca="1">SUMIF(INDIRECT("'"&amp;F2&amp;"'"&amp;"!A:A"),"承租人权益价值",INDIRECT("'"&amp;F2&amp;"'"&amp;"!c:c"))</f>
        <v>#REF!</v>
      </c>
      <c r="E2" s="2584" t="s">
        <v>2313</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5755.45</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2630</v>
      </c>
      <c r="B4" s="401"/>
      <c r="C4" s="3331" t="s">
        <v>2631</v>
      </c>
      <c r="D4" s="3332"/>
      <c r="E4" s="3333" t="s">
        <v>2632</v>
      </c>
      <c r="F4" s="3334"/>
      <c r="G4" s="3331" t="s">
        <v>2633</v>
      </c>
      <c r="H4" s="3332"/>
      <c r="I4" s="3331" t="s">
        <v>2634</v>
      </c>
      <c r="J4" s="3332"/>
      <c r="K4" s="609" t="s">
        <v>2635</v>
      </c>
      <c r="L4" s="1131"/>
      <c r="M4" s="1132"/>
      <c r="N4" s="1132"/>
      <c r="O4" s="1132"/>
      <c r="P4" s="3365" t="s">
        <v>2636</v>
      </c>
      <c r="Q4" s="3366"/>
      <c r="R4" s="3360" t="s">
        <v>2632</v>
      </c>
      <c r="S4" s="3361"/>
      <c r="T4" s="3360" t="s">
        <v>2633</v>
      </c>
      <c r="U4" s="3361"/>
      <c r="V4" s="3369" t="s">
        <v>2634</v>
      </c>
      <c r="W4" s="3369"/>
      <c r="X4" s="2667"/>
      <c r="Y4" s="3360" t="s">
        <v>2636</v>
      </c>
      <c r="Z4" s="3361"/>
      <c r="AA4" s="3359" t="s">
        <v>2632</v>
      </c>
      <c r="AB4" s="3359" t="s">
        <v>2633</v>
      </c>
      <c r="AC4" s="3362" t="s">
        <v>2634</v>
      </c>
    </row>
    <row r="5" spans="1:29" ht="15">
      <c r="A5" s="403"/>
      <c r="B5" s="404"/>
      <c r="C5" s="3324" t="s">
        <v>2527</v>
      </c>
      <c r="D5" s="3325"/>
      <c r="E5" s="3322" t="s">
        <v>2528</v>
      </c>
      <c r="F5" s="3323"/>
      <c r="G5" s="3324" t="s">
        <v>2529</v>
      </c>
      <c r="H5" s="3325"/>
      <c r="I5" s="3324" t="s">
        <v>2530</v>
      </c>
      <c r="J5" s="3325"/>
      <c r="K5" s="609"/>
      <c r="L5" s="1131"/>
      <c r="M5" s="1132"/>
      <c r="N5" s="1132"/>
      <c r="O5" s="1132"/>
      <c r="P5" s="3367"/>
      <c r="Q5" s="3338"/>
      <c r="R5" s="3320"/>
      <c r="S5" s="3321"/>
      <c r="T5" s="3320"/>
      <c r="U5" s="3321"/>
      <c r="V5" s="3343"/>
      <c r="W5" s="3343"/>
      <c r="X5" s="1814"/>
      <c r="Y5" s="3320"/>
      <c r="Z5" s="3321"/>
      <c r="AA5" s="3314"/>
      <c r="AB5" s="3314"/>
      <c r="AC5" s="3363"/>
    </row>
    <row r="6" spans="1:29" ht="15.75" thickBot="1">
      <c r="A6" s="405"/>
      <c r="B6" s="406"/>
      <c r="C6" s="3326" t="s">
        <v>2531</v>
      </c>
      <c r="D6" s="3327"/>
      <c r="E6" s="3328" t="s">
        <v>2531</v>
      </c>
      <c r="F6" s="3329"/>
      <c r="G6" s="3326" t="s">
        <v>2531</v>
      </c>
      <c r="H6" s="3327"/>
      <c r="I6" s="3326" t="s">
        <v>2531</v>
      </c>
      <c r="J6" s="3327"/>
      <c r="K6" s="609" t="s">
        <v>2532</v>
      </c>
      <c r="L6" s="1131"/>
      <c r="M6" s="1132"/>
      <c r="N6" s="1132"/>
      <c r="O6" s="1132"/>
      <c r="P6" s="3368"/>
      <c r="Q6" s="3340"/>
      <c r="R6" s="3320"/>
      <c r="S6" s="3321"/>
      <c r="T6" s="3341"/>
      <c r="U6" s="3342"/>
      <c r="V6" s="3343"/>
      <c r="W6" s="3343"/>
      <c r="X6" s="1814"/>
      <c r="Y6" s="3341"/>
      <c r="Z6" s="3342"/>
      <c r="AA6" s="3315"/>
      <c r="AB6" s="3315"/>
      <c r="AC6" s="3364"/>
    </row>
    <row r="7" spans="1:29" s="117" customFormat="1" ht="15.75" thickBot="1">
      <c r="A7" s="407" t="s">
        <v>2533</v>
      </c>
      <c r="B7" s="408"/>
      <c r="C7" s="409">
        <f>'数据-取费表'!B2</f>
        <v>43138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370" t="s">
        <v>2534</v>
      </c>
      <c r="Q7" s="3344"/>
      <c r="R7" s="769" t="s">
        <v>17</v>
      </c>
      <c r="S7" s="770">
        <f t="shared" ref="S7:S15" si="0">F7</f>
        <v>0</v>
      </c>
      <c r="T7" s="769" t="s">
        <v>17</v>
      </c>
      <c r="U7" s="770">
        <f t="shared" ref="U7:U15" si="1">H7</f>
        <v>0</v>
      </c>
      <c r="V7" s="769" t="s">
        <v>17</v>
      </c>
      <c r="W7" s="770">
        <f t="shared" ref="W7:W15" si="2">J7</f>
        <v>0</v>
      </c>
      <c r="X7" s="771"/>
      <c r="Y7" s="3316" t="s">
        <v>2534</v>
      </c>
      <c r="Z7" s="3317"/>
      <c r="AA7" s="772" t="e">
        <f>D7/F7</f>
        <v>#DIV/0!</v>
      </c>
      <c r="AB7" s="772" t="e">
        <f>D7/H7</f>
        <v>#DIV/0!</v>
      </c>
      <c r="AC7" s="2668"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370" t="s">
        <v>2537</v>
      </c>
      <c r="Q8" s="3317"/>
      <c r="R8" s="769" t="s">
        <v>17</v>
      </c>
      <c r="S8" s="770">
        <f t="shared" si="0"/>
        <v>0</v>
      </c>
      <c r="T8" s="769" t="s">
        <v>17</v>
      </c>
      <c r="U8" s="770">
        <f t="shared" si="1"/>
        <v>0</v>
      </c>
      <c r="V8" s="769" t="s">
        <v>17</v>
      </c>
      <c r="W8" s="770">
        <f t="shared" si="2"/>
        <v>0</v>
      </c>
      <c r="X8" s="771"/>
      <c r="Y8" s="3316" t="s">
        <v>2537</v>
      </c>
      <c r="Z8" s="3317"/>
      <c r="AA8" s="772" t="e">
        <f t="shared" ref="AA8:AA47" si="3">D8/F8</f>
        <v>#DIV/0!</v>
      </c>
      <c r="AB8" s="772" t="e">
        <f t="shared" ref="AB8:AB47" si="4">D8/H8</f>
        <v>#DIV/0!</v>
      </c>
      <c r="AC8" s="2668"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330" t="s">
        <v>2540</v>
      </c>
      <c r="Q9" s="1796" t="str">
        <f t="shared" ref="Q9:Q15" si="6">B9</f>
        <v>用途</v>
      </c>
      <c r="R9" s="769" t="s">
        <v>17</v>
      </c>
      <c r="S9" s="770">
        <f t="shared" si="0"/>
        <v>100</v>
      </c>
      <c r="T9" s="769" t="s">
        <v>17</v>
      </c>
      <c r="U9" s="770">
        <f t="shared" si="1"/>
        <v>100</v>
      </c>
      <c r="V9" s="769" t="s">
        <v>17</v>
      </c>
      <c r="W9" s="770">
        <f t="shared" si="2"/>
        <v>100</v>
      </c>
      <c r="X9" s="771"/>
      <c r="Y9" s="3143" t="s">
        <v>2541</v>
      </c>
      <c r="Z9" s="55" t="str">
        <f t="shared" ref="Z9:Z15" si="7">Q9</f>
        <v>用途</v>
      </c>
      <c r="AA9" s="772">
        <f t="shared" si="3"/>
        <v>1</v>
      </c>
      <c r="AB9" s="772">
        <f t="shared" si="4"/>
        <v>1</v>
      </c>
      <c r="AC9" s="2668">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330"/>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2668">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330"/>
      <c r="Q11" s="1796" t="str">
        <f t="shared" si="6"/>
        <v>容积率</v>
      </c>
      <c r="R11" s="769" t="s">
        <v>17</v>
      </c>
      <c r="S11" s="770" t="e">
        <f t="shared" si="0"/>
        <v>#N/A</v>
      </c>
      <c r="T11" s="769" t="s">
        <v>17</v>
      </c>
      <c r="U11" s="770" t="e">
        <f t="shared" si="1"/>
        <v>#N/A</v>
      </c>
      <c r="V11" s="769" t="s">
        <v>17</v>
      </c>
      <c r="W11" s="770" t="e">
        <f t="shared" si="2"/>
        <v>#N/A</v>
      </c>
      <c r="X11" s="771"/>
      <c r="Y11" s="3143"/>
      <c r="Z11" s="55" t="str">
        <f t="shared" si="7"/>
        <v>容积率</v>
      </c>
      <c r="AA11" s="772" t="e">
        <f t="shared" si="3"/>
        <v>#N/A</v>
      </c>
      <c r="AB11" s="772" t="e">
        <f t="shared" si="4"/>
        <v>#N/A</v>
      </c>
      <c r="AC11" s="2668" t="e">
        <f t="shared" si="5"/>
        <v>#N/A</v>
      </c>
    </row>
    <row r="12" spans="1:29" s="117"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3"/>
      <c r="M12" s="1134"/>
      <c r="N12" s="1134"/>
      <c r="O12" s="1134"/>
      <c r="P12" s="3330"/>
      <c r="Q12" s="1796">
        <f t="shared" si="6"/>
        <v>111</v>
      </c>
      <c r="R12" s="769" t="s">
        <v>17</v>
      </c>
      <c r="S12" s="770">
        <f t="shared" si="0"/>
        <v>100</v>
      </c>
      <c r="T12" s="769" t="s">
        <v>17</v>
      </c>
      <c r="U12" s="770">
        <f t="shared" si="1"/>
        <v>100</v>
      </c>
      <c r="V12" s="769" t="s">
        <v>17</v>
      </c>
      <c r="W12" s="770">
        <f t="shared" si="2"/>
        <v>100</v>
      </c>
      <c r="X12" s="771"/>
      <c r="Y12" s="3143"/>
      <c r="Z12" s="55">
        <f t="shared" si="7"/>
        <v>111</v>
      </c>
      <c r="AA12" s="772">
        <f>D12/F12</f>
        <v>1</v>
      </c>
      <c r="AB12" s="772">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41"/>
      <c r="M13" s="1132"/>
      <c r="N13" s="1132"/>
      <c r="O13" s="1132"/>
      <c r="P13" s="3330"/>
      <c r="Q13" s="1796">
        <f t="shared" si="6"/>
        <v>111</v>
      </c>
      <c r="R13" s="769" t="s">
        <v>17</v>
      </c>
      <c r="S13" s="770">
        <f t="shared" si="0"/>
        <v>100</v>
      </c>
      <c r="T13" s="769" t="s">
        <v>17</v>
      </c>
      <c r="U13" s="770">
        <f t="shared" si="1"/>
        <v>100</v>
      </c>
      <c r="V13" s="769" t="s">
        <v>17</v>
      </c>
      <c r="W13" s="770">
        <f t="shared" si="2"/>
        <v>100</v>
      </c>
      <c r="X13" s="771"/>
      <c r="Y13" s="3143"/>
      <c r="Z13" s="55">
        <f t="shared" si="7"/>
        <v>111</v>
      </c>
      <c r="AA13" s="772">
        <f t="shared" si="3"/>
        <v>1</v>
      </c>
      <c r="AB13" s="772">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41"/>
      <c r="M14" s="1132"/>
      <c r="N14" s="1132"/>
      <c r="O14" s="1132"/>
      <c r="P14" s="3330"/>
      <c r="Q14" s="1796">
        <f t="shared" si="6"/>
        <v>111</v>
      </c>
      <c r="R14" s="769" t="s">
        <v>17</v>
      </c>
      <c r="S14" s="770">
        <f t="shared" si="0"/>
        <v>100</v>
      </c>
      <c r="T14" s="769" t="s">
        <v>17</v>
      </c>
      <c r="U14" s="770">
        <f t="shared" si="1"/>
        <v>100</v>
      </c>
      <c r="V14" s="769" t="s">
        <v>17</v>
      </c>
      <c r="W14" s="770">
        <f t="shared" si="2"/>
        <v>100</v>
      </c>
      <c r="X14" s="771"/>
      <c r="Y14" s="3143"/>
      <c r="Z14" s="55">
        <f t="shared" si="7"/>
        <v>111</v>
      </c>
      <c r="AA14" s="772">
        <f t="shared" si="3"/>
        <v>1</v>
      </c>
      <c r="AB14" s="772">
        <f t="shared" si="4"/>
        <v>1</v>
      </c>
      <c r="AC14" s="2668">
        <f t="shared" si="5"/>
        <v>1</v>
      </c>
    </row>
    <row r="15" spans="1:29" ht="15">
      <c r="A15" s="439" t="s">
        <v>2544</v>
      </c>
      <c r="B15" s="628" t="s">
        <v>2672</v>
      </c>
      <c r="C15" s="2670">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357" t="s">
        <v>2545</v>
      </c>
      <c r="Q15" s="1811" t="str">
        <f t="shared" si="6"/>
        <v>办公集聚程度</v>
      </c>
      <c r="R15" s="773" t="s">
        <v>17</v>
      </c>
      <c r="S15" s="774">
        <f t="shared" si="0"/>
        <v>100</v>
      </c>
      <c r="T15" s="773" t="s">
        <v>17</v>
      </c>
      <c r="U15" s="774">
        <f t="shared" si="1"/>
        <v>100</v>
      </c>
      <c r="V15" s="773" t="s">
        <v>17</v>
      </c>
      <c r="W15" s="774">
        <f t="shared" si="2"/>
        <v>100</v>
      </c>
      <c r="X15" s="1814"/>
      <c r="Y15" s="3350" t="s">
        <v>2545</v>
      </c>
      <c r="Z15" s="1815" t="str">
        <f t="shared" si="7"/>
        <v>办公集聚程度</v>
      </c>
      <c r="AA15" s="1812">
        <f t="shared" si="3"/>
        <v>1</v>
      </c>
      <c r="AB15" s="1812">
        <f t="shared" si="4"/>
        <v>1</v>
      </c>
      <c r="AC15" s="2671">
        <f t="shared" si="5"/>
        <v>1</v>
      </c>
    </row>
    <row r="16" spans="1:29" ht="15">
      <c r="A16" s="427"/>
      <c r="B16" s="629"/>
      <c r="C16" s="2608"/>
      <c r="D16" s="447"/>
      <c r="E16" s="446"/>
      <c r="F16" s="447"/>
      <c r="G16" s="2608"/>
      <c r="H16" s="449"/>
      <c r="I16" s="446"/>
      <c r="J16" s="447"/>
      <c r="K16" s="614"/>
      <c r="L16" s="1141"/>
      <c r="M16" s="1132"/>
      <c r="N16" s="1132"/>
      <c r="O16" s="1132"/>
      <c r="P16" s="3358"/>
      <c r="Q16" s="1811"/>
      <c r="R16" s="773"/>
      <c r="S16" s="774"/>
      <c r="T16" s="773"/>
      <c r="U16" s="774"/>
      <c r="V16" s="773"/>
      <c r="W16" s="774"/>
      <c r="X16" s="1814"/>
      <c r="Y16" s="3351"/>
      <c r="Z16" s="1815"/>
      <c r="AA16" s="1812">
        <v>1</v>
      </c>
      <c r="AB16" s="1812">
        <v>1</v>
      </c>
      <c r="AC16" s="2671">
        <v>1</v>
      </c>
    </row>
    <row r="17" spans="1:29" ht="15">
      <c r="A17" s="427"/>
      <c r="B17" s="630" t="s">
        <v>2088</v>
      </c>
      <c r="C17" s="2672">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358"/>
      <c r="Q17" s="1811" t="str">
        <f>B17</f>
        <v>交通便捷度</v>
      </c>
      <c r="R17" s="773" t="s">
        <v>17</v>
      </c>
      <c r="S17" s="774">
        <f>F17</f>
        <v>100</v>
      </c>
      <c r="T17" s="773" t="s">
        <v>17</v>
      </c>
      <c r="U17" s="774">
        <f>H17</f>
        <v>100</v>
      </c>
      <c r="V17" s="773" t="s">
        <v>17</v>
      </c>
      <c r="W17" s="774">
        <f>J17</f>
        <v>100</v>
      </c>
      <c r="X17" s="1814"/>
      <c r="Y17" s="3351"/>
      <c r="Z17" s="1815" t="str">
        <f>Q17</f>
        <v>交通便捷度</v>
      </c>
      <c r="AA17" s="1812">
        <f t="shared" si="3"/>
        <v>1</v>
      </c>
      <c r="AB17" s="1812">
        <f t="shared" si="4"/>
        <v>1</v>
      </c>
      <c r="AC17" s="2671">
        <f t="shared" si="5"/>
        <v>1</v>
      </c>
    </row>
    <row r="18" spans="1:29" ht="15">
      <c r="A18" s="427"/>
      <c r="B18" s="631"/>
      <c r="C18" s="2673"/>
      <c r="D18" s="449"/>
      <c r="E18" s="2606"/>
      <c r="F18" s="449"/>
      <c r="G18" s="2607"/>
      <c r="H18" s="447"/>
      <c r="I18" s="2607"/>
      <c r="J18" s="447"/>
      <c r="K18" s="614"/>
      <c r="L18" s="1141"/>
      <c r="M18" s="1132"/>
      <c r="N18" s="1132"/>
      <c r="O18" s="1132"/>
      <c r="P18" s="3358"/>
      <c r="Q18" s="1811"/>
      <c r="R18" s="773"/>
      <c r="S18" s="774"/>
      <c r="T18" s="773"/>
      <c r="U18" s="774"/>
      <c r="V18" s="773"/>
      <c r="W18" s="774"/>
      <c r="X18" s="1814"/>
      <c r="Y18" s="3351"/>
      <c r="Z18" s="1815"/>
      <c r="AA18" s="1812">
        <v>1</v>
      </c>
      <c r="AB18" s="1812">
        <v>1</v>
      </c>
      <c r="AC18" s="2671">
        <v>1</v>
      </c>
    </row>
    <row r="19" spans="1:29" ht="15">
      <c r="A19" s="427"/>
      <c r="B19" s="630" t="s">
        <v>2673</v>
      </c>
      <c r="C19" s="2672">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358"/>
      <c r="Q19" s="1811" t="str">
        <f>B19</f>
        <v>公共配套设施</v>
      </c>
      <c r="R19" s="773" t="s">
        <v>17</v>
      </c>
      <c r="S19" s="774">
        <f>F19</f>
        <v>100</v>
      </c>
      <c r="T19" s="773" t="s">
        <v>17</v>
      </c>
      <c r="U19" s="774">
        <f>H19</f>
        <v>100</v>
      </c>
      <c r="V19" s="773" t="s">
        <v>17</v>
      </c>
      <c r="W19" s="774">
        <f>J19</f>
        <v>100</v>
      </c>
      <c r="X19" s="1814"/>
      <c r="Y19" s="3351"/>
      <c r="Z19" s="1815" t="str">
        <f>Q19</f>
        <v>公共配套设施</v>
      </c>
      <c r="AA19" s="1812">
        <f t="shared" si="3"/>
        <v>1</v>
      </c>
      <c r="AB19" s="1812">
        <f t="shared" si="4"/>
        <v>1</v>
      </c>
      <c r="AC19" s="2671">
        <f t="shared" si="5"/>
        <v>1</v>
      </c>
    </row>
    <row r="20" spans="1:29" ht="15">
      <c r="A20" s="427"/>
      <c r="B20" s="631"/>
      <c r="C20" s="2608"/>
      <c r="D20" s="447"/>
      <c r="E20" s="2601"/>
      <c r="F20" s="447"/>
      <c r="G20" s="2602"/>
      <c r="H20" s="447"/>
      <c r="I20" s="2602"/>
      <c r="J20" s="447"/>
      <c r="K20" s="614"/>
      <c r="L20" s="1141"/>
      <c r="M20" s="1132"/>
      <c r="N20" s="1132"/>
      <c r="O20" s="1132"/>
      <c r="P20" s="3358"/>
      <c r="Q20" s="1811"/>
      <c r="R20" s="773"/>
      <c r="S20" s="774"/>
      <c r="T20" s="773"/>
      <c r="U20" s="774"/>
      <c r="V20" s="773"/>
      <c r="W20" s="774"/>
      <c r="X20" s="1814"/>
      <c r="Y20" s="3351"/>
      <c r="Z20" s="1815"/>
      <c r="AA20" s="1812">
        <v>1</v>
      </c>
      <c r="AB20" s="1812">
        <v>1</v>
      </c>
      <c r="AC20" s="2671">
        <v>1</v>
      </c>
    </row>
    <row r="21" spans="1:29" ht="15">
      <c r="A21" s="427"/>
      <c r="B21" s="632" t="s">
        <v>2674</v>
      </c>
      <c r="C21" s="2672">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358"/>
      <c r="Q21" s="1811" t="str">
        <f>B21</f>
        <v>基础设施水平</v>
      </c>
      <c r="R21" s="773" t="s">
        <v>17</v>
      </c>
      <c r="S21" s="774">
        <f>F21</f>
        <v>100</v>
      </c>
      <c r="T21" s="773" t="s">
        <v>17</v>
      </c>
      <c r="U21" s="774">
        <f>H21</f>
        <v>100</v>
      </c>
      <c r="V21" s="773" t="s">
        <v>17</v>
      </c>
      <c r="W21" s="774">
        <f>J21</f>
        <v>100</v>
      </c>
      <c r="X21" s="1814"/>
      <c r="Y21" s="3351"/>
      <c r="Z21" s="1815" t="str">
        <f>Q21</f>
        <v>基础设施水平</v>
      </c>
      <c r="AA21" s="1812">
        <f t="shared" ref="AA21" si="8">D21/F21</f>
        <v>1</v>
      </c>
      <c r="AB21" s="1812">
        <f t="shared" ref="AB21" si="9">D21/H21</f>
        <v>1</v>
      </c>
      <c r="AC21" s="2671">
        <f t="shared" ref="AC21" si="10">D21/J21</f>
        <v>1</v>
      </c>
    </row>
    <row r="22" spans="1:29" ht="15">
      <c r="A22" s="427"/>
      <c r="B22" s="632"/>
      <c r="C22" s="2673"/>
      <c r="D22" s="447"/>
      <c r="E22" s="446"/>
      <c r="F22" s="447"/>
      <c r="G22" s="2608"/>
      <c r="H22" s="447"/>
      <c r="I22" s="2608"/>
      <c r="J22" s="447"/>
      <c r="K22" s="1384"/>
      <c r="L22" s="1141"/>
      <c r="M22" s="1132"/>
      <c r="N22" s="1132"/>
      <c r="O22" s="1132"/>
      <c r="P22" s="3358"/>
      <c r="Q22" s="1811"/>
      <c r="R22" s="773"/>
      <c r="S22" s="774"/>
      <c r="T22" s="773"/>
      <c r="U22" s="774"/>
      <c r="V22" s="773"/>
      <c r="W22" s="774"/>
      <c r="X22" s="1814"/>
      <c r="Y22" s="3351"/>
      <c r="Z22" s="1815"/>
      <c r="AA22" s="1812">
        <v>1</v>
      </c>
      <c r="AB22" s="1812">
        <v>1</v>
      </c>
      <c r="AC22" s="2671">
        <v>1</v>
      </c>
    </row>
    <row r="23" spans="1:29" ht="15">
      <c r="A23" s="427"/>
      <c r="B23" s="630" t="s">
        <v>2675</v>
      </c>
      <c r="C23" s="2672">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358"/>
      <c r="Q23" s="1811" t="str">
        <f>B23</f>
        <v>环境质量</v>
      </c>
      <c r="R23" s="773" t="s">
        <v>17</v>
      </c>
      <c r="S23" s="774">
        <f>F23</f>
        <v>100</v>
      </c>
      <c r="T23" s="773" t="s">
        <v>17</v>
      </c>
      <c r="U23" s="774">
        <f>H23</f>
        <v>100</v>
      </c>
      <c r="V23" s="773" t="s">
        <v>17</v>
      </c>
      <c r="W23" s="774">
        <f>J23</f>
        <v>100</v>
      </c>
      <c r="X23" s="1814"/>
      <c r="Y23" s="3351"/>
      <c r="Z23" s="1815" t="str">
        <f>Q23</f>
        <v>环境质量</v>
      </c>
      <c r="AA23" s="1812">
        <f t="shared" si="3"/>
        <v>1</v>
      </c>
      <c r="AB23" s="1812">
        <f t="shared" si="4"/>
        <v>1</v>
      </c>
      <c r="AC23" s="2671">
        <f t="shared" si="5"/>
        <v>1</v>
      </c>
    </row>
    <row r="24" spans="1:29" ht="15">
      <c r="A24" s="427"/>
      <c r="B24" s="632"/>
      <c r="C24" s="2608"/>
      <c r="D24" s="447"/>
      <c r="E24" s="2601"/>
      <c r="F24" s="447"/>
      <c r="G24" s="2602"/>
      <c r="H24" s="447"/>
      <c r="I24" s="2602"/>
      <c r="J24" s="447"/>
      <c r="K24" s="614"/>
      <c r="L24" s="1141"/>
      <c r="M24" s="1132"/>
      <c r="N24" s="1132"/>
      <c r="O24" s="1132"/>
      <c r="P24" s="3358"/>
      <c r="Q24" s="1811"/>
      <c r="R24" s="773"/>
      <c r="S24" s="774"/>
      <c r="T24" s="773"/>
      <c r="U24" s="774"/>
      <c r="V24" s="773"/>
      <c r="W24" s="774"/>
      <c r="X24" s="1814"/>
      <c r="Y24" s="3351"/>
      <c r="Z24" s="1815"/>
      <c r="AA24" s="1812">
        <v>1</v>
      </c>
      <c r="AB24" s="1812">
        <v>1</v>
      </c>
      <c r="AC24" s="2671">
        <v>1</v>
      </c>
    </row>
    <row r="25" spans="1:29" ht="27">
      <c r="A25" s="403"/>
      <c r="B25" s="630" t="s">
        <v>2676</v>
      </c>
      <c r="C25" s="2612"/>
      <c r="D25" s="434">
        <v>100</v>
      </c>
      <c r="E25" s="433"/>
      <c r="F25" s="434">
        <f>SUMIF(87:87,E26,88:88)-SUMIF(87:87,C26,88:88)+100</f>
        <v>100</v>
      </c>
      <c r="G25" s="2612"/>
      <c r="H25" s="434">
        <f>SUMIF(87:87,G26,88:88)-SUMIF(87:87,C26,88:88)+100</f>
        <v>100</v>
      </c>
      <c r="I25" s="433"/>
      <c r="J25" s="434">
        <f>SUMIF(87:87,I26,88:88)-SUMIF(87:87,C26,88:88)+100</f>
        <v>100</v>
      </c>
      <c r="K25" s="613"/>
      <c r="L25" s="1141"/>
      <c r="M25" s="1132"/>
      <c r="N25" s="1132"/>
      <c r="O25" s="1132"/>
      <c r="P25" s="3358"/>
      <c r="Q25" s="1811" t="str">
        <f>B25</f>
        <v>毗邻道路的类型与等级</v>
      </c>
      <c r="R25" s="773" t="s">
        <v>17</v>
      </c>
      <c r="S25" s="774">
        <f>F25</f>
        <v>100</v>
      </c>
      <c r="T25" s="773" t="s">
        <v>17</v>
      </c>
      <c r="U25" s="774">
        <f>H25</f>
        <v>100</v>
      </c>
      <c r="V25" s="773" t="s">
        <v>17</v>
      </c>
      <c r="W25" s="774">
        <f>J25</f>
        <v>100</v>
      </c>
      <c r="X25" s="1814"/>
      <c r="Y25" s="3351"/>
      <c r="Z25" s="1815" t="str">
        <f>Q25</f>
        <v>毗邻道路的类型与等级</v>
      </c>
      <c r="AA25" s="1812">
        <f t="shared" si="3"/>
        <v>1</v>
      </c>
      <c r="AB25" s="1812">
        <f t="shared" si="4"/>
        <v>1</v>
      </c>
      <c r="AC25" s="2671">
        <f t="shared" si="5"/>
        <v>1</v>
      </c>
    </row>
    <row r="26" spans="1:29" ht="15">
      <c r="A26" s="403"/>
      <c r="B26" s="631"/>
      <c r="C26" s="633"/>
      <c r="D26" s="434"/>
      <c r="E26" s="615"/>
      <c r="F26" s="434"/>
      <c r="G26" s="633"/>
      <c r="H26" s="434"/>
      <c r="I26" s="615"/>
      <c r="J26" s="434"/>
      <c r="K26" s="614"/>
      <c r="L26" s="1141"/>
      <c r="M26" s="1132"/>
      <c r="N26" s="1132"/>
      <c r="O26" s="1132"/>
      <c r="P26" s="3358"/>
      <c r="Q26" s="1811"/>
      <c r="R26" s="773"/>
      <c r="S26" s="774"/>
      <c r="T26" s="773"/>
      <c r="U26" s="774"/>
      <c r="V26" s="773"/>
      <c r="W26" s="774"/>
      <c r="X26" s="1814"/>
      <c r="Y26" s="3351"/>
      <c r="Z26" s="1815"/>
      <c r="AA26" s="1812">
        <v>1</v>
      </c>
      <c r="AB26" s="1812">
        <v>1</v>
      </c>
      <c r="AC26" s="2671">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358"/>
      <c r="Q27" s="1811" t="str">
        <f t="shared" ref="Q27:Q47" si="11">B27</f>
        <v>楼层</v>
      </c>
      <c r="R27" s="773" t="s">
        <v>17</v>
      </c>
      <c r="S27" s="774">
        <f>F27</f>
        <v>100</v>
      </c>
      <c r="T27" s="773" t="s">
        <v>17</v>
      </c>
      <c r="U27" s="774">
        <f>H27</f>
        <v>100</v>
      </c>
      <c r="V27" s="773" t="s">
        <v>17</v>
      </c>
      <c r="W27" s="774">
        <f>J27</f>
        <v>100</v>
      </c>
      <c r="X27" s="1814"/>
      <c r="Y27" s="3351"/>
      <c r="Z27" s="1815" t="str">
        <f>Q27</f>
        <v>楼层</v>
      </c>
      <c r="AA27" s="1812">
        <f t="shared" si="3"/>
        <v>1</v>
      </c>
      <c r="AB27" s="1812">
        <f t="shared" si="4"/>
        <v>1</v>
      </c>
      <c r="AC27" s="2671">
        <f t="shared" si="5"/>
        <v>1</v>
      </c>
    </row>
    <row r="28" spans="1:29" s="117" customFormat="1" ht="15">
      <c r="A28" s="430"/>
      <c r="B28" s="630" t="s">
        <v>2677</v>
      </c>
      <c r="C28" s="2674"/>
      <c r="D28" s="461">
        <v>100</v>
      </c>
      <c r="E28" s="2662"/>
      <c r="F28" s="461">
        <f>SUMIF(91:91,E28,92:92)-SUMIF(91:91,C28,92:92)+100</f>
        <v>100</v>
      </c>
      <c r="G28" s="2674"/>
      <c r="H28" s="461">
        <f>SUMIF(91:91,G28,92:92)-SUMIF(91:91,C28,92:92)+100</f>
        <v>100</v>
      </c>
      <c r="I28" s="2662"/>
      <c r="J28" s="461">
        <f>SUMIF(91:91,I28,92:92)-SUMIF(91:91,C28,92:92)+100</f>
        <v>100</v>
      </c>
      <c r="K28" s="611"/>
      <c r="L28" s="1133"/>
      <c r="M28" s="1134"/>
      <c r="N28" s="1134"/>
      <c r="O28" s="1134"/>
      <c r="P28" s="3358"/>
      <c r="Q28" s="1796" t="str">
        <f t="shared" si="11"/>
        <v>朝向</v>
      </c>
      <c r="R28" s="769" t="s">
        <v>17</v>
      </c>
      <c r="S28" s="770">
        <f>F28</f>
        <v>100</v>
      </c>
      <c r="T28" s="769" t="s">
        <v>17</v>
      </c>
      <c r="U28" s="770">
        <f>H28</f>
        <v>100</v>
      </c>
      <c r="V28" s="769" t="s">
        <v>17</v>
      </c>
      <c r="W28" s="770">
        <f>J28</f>
        <v>100</v>
      </c>
      <c r="X28" s="771"/>
      <c r="Y28" s="3351"/>
      <c r="Z28" s="55" t="str">
        <f>Q28</f>
        <v>朝向</v>
      </c>
      <c r="AA28" s="1812">
        <f>D28/F28</f>
        <v>1</v>
      </c>
      <c r="AB28" s="1812">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41"/>
      <c r="M29" s="1132"/>
      <c r="N29" s="1132"/>
      <c r="O29" s="1132"/>
      <c r="P29" s="3358"/>
      <c r="Q29" s="1811">
        <f t="shared" si="11"/>
        <v>111</v>
      </c>
      <c r="R29" s="773" t="s">
        <v>17</v>
      </c>
      <c r="S29" s="774">
        <f t="shared" ref="S29:S47" si="12">F29</f>
        <v>100</v>
      </c>
      <c r="T29" s="773" t="s">
        <v>17</v>
      </c>
      <c r="U29" s="774">
        <f t="shared" ref="U29:U47" si="13">H29</f>
        <v>100</v>
      </c>
      <c r="V29" s="773" t="s">
        <v>17</v>
      </c>
      <c r="W29" s="774">
        <f t="shared" ref="W29:W47" si="14">J29</f>
        <v>100</v>
      </c>
      <c r="X29" s="1814"/>
      <c r="Y29" s="3351"/>
      <c r="Z29" s="1815">
        <f t="shared" ref="Z29:Z47" si="15">Q29</f>
        <v>111</v>
      </c>
      <c r="AA29" s="1812">
        <f t="shared" si="3"/>
        <v>1</v>
      </c>
      <c r="AB29" s="1812">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41"/>
      <c r="M30" s="1132"/>
      <c r="N30" s="1132"/>
      <c r="O30" s="1132"/>
      <c r="P30" s="3358"/>
      <c r="Q30" s="1811">
        <f t="shared" si="11"/>
        <v>111</v>
      </c>
      <c r="R30" s="773" t="s">
        <v>17</v>
      </c>
      <c r="S30" s="774">
        <f t="shared" si="12"/>
        <v>100</v>
      </c>
      <c r="T30" s="773" t="s">
        <v>17</v>
      </c>
      <c r="U30" s="774">
        <f t="shared" si="13"/>
        <v>100</v>
      </c>
      <c r="V30" s="773" t="s">
        <v>17</v>
      </c>
      <c r="W30" s="774">
        <f t="shared" si="14"/>
        <v>100</v>
      </c>
      <c r="X30" s="1814"/>
      <c r="Y30" s="3351"/>
      <c r="Z30" s="1815">
        <f t="shared" si="15"/>
        <v>111</v>
      </c>
      <c r="AA30" s="1812">
        <f t="shared" si="3"/>
        <v>1</v>
      </c>
      <c r="AB30" s="1812">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41"/>
      <c r="M31" s="1132"/>
      <c r="N31" s="1132"/>
      <c r="O31" s="1132"/>
      <c r="P31" s="3358"/>
      <c r="Q31" s="1811">
        <f t="shared" si="11"/>
        <v>111</v>
      </c>
      <c r="R31" s="773" t="s">
        <v>17</v>
      </c>
      <c r="S31" s="774">
        <f t="shared" si="12"/>
        <v>100</v>
      </c>
      <c r="T31" s="773" t="s">
        <v>17</v>
      </c>
      <c r="U31" s="774">
        <f t="shared" si="13"/>
        <v>100</v>
      </c>
      <c r="V31" s="773" t="s">
        <v>17</v>
      </c>
      <c r="W31" s="774">
        <f t="shared" si="14"/>
        <v>100</v>
      </c>
      <c r="X31" s="1814"/>
      <c r="Y31" s="3351"/>
      <c r="Z31" s="1815">
        <f t="shared" si="15"/>
        <v>111</v>
      </c>
      <c r="AA31" s="1812">
        <f t="shared" si="3"/>
        <v>1</v>
      </c>
      <c r="AB31" s="1812">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41"/>
      <c r="M32" s="1132"/>
      <c r="N32" s="1132"/>
      <c r="O32" s="1132"/>
      <c r="P32" s="3358"/>
      <c r="Q32" s="1811">
        <f t="shared" si="11"/>
        <v>111</v>
      </c>
      <c r="R32" s="773" t="s">
        <v>17</v>
      </c>
      <c r="S32" s="774">
        <f t="shared" si="12"/>
        <v>100</v>
      </c>
      <c r="T32" s="773" t="s">
        <v>17</v>
      </c>
      <c r="U32" s="774">
        <f t="shared" si="13"/>
        <v>100</v>
      </c>
      <c r="V32" s="773" t="s">
        <v>17</v>
      </c>
      <c r="W32" s="774">
        <f t="shared" si="14"/>
        <v>100</v>
      </c>
      <c r="X32" s="1814"/>
      <c r="Y32" s="3351"/>
      <c r="Z32" s="1815">
        <f t="shared" si="15"/>
        <v>111</v>
      </c>
      <c r="AA32" s="1812">
        <f t="shared" si="3"/>
        <v>1</v>
      </c>
      <c r="AB32" s="1812">
        <f t="shared" si="4"/>
        <v>1</v>
      </c>
      <c r="AC32" s="2671">
        <f t="shared" si="5"/>
        <v>1</v>
      </c>
    </row>
    <row r="33" spans="1:29" ht="15">
      <c r="A33" s="439" t="s">
        <v>2548</v>
      </c>
      <c r="B33" s="71" t="s">
        <v>2678</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41"/>
      <c r="M33" s="1132"/>
      <c r="N33" s="1132"/>
      <c r="O33" s="1132"/>
      <c r="P33" s="3352" t="s">
        <v>2550</v>
      </c>
      <c r="Q33" s="1811" t="str">
        <f t="shared" si="11"/>
        <v>建筑类型</v>
      </c>
      <c r="R33" s="773" t="s">
        <v>17</v>
      </c>
      <c r="S33" s="774">
        <f t="shared" si="12"/>
        <v>100</v>
      </c>
      <c r="T33" s="773" t="s">
        <v>17</v>
      </c>
      <c r="U33" s="774">
        <f t="shared" si="13"/>
        <v>100</v>
      </c>
      <c r="V33" s="773" t="s">
        <v>17</v>
      </c>
      <c r="W33" s="774">
        <f t="shared" si="14"/>
        <v>100</v>
      </c>
      <c r="X33" s="1814"/>
      <c r="Y33" s="3355" t="s">
        <v>2550</v>
      </c>
      <c r="Z33" s="1815" t="str">
        <f t="shared" si="15"/>
        <v>建筑类型</v>
      </c>
      <c r="AA33" s="1812">
        <f t="shared" si="3"/>
        <v>1</v>
      </c>
      <c r="AB33" s="1812">
        <f t="shared" si="4"/>
        <v>1</v>
      </c>
      <c r="AC33" s="2671">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353"/>
      <c r="Q34" s="775" t="str">
        <f t="shared" si="11"/>
        <v>项目建筑规模</v>
      </c>
      <c r="R34" s="776" t="s">
        <v>17</v>
      </c>
      <c r="S34" s="777" t="e">
        <f t="shared" si="12"/>
        <v>#N/A</v>
      </c>
      <c r="T34" s="776" t="s">
        <v>17</v>
      </c>
      <c r="U34" s="777" t="e">
        <f t="shared" si="13"/>
        <v>#N/A</v>
      </c>
      <c r="V34" s="776" t="s">
        <v>17</v>
      </c>
      <c r="W34" s="777" t="e">
        <f t="shared" si="14"/>
        <v>#N/A</v>
      </c>
      <c r="X34" s="778"/>
      <c r="Y34" s="3355"/>
      <c r="Z34" s="779" t="str">
        <f t="shared" si="15"/>
        <v>项目建筑规模</v>
      </c>
      <c r="AA34" s="1812" t="e">
        <f t="shared" si="3"/>
        <v>#N/A</v>
      </c>
      <c r="AB34" s="1812" t="e">
        <f t="shared" si="4"/>
        <v>#N/A</v>
      </c>
      <c r="AC34" s="2671"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353"/>
      <c r="Q35" s="1811" t="str">
        <f t="shared" si="11"/>
        <v>建筑结构</v>
      </c>
      <c r="R35" s="773" t="s">
        <v>17</v>
      </c>
      <c r="S35" s="774">
        <f t="shared" si="12"/>
        <v>100</v>
      </c>
      <c r="T35" s="773" t="s">
        <v>17</v>
      </c>
      <c r="U35" s="774">
        <f t="shared" si="13"/>
        <v>100</v>
      </c>
      <c r="V35" s="773" t="s">
        <v>17</v>
      </c>
      <c r="W35" s="774">
        <f t="shared" si="14"/>
        <v>100</v>
      </c>
      <c r="X35" s="1814"/>
      <c r="Y35" s="3355"/>
      <c r="Z35" s="1815" t="str">
        <f t="shared" si="15"/>
        <v>建筑结构</v>
      </c>
      <c r="AA35" s="1812">
        <f t="shared" si="3"/>
        <v>1</v>
      </c>
      <c r="AB35" s="1812">
        <f t="shared" si="4"/>
        <v>1</v>
      </c>
      <c r="AC35" s="2671">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353"/>
      <c r="Q36" s="1811" t="str">
        <f t="shared" si="11"/>
        <v>公共部分装修</v>
      </c>
      <c r="R36" s="773" t="s">
        <v>17</v>
      </c>
      <c r="S36" s="774">
        <f t="shared" si="12"/>
        <v>100</v>
      </c>
      <c r="T36" s="773" t="s">
        <v>17</v>
      </c>
      <c r="U36" s="774">
        <f t="shared" si="13"/>
        <v>100</v>
      </c>
      <c r="V36" s="773" t="s">
        <v>17</v>
      </c>
      <c r="W36" s="774">
        <f t="shared" si="14"/>
        <v>100</v>
      </c>
      <c r="X36" s="1814"/>
      <c r="Y36" s="3355"/>
      <c r="Z36" s="1815" t="str">
        <f t="shared" si="15"/>
        <v>公共部分装修</v>
      </c>
      <c r="AA36" s="1812">
        <f t="shared" si="3"/>
        <v>1</v>
      </c>
      <c r="AB36" s="1812">
        <f t="shared" si="4"/>
        <v>1</v>
      </c>
      <c r="AC36" s="2671">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353"/>
      <c r="Q37" s="1811" t="str">
        <f t="shared" si="11"/>
        <v>成新度</v>
      </c>
      <c r="R37" s="773" t="s">
        <v>17</v>
      </c>
      <c r="S37" s="774" t="e">
        <f t="shared" si="12"/>
        <v>#N/A</v>
      </c>
      <c r="T37" s="773" t="s">
        <v>17</v>
      </c>
      <c r="U37" s="774" t="e">
        <f t="shared" si="13"/>
        <v>#N/A</v>
      </c>
      <c r="V37" s="773" t="s">
        <v>17</v>
      </c>
      <c r="W37" s="774" t="e">
        <f t="shared" si="14"/>
        <v>#N/A</v>
      </c>
      <c r="X37" s="1814"/>
      <c r="Y37" s="3355"/>
      <c r="Z37" s="1815" t="str">
        <f t="shared" si="15"/>
        <v>成新度</v>
      </c>
      <c r="AA37" s="1812" t="e">
        <f t="shared" si="3"/>
        <v>#N/A</v>
      </c>
      <c r="AB37" s="1812" t="e">
        <f t="shared" si="4"/>
        <v>#N/A</v>
      </c>
      <c r="AC37" s="2671"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353"/>
      <c r="Q38" s="1796" t="str">
        <f t="shared" si="11"/>
        <v>写字楼等级</v>
      </c>
      <c r="R38" s="769" t="s">
        <v>17</v>
      </c>
      <c r="S38" s="770">
        <f t="shared" si="12"/>
        <v>100</v>
      </c>
      <c r="T38" s="769" t="s">
        <v>17</v>
      </c>
      <c r="U38" s="770">
        <f t="shared" si="13"/>
        <v>100</v>
      </c>
      <c r="V38" s="769" t="s">
        <v>17</v>
      </c>
      <c r="W38" s="770">
        <f t="shared" si="14"/>
        <v>100</v>
      </c>
      <c r="X38" s="771"/>
      <c r="Y38" s="3355"/>
      <c r="Z38" s="55" t="str">
        <f t="shared" si="15"/>
        <v>写字楼等级</v>
      </c>
      <c r="AA38" s="772">
        <f t="shared" si="3"/>
        <v>1</v>
      </c>
      <c r="AB38" s="772">
        <f t="shared" si="4"/>
        <v>1</v>
      </c>
      <c r="AC38" s="2668">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353" t="s">
        <v>2550</v>
      </c>
      <c r="Q39" s="1811" t="str">
        <f t="shared" si="11"/>
        <v>物业管理</v>
      </c>
      <c r="R39" s="773" t="s">
        <v>17</v>
      </c>
      <c r="S39" s="774">
        <f t="shared" si="12"/>
        <v>100</v>
      </c>
      <c r="T39" s="773" t="s">
        <v>17</v>
      </c>
      <c r="U39" s="774">
        <f t="shared" si="13"/>
        <v>100</v>
      </c>
      <c r="V39" s="773" t="s">
        <v>17</v>
      </c>
      <c r="W39" s="774">
        <f t="shared" si="14"/>
        <v>100</v>
      </c>
      <c r="X39" s="1814"/>
      <c r="Y39" s="3355" t="s">
        <v>2550</v>
      </c>
      <c r="Z39" s="1815" t="str">
        <f t="shared" si="15"/>
        <v>物业管理</v>
      </c>
      <c r="AA39" s="1812">
        <f t="shared" si="3"/>
        <v>1</v>
      </c>
      <c r="AB39" s="1812">
        <f t="shared" si="4"/>
        <v>1</v>
      </c>
      <c r="AC39" s="2671">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353"/>
      <c r="Q40" s="1811" t="str">
        <f t="shared" si="11"/>
        <v>市政基础设施</v>
      </c>
      <c r="R40" s="773" t="s">
        <v>17</v>
      </c>
      <c r="S40" s="774">
        <f t="shared" si="12"/>
        <v>100</v>
      </c>
      <c r="T40" s="773" t="s">
        <v>17</v>
      </c>
      <c r="U40" s="774">
        <f t="shared" si="13"/>
        <v>100</v>
      </c>
      <c r="V40" s="773" t="s">
        <v>17</v>
      </c>
      <c r="W40" s="774">
        <f t="shared" si="14"/>
        <v>100</v>
      </c>
      <c r="X40" s="1814"/>
      <c r="Y40" s="3355"/>
      <c r="Z40" s="1815" t="str">
        <f t="shared" si="15"/>
        <v>市政基础设施</v>
      </c>
      <c r="AA40" s="1812">
        <f t="shared" si="3"/>
        <v>1</v>
      </c>
      <c r="AB40" s="1812">
        <f t="shared" si="4"/>
        <v>1</v>
      </c>
      <c r="AC40" s="2671">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353"/>
      <c r="Q41" s="1811" t="str">
        <f t="shared" si="11"/>
        <v>层高</v>
      </c>
      <c r="R41" s="773" t="s">
        <v>17</v>
      </c>
      <c r="S41" s="774">
        <f t="shared" si="12"/>
        <v>100</v>
      </c>
      <c r="T41" s="773" t="s">
        <v>17</v>
      </c>
      <c r="U41" s="774">
        <f t="shared" si="13"/>
        <v>100</v>
      </c>
      <c r="V41" s="773" t="s">
        <v>17</v>
      </c>
      <c r="W41" s="774">
        <f t="shared" si="14"/>
        <v>100</v>
      </c>
      <c r="X41" s="1814"/>
      <c r="Y41" s="3355"/>
      <c r="Z41" s="1815" t="str">
        <f t="shared" si="15"/>
        <v>层高</v>
      </c>
      <c r="AA41" s="1812">
        <f t="shared" si="3"/>
        <v>1</v>
      </c>
      <c r="AB41" s="1812">
        <f t="shared" si="4"/>
        <v>1</v>
      </c>
      <c r="AC41" s="2671">
        <f t="shared" si="5"/>
        <v>1</v>
      </c>
    </row>
    <row r="42" spans="1:29" s="470" customFormat="1" ht="15">
      <c r="A42" s="467"/>
      <c r="B42" s="1813"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353"/>
      <c r="Q42" s="775" t="str">
        <f t="shared" si="11"/>
        <v>单套建筑面积</v>
      </c>
      <c r="R42" s="776" t="s">
        <v>17</v>
      </c>
      <c r="S42" s="777">
        <f t="shared" si="12"/>
        <v>100</v>
      </c>
      <c r="T42" s="776" t="s">
        <v>17</v>
      </c>
      <c r="U42" s="777">
        <f t="shared" si="13"/>
        <v>100</v>
      </c>
      <c r="V42" s="776" t="s">
        <v>17</v>
      </c>
      <c r="W42" s="777">
        <f t="shared" si="14"/>
        <v>100</v>
      </c>
      <c r="X42" s="778"/>
      <c r="Y42" s="3355"/>
      <c r="Z42" s="779" t="str">
        <f t="shared" si="15"/>
        <v>单套建筑面积</v>
      </c>
      <c r="AA42" s="1812">
        <f t="shared" si="3"/>
        <v>1</v>
      </c>
      <c r="AB42" s="1812">
        <f t="shared" si="4"/>
        <v>1</v>
      </c>
      <c r="AC42" s="2671">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353"/>
      <c r="Q43" s="1811" t="str">
        <f t="shared" si="11"/>
        <v>内部装修</v>
      </c>
      <c r="R43" s="773" t="s">
        <v>17</v>
      </c>
      <c r="S43" s="774">
        <f t="shared" si="12"/>
        <v>100</v>
      </c>
      <c r="T43" s="773" t="s">
        <v>17</v>
      </c>
      <c r="U43" s="774">
        <f t="shared" si="13"/>
        <v>100</v>
      </c>
      <c r="V43" s="773" t="s">
        <v>17</v>
      </c>
      <c r="W43" s="774">
        <f t="shared" si="14"/>
        <v>100</v>
      </c>
      <c r="X43" s="1814"/>
      <c r="Y43" s="3355"/>
      <c r="Z43" s="1815" t="str">
        <f t="shared" si="15"/>
        <v>内部装修</v>
      </c>
      <c r="AA43" s="1812">
        <f t="shared" si="3"/>
        <v>1</v>
      </c>
      <c r="AB43" s="1812">
        <f t="shared" si="4"/>
        <v>1</v>
      </c>
      <c r="AC43" s="2671">
        <f t="shared" si="5"/>
        <v>1</v>
      </c>
    </row>
    <row r="44" spans="1:29" ht="15">
      <c r="A44" s="471"/>
      <c r="B44" s="421" t="s">
        <v>2561</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41"/>
      <c r="M44" s="1132"/>
      <c r="N44" s="1132"/>
      <c r="O44" s="1132"/>
      <c r="P44" s="3353"/>
      <c r="Q44" s="1811" t="str">
        <f t="shared" si="11"/>
        <v>内部装修维护情况</v>
      </c>
      <c r="R44" s="773" t="s">
        <v>17</v>
      </c>
      <c r="S44" s="774">
        <f t="shared" si="12"/>
        <v>100</v>
      </c>
      <c r="T44" s="773" t="s">
        <v>17</v>
      </c>
      <c r="U44" s="774">
        <f t="shared" si="13"/>
        <v>100</v>
      </c>
      <c r="V44" s="773" t="s">
        <v>17</v>
      </c>
      <c r="W44" s="774">
        <f t="shared" si="14"/>
        <v>100</v>
      </c>
      <c r="X44" s="1814"/>
      <c r="Y44" s="3355"/>
      <c r="Z44" s="1815" t="str">
        <f t="shared" si="15"/>
        <v>内部装修维护情况</v>
      </c>
      <c r="AA44" s="1812">
        <f t="shared" si="3"/>
        <v>1</v>
      </c>
      <c r="AB44" s="1812">
        <f t="shared" si="4"/>
        <v>1</v>
      </c>
      <c r="AC44" s="2671">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353"/>
      <c r="Q45" s="1796">
        <f t="shared" si="11"/>
        <v>111</v>
      </c>
      <c r="R45" s="769" t="s">
        <v>17</v>
      </c>
      <c r="S45" s="770">
        <f t="shared" si="12"/>
        <v>100</v>
      </c>
      <c r="T45" s="769" t="s">
        <v>17</v>
      </c>
      <c r="U45" s="770">
        <f t="shared" si="13"/>
        <v>100</v>
      </c>
      <c r="V45" s="769" t="s">
        <v>17</v>
      </c>
      <c r="W45" s="770">
        <f t="shared" si="14"/>
        <v>100</v>
      </c>
      <c r="X45" s="771"/>
      <c r="Y45" s="3355"/>
      <c r="Z45" s="55">
        <f t="shared" si="15"/>
        <v>111</v>
      </c>
      <c r="AA45" s="772">
        <f t="shared" si="3"/>
        <v>1</v>
      </c>
      <c r="AB45" s="772">
        <f t="shared" si="4"/>
        <v>1</v>
      </c>
      <c r="AC45" s="2668">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353"/>
      <c r="Q46" s="1811">
        <f t="shared" si="11"/>
        <v>111</v>
      </c>
      <c r="R46" s="773" t="s">
        <v>17</v>
      </c>
      <c r="S46" s="774">
        <f t="shared" si="12"/>
        <v>100</v>
      </c>
      <c r="T46" s="773" t="s">
        <v>17</v>
      </c>
      <c r="U46" s="774">
        <f t="shared" si="13"/>
        <v>100</v>
      </c>
      <c r="V46" s="773" t="s">
        <v>17</v>
      </c>
      <c r="W46" s="774">
        <f t="shared" si="14"/>
        <v>100</v>
      </c>
      <c r="X46" s="1814"/>
      <c r="Y46" s="3355"/>
      <c r="Z46" s="1815">
        <f t="shared" si="15"/>
        <v>111</v>
      </c>
      <c r="AA46" s="1812">
        <f t="shared" si="3"/>
        <v>1</v>
      </c>
      <c r="AB46" s="1812">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354"/>
      <c r="Q47" s="1811">
        <f t="shared" si="11"/>
        <v>111</v>
      </c>
      <c r="R47" s="773" t="s">
        <v>17</v>
      </c>
      <c r="S47" s="774">
        <f t="shared" si="12"/>
        <v>100</v>
      </c>
      <c r="T47" s="773" t="s">
        <v>17</v>
      </c>
      <c r="U47" s="774">
        <f t="shared" si="13"/>
        <v>100</v>
      </c>
      <c r="V47" s="773" t="s">
        <v>17</v>
      </c>
      <c r="W47" s="774">
        <f t="shared" si="14"/>
        <v>100</v>
      </c>
      <c r="X47" s="1814"/>
      <c r="Y47" s="3356"/>
      <c r="Z47" s="1815">
        <f t="shared" si="15"/>
        <v>111</v>
      </c>
      <c r="AA47" s="1812">
        <f t="shared" si="3"/>
        <v>1</v>
      </c>
      <c r="AB47" s="1812">
        <f t="shared" si="4"/>
        <v>1</v>
      </c>
      <c r="AC47" s="2671">
        <f t="shared" si="5"/>
        <v>1</v>
      </c>
    </row>
    <row r="48" spans="1:29" ht="15">
      <c r="A48" s="478" t="s">
        <v>2562</v>
      </c>
      <c r="B48" s="479"/>
      <c r="C48" s="1408" t="s">
        <v>1</v>
      </c>
      <c r="D48" s="1409"/>
      <c r="E48" s="1410"/>
      <c r="F48" s="1411"/>
      <c r="G48" s="1412"/>
      <c r="H48" s="1413"/>
      <c r="I48" s="1410"/>
      <c r="J48" s="484"/>
      <c r="K48" s="782"/>
      <c r="L48" s="1144"/>
      <c r="M48" s="1132"/>
      <c r="N48" s="1132"/>
      <c r="O48" s="1132"/>
      <c r="P48" s="3330" t="str">
        <f>A48</f>
        <v>成交单价（元/平方米）</v>
      </c>
      <c r="Q48" s="3348"/>
      <c r="R48" s="3349">
        <f>E48</f>
        <v>0</v>
      </c>
      <c r="S48" s="3349"/>
      <c r="T48" s="3349">
        <f>G48</f>
        <v>0</v>
      </c>
      <c r="U48" s="3349"/>
      <c r="V48" s="3349">
        <f>I48</f>
        <v>0</v>
      </c>
      <c r="W48" s="3349"/>
      <c r="X48" s="445"/>
      <c r="Y48" s="780"/>
      <c r="Z48" s="445"/>
      <c r="AA48" s="445"/>
      <c r="AB48" s="445"/>
      <c r="AC48" s="629"/>
    </row>
    <row r="49" spans="1:29" ht="15.75" thickBot="1">
      <c r="A49" s="485" t="s">
        <v>2654</v>
      </c>
      <c r="B49" s="486"/>
      <c r="C49" s="1414" t="e">
        <f>R50</f>
        <v>#DIV/0!</v>
      </c>
      <c r="D49" s="1415"/>
      <c r="E49" s="1416" t="e">
        <f>R49</f>
        <v>#DIV/0!</v>
      </c>
      <c r="F49" s="1416"/>
      <c r="G49" s="1414" t="e">
        <f>T49</f>
        <v>#DIV/0!</v>
      </c>
      <c r="H49" s="1415"/>
      <c r="I49" s="1416" t="e">
        <f>V49</f>
        <v>#DIV/0!</v>
      </c>
      <c r="J49" s="488"/>
      <c r="K49" s="783"/>
      <c r="L49" s="1144"/>
      <c r="M49" s="1132"/>
      <c r="N49" s="1132"/>
      <c r="O49" s="1132"/>
      <c r="P49" s="3330" t="str">
        <f>A49</f>
        <v>比较价值（元/平方米）</v>
      </c>
      <c r="Q49" s="3348"/>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45"/>
      <c r="Y49" s="445"/>
      <c r="Z49" s="445"/>
      <c r="AA49" s="445"/>
      <c r="AB49" s="445"/>
      <c r="AC49" s="629"/>
    </row>
    <row r="50" spans="1:29" ht="15.75" thickBot="1">
      <c r="A50" s="491" t="s">
        <v>2655</v>
      </c>
      <c r="B50" s="492"/>
      <c r="C50" s="1418" t="e">
        <f>R50</f>
        <v>#DIV/0!</v>
      </c>
      <c r="D50" s="1418"/>
      <c r="E50" s="1418"/>
      <c r="F50" s="1418"/>
      <c r="G50" s="1418"/>
      <c r="H50" s="1418"/>
      <c r="I50" s="1418"/>
      <c r="J50" s="493"/>
      <c r="K50" s="784"/>
      <c r="L50" s="1144"/>
      <c r="M50" s="1132"/>
      <c r="N50" s="1132"/>
      <c r="O50" s="1132"/>
      <c r="P50" s="3371" t="str">
        <f>A50</f>
        <v>估价对象XX用房的比较价值（楼面单价，元/平方米）</v>
      </c>
      <c r="Q50" s="3372"/>
      <c r="R50" s="3373" t="e">
        <f>IF(F1="售价",ROUND(AVERAGE(R49:V49),0),ROUND(AVERAGE(R49:V49),1))</f>
        <v>#DIV/0!</v>
      </c>
      <c r="S50" s="3373"/>
      <c r="T50" s="3373"/>
      <c r="U50" s="3373"/>
      <c r="V50" s="3373"/>
      <c r="W50" s="3373"/>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7"/>
    </row>
    <row r="56" spans="1:29" s="501"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2659</v>
      </c>
      <c r="B58" s="758"/>
      <c r="C58" s="763"/>
      <c r="D58" s="763"/>
      <c r="E58" s="763"/>
      <c r="F58" s="764"/>
      <c r="G58" s="764"/>
      <c r="H58" s="763"/>
      <c r="I58" s="763"/>
      <c r="J58" s="763"/>
      <c r="K58" s="765"/>
      <c r="L58" s="1162"/>
      <c r="M58" s="1160"/>
      <c r="N58" s="1160"/>
      <c r="O58" s="1160"/>
      <c r="P58" s="2678"/>
      <c r="Q58" s="503"/>
    </row>
    <row r="59" spans="1:29" s="507" customFormat="1" ht="15">
      <c r="A59" s="504" t="s">
        <v>2533</v>
      </c>
      <c r="B59" s="505"/>
      <c r="C59" s="1575" t="str">
        <f>YEAR(C7)&amp;"-"&amp;MONTH(C7)</f>
        <v>2018-2</v>
      </c>
      <c r="D59" s="1576">
        <f>EDATE(C59,-1)</f>
        <v>43101</v>
      </c>
      <c r="E59" s="1576">
        <f>EDATE(D59,-1)</f>
        <v>43070</v>
      </c>
      <c r="F59" s="1576">
        <f t="shared" ref="F59:O59" si="16">EDATE(E59,-1)</f>
        <v>43040</v>
      </c>
      <c r="G59" s="1576">
        <f t="shared" si="16"/>
        <v>43009</v>
      </c>
      <c r="H59" s="1576">
        <f t="shared" si="16"/>
        <v>42979</v>
      </c>
      <c r="I59" s="1576">
        <f t="shared" si="16"/>
        <v>42948</v>
      </c>
      <c r="J59" s="1576">
        <f t="shared" si="16"/>
        <v>42917</v>
      </c>
      <c r="K59" s="1576">
        <f t="shared" si="16"/>
        <v>42887</v>
      </c>
      <c r="L59" s="1576">
        <f t="shared" si="16"/>
        <v>42856</v>
      </c>
      <c r="M59" s="1576">
        <f t="shared" si="16"/>
        <v>42826</v>
      </c>
      <c r="N59" s="1576">
        <f t="shared" si="16"/>
        <v>42795</v>
      </c>
      <c r="O59" s="1576">
        <f t="shared" si="16"/>
        <v>42767</v>
      </c>
      <c r="P59" s="1572"/>
    </row>
    <row r="60" spans="1:29" s="117" customFormat="1" ht="15">
      <c r="A60" s="508"/>
      <c r="B60" s="509"/>
      <c r="C60" s="1574">
        <v>100</v>
      </c>
      <c r="D60" s="511"/>
      <c r="E60" s="511"/>
      <c r="F60" s="511"/>
      <c r="G60" s="511"/>
      <c r="H60" s="511"/>
      <c r="I60" s="511"/>
      <c r="J60" s="511"/>
      <c r="K60" s="511"/>
      <c r="L60" s="511"/>
      <c r="M60" s="512"/>
      <c r="N60" s="511"/>
      <c r="O60" s="512"/>
      <c r="P60" s="2679"/>
    </row>
    <row r="61" spans="1:29" s="117" customFormat="1" ht="15.75" thickBot="1">
      <c r="A61" s="514" t="s">
        <v>2570</v>
      </c>
      <c r="B61" s="515"/>
      <c r="C61" s="516"/>
      <c r="D61" s="517"/>
      <c r="E61" s="517"/>
      <c r="F61" s="517"/>
      <c r="G61" s="517"/>
      <c r="H61" s="517"/>
      <c r="I61" s="517"/>
      <c r="J61" s="517"/>
      <c r="K61" s="517"/>
      <c r="L61" s="517"/>
      <c r="M61" s="518"/>
      <c r="N61" s="517"/>
      <c r="O61" s="518"/>
      <c r="P61" s="2679"/>
      <c r="Q61" s="503"/>
    </row>
    <row r="62" spans="1:29" s="117" customFormat="1" ht="15">
      <c r="A62" s="520" t="s">
        <v>2535</v>
      </c>
      <c r="B62" s="509"/>
      <c r="C62" s="521" t="s">
        <v>2637</v>
      </c>
      <c r="D62" s="522"/>
      <c r="E62" s="522"/>
      <c r="F62" s="522"/>
      <c r="G62" s="522"/>
      <c r="H62" s="522"/>
      <c r="I62" s="522"/>
      <c r="J62" s="522"/>
      <c r="K62" s="522"/>
      <c r="L62" s="523"/>
      <c r="M62" s="524"/>
      <c r="N62" s="1152"/>
      <c r="O62" s="1152"/>
      <c r="P62" s="2680"/>
      <c r="Q62" s="503"/>
    </row>
    <row r="63" spans="1:29" s="117" customFormat="1" ht="15.75" thickBot="1">
      <c r="A63" s="520"/>
      <c r="B63" s="509"/>
      <c r="C63" s="510">
        <v>100</v>
      </c>
      <c r="D63" s="511"/>
      <c r="E63" s="511"/>
      <c r="F63" s="511"/>
      <c r="G63" s="511"/>
      <c r="H63" s="511"/>
      <c r="I63" s="511"/>
      <c r="J63" s="511"/>
      <c r="K63" s="511"/>
      <c r="L63" s="511"/>
      <c r="M63" s="513"/>
      <c r="N63" s="1152"/>
      <c r="O63" s="1152"/>
      <c r="P63" s="2679"/>
      <c r="Q63" s="503"/>
    </row>
    <row r="64" spans="1:29">
      <c r="A64" s="526" t="s">
        <v>2573</v>
      </c>
      <c r="B64" s="527" t="s">
        <v>2539</v>
      </c>
      <c r="C64" s="528">
        <f>C9</f>
        <v>0</v>
      </c>
      <c r="D64" s="529"/>
      <c r="E64" s="529"/>
      <c r="F64" s="529"/>
      <c r="G64" s="529"/>
      <c r="H64" s="529"/>
      <c r="I64" s="529"/>
      <c r="J64" s="529"/>
      <c r="K64" s="530"/>
      <c r="L64" s="531"/>
      <c r="M64" s="532"/>
      <c r="N64" s="1153"/>
      <c r="O64" s="1153"/>
      <c r="P64" s="2681"/>
      <c r="Q64" s="503"/>
    </row>
    <row r="65" spans="1:17" ht="15.75" thickBot="1">
      <c r="A65" s="533"/>
      <c r="B65" s="534"/>
      <c r="C65" s="535">
        <v>100</v>
      </c>
      <c r="D65" s="535"/>
      <c r="E65" s="535"/>
      <c r="F65" s="535"/>
      <c r="G65" s="535"/>
      <c r="H65" s="535"/>
      <c r="I65" s="535"/>
      <c r="J65" s="535"/>
      <c r="K65" s="535"/>
      <c r="L65" s="535"/>
      <c r="M65" s="536"/>
      <c r="N65" s="1154"/>
      <c r="O65" s="1154"/>
      <c r="P65" s="2681"/>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3"/>
      <c r="O66" s="1153"/>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1"/>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1"/>
      <c r="Q68" s="503"/>
    </row>
    <row r="69" spans="1:17" ht="15">
      <c r="A69" s="533"/>
      <c r="B69" s="547"/>
      <c r="C69" s="548"/>
      <c r="D69" s="548"/>
      <c r="E69" s="548"/>
      <c r="F69" s="548"/>
      <c r="G69" s="548"/>
      <c r="H69" s="548"/>
      <c r="I69" s="548"/>
      <c r="J69" s="548"/>
      <c r="K69" s="549"/>
      <c r="L69" s="550"/>
      <c r="M69" s="551"/>
      <c r="N69" s="1153"/>
      <c r="O69" s="1153"/>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1"/>
      <c r="Q70" s="503"/>
    </row>
    <row r="71" spans="1:17" s="470" customFormat="1" ht="15.75" thickTop="1">
      <c r="A71" s="552"/>
      <c r="B71" s="537">
        <f>B12</f>
        <v>111</v>
      </c>
      <c r="C71" s="553"/>
      <c r="D71" s="553"/>
      <c r="E71" s="553"/>
      <c r="F71" s="553"/>
      <c r="G71" s="553"/>
      <c r="H71" s="554"/>
      <c r="I71" s="554"/>
      <c r="J71" s="554"/>
      <c r="K71" s="554"/>
      <c r="L71" s="555"/>
      <c r="M71" s="556"/>
      <c r="N71" s="1155"/>
      <c r="O71" s="1155"/>
      <c r="P71" s="2682"/>
      <c r="Q71" s="558"/>
    </row>
    <row r="72" spans="1:17" s="470" customFormat="1" ht="15.75" thickBot="1">
      <c r="A72" s="552"/>
      <c r="B72" s="542"/>
      <c r="C72" s="559"/>
      <c r="D72" s="535"/>
      <c r="E72" s="535"/>
      <c r="F72" s="535"/>
      <c r="G72" s="535"/>
      <c r="H72" s="535"/>
      <c r="I72" s="535"/>
      <c r="J72" s="535"/>
      <c r="K72" s="535"/>
      <c r="L72" s="535"/>
      <c r="M72" s="536"/>
      <c r="N72" s="1154"/>
      <c r="O72" s="1154"/>
      <c r="P72" s="2682"/>
      <c r="Q72" s="558"/>
    </row>
    <row r="73" spans="1:17" s="470" customFormat="1" ht="15.75" thickTop="1">
      <c r="A73" s="552"/>
      <c r="B73" s="537">
        <f>B13</f>
        <v>111</v>
      </c>
      <c r="C73" s="553"/>
      <c r="D73" s="553"/>
      <c r="E73" s="553"/>
      <c r="F73" s="553"/>
      <c r="G73" s="553"/>
      <c r="H73" s="554"/>
      <c r="I73" s="554"/>
      <c r="J73" s="554"/>
      <c r="K73" s="554"/>
      <c r="L73" s="555"/>
      <c r="M73" s="556"/>
      <c r="N73" s="1155"/>
      <c r="O73" s="1155"/>
      <c r="P73" s="2683"/>
      <c r="Q73" s="560"/>
    </row>
    <row r="74" spans="1:17" s="470" customFormat="1" ht="15.75" thickBot="1">
      <c r="A74" s="552"/>
      <c r="B74" s="542"/>
      <c r="C74" s="559"/>
      <c r="D74" s="559"/>
      <c r="E74" s="559"/>
      <c r="F74" s="559"/>
      <c r="G74" s="559"/>
      <c r="H74" s="561"/>
      <c r="I74" s="561"/>
      <c r="J74" s="561"/>
      <c r="K74" s="561"/>
      <c r="L74" s="561"/>
      <c r="M74" s="562"/>
      <c r="N74" s="1155"/>
      <c r="O74" s="1155"/>
      <c r="P74" s="2682"/>
      <c r="Q74" s="558"/>
    </row>
    <row r="75" spans="1:17" s="470" customFormat="1" ht="15.75" thickTop="1">
      <c r="A75" s="552"/>
      <c r="B75" s="545">
        <f>B14</f>
        <v>111</v>
      </c>
      <c r="C75" s="522"/>
      <c r="D75" s="522"/>
      <c r="E75" s="522"/>
      <c r="F75" s="522"/>
      <c r="G75" s="522"/>
      <c r="H75" s="563"/>
      <c r="I75" s="563"/>
      <c r="J75" s="563"/>
      <c r="K75" s="563"/>
      <c r="L75" s="564"/>
      <c r="M75" s="565"/>
      <c r="N75" s="1155"/>
      <c r="O75" s="1155"/>
      <c r="P75" s="2684"/>
      <c r="Q75" s="558"/>
    </row>
    <row r="76" spans="1:17" s="470" customFormat="1" ht="15.75" thickBot="1">
      <c r="A76" s="567"/>
      <c r="B76" s="568"/>
      <c r="C76" s="569"/>
      <c r="D76" s="569"/>
      <c r="E76" s="569"/>
      <c r="F76" s="569"/>
      <c r="G76" s="569"/>
      <c r="H76" s="570"/>
      <c r="I76" s="570"/>
      <c r="J76" s="570"/>
      <c r="K76" s="570"/>
      <c r="L76" s="570"/>
      <c r="M76" s="571"/>
      <c r="N76" s="1155"/>
      <c r="O76" s="1155"/>
      <c r="P76" s="2682"/>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3"/>
      <c r="O77" s="1153"/>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1"/>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3"/>
      <c r="O79" s="1153"/>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1"/>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3"/>
      <c r="O81" s="1153"/>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1"/>
      <c r="Q82" s="503"/>
    </row>
    <row r="83" spans="1:17" ht="15.75" thickTop="1">
      <c r="A83" s="533"/>
      <c r="B83" s="545" t="s">
        <v>2674</v>
      </c>
      <c r="C83" s="659" t="s">
        <v>2660</v>
      </c>
      <c r="D83" s="659" t="s">
        <v>2661</v>
      </c>
      <c r="E83" s="659" t="s">
        <v>2662</v>
      </c>
      <c r="F83" s="659" t="s">
        <v>2663</v>
      </c>
      <c r="G83" s="659" t="s">
        <v>2664</v>
      </c>
      <c r="H83" s="538"/>
      <c r="I83" s="538"/>
      <c r="J83" s="538"/>
      <c r="K83" s="538"/>
      <c r="L83" s="538"/>
      <c r="M83" s="1383"/>
      <c r="N83" s="1154"/>
      <c r="O83" s="1154"/>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1"/>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3"/>
      <c r="O85" s="1153"/>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1"/>
      <c r="Q86" s="503"/>
    </row>
    <row r="87" spans="1:17" s="117" customFormat="1" ht="27.75" thickTop="1">
      <c r="A87" s="578"/>
      <c r="B87" s="537" t="s">
        <v>2684</v>
      </c>
      <c r="C87" s="553"/>
      <c r="D87" s="553"/>
      <c r="E87" s="553"/>
      <c r="F87" s="553"/>
      <c r="G87" s="553"/>
      <c r="H87" s="553"/>
      <c r="I87" s="553"/>
      <c r="J87" s="553"/>
      <c r="K87" s="553"/>
      <c r="L87" s="579"/>
      <c r="M87" s="580"/>
      <c r="N87" s="1152"/>
      <c r="O87" s="1152"/>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1"/>
      <c r="Q88" s="503"/>
    </row>
    <row r="89" spans="1:17" s="117" customFormat="1" ht="15.75" thickTop="1">
      <c r="A89" s="578"/>
      <c r="B89" s="537" t="str">
        <f>B27</f>
        <v>楼层</v>
      </c>
      <c r="C89" s="553"/>
      <c r="D89" s="553"/>
      <c r="E89" s="553"/>
      <c r="F89" s="2632"/>
      <c r="G89" s="553"/>
      <c r="H89" s="553"/>
      <c r="I89" s="553"/>
      <c r="J89" s="553"/>
      <c r="K89" s="553"/>
      <c r="L89" s="553"/>
      <c r="M89" s="580"/>
      <c r="N89" s="1152"/>
      <c r="O89" s="1152"/>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1"/>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2"/>
      <c r="Q92" s="558"/>
    </row>
    <row r="93" spans="1:17" ht="15.75" thickTop="1">
      <c r="A93" s="533"/>
      <c r="B93" s="537">
        <f>B29</f>
        <v>111</v>
      </c>
      <c r="C93" s="553"/>
      <c r="D93" s="553"/>
      <c r="E93" s="553"/>
      <c r="F93" s="553"/>
      <c r="G93" s="553"/>
      <c r="H93" s="553"/>
      <c r="I93" s="553"/>
      <c r="J93" s="553"/>
      <c r="K93" s="553"/>
      <c r="L93" s="579"/>
      <c r="M93" s="580"/>
      <c r="N93" s="1153"/>
      <c r="O93" s="1153"/>
      <c r="P93" s="2681"/>
      <c r="Q93" s="503"/>
    </row>
    <row r="94" spans="1:17" ht="15.75" thickBot="1">
      <c r="A94" s="533"/>
      <c r="B94" s="542"/>
      <c r="C94" s="559"/>
      <c r="D94" s="535"/>
      <c r="E94" s="535"/>
      <c r="F94" s="535"/>
      <c r="G94" s="535"/>
      <c r="H94" s="535"/>
      <c r="I94" s="535"/>
      <c r="J94" s="535"/>
      <c r="K94" s="535"/>
      <c r="L94" s="535"/>
      <c r="M94" s="536"/>
      <c r="N94" s="1154"/>
      <c r="O94" s="1154"/>
      <c r="P94" s="2681"/>
      <c r="Q94" s="503"/>
    </row>
    <row r="95" spans="1:17" ht="15.75" thickTop="1">
      <c r="A95" s="533"/>
      <c r="B95" s="537">
        <f>B30</f>
        <v>111</v>
      </c>
      <c r="C95" s="553"/>
      <c r="D95" s="553"/>
      <c r="E95" s="553"/>
      <c r="F95" s="553"/>
      <c r="G95" s="582"/>
      <c r="H95" s="582"/>
      <c r="I95" s="582"/>
      <c r="J95" s="582"/>
      <c r="K95" s="583"/>
      <c r="L95" s="584"/>
      <c r="M95" s="585"/>
      <c r="N95" s="1153"/>
      <c r="O95" s="1153"/>
      <c r="P95" s="2681"/>
      <c r="Q95" s="503"/>
    </row>
    <row r="96" spans="1:17" ht="15.75" thickBot="1">
      <c r="A96" s="533"/>
      <c r="B96" s="542"/>
      <c r="C96" s="559"/>
      <c r="D96" s="559"/>
      <c r="E96" s="559"/>
      <c r="F96" s="559"/>
      <c r="G96" s="535"/>
      <c r="H96" s="535"/>
      <c r="I96" s="535"/>
      <c r="J96" s="535"/>
      <c r="K96" s="535"/>
      <c r="L96" s="535"/>
      <c r="M96" s="536"/>
      <c r="N96" s="1154"/>
      <c r="O96" s="1154"/>
      <c r="P96" s="2681"/>
      <c r="Q96" s="503"/>
    </row>
    <row r="97" spans="1:17" ht="15.75" thickTop="1">
      <c r="A97" s="533"/>
      <c r="B97" s="537">
        <f>B31</f>
        <v>111</v>
      </c>
      <c r="C97" s="553"/>
      <c r="D97" s="553"/>
      <c r="E97" s="553"/>
      <c r="F97" s="553"/>
      <c r="G97" s="582"/>
      <c r="H97" s="582"/>
      <c r="I97" s="582"/>
      <c r="J97" s="582"/>
      <c r="K97" s="583"/>
      <c r="L97" s="584"/>
      <c r="M97" s="585"/>
      <c r="N97" s="1153"/>
      <c r="O97" s="1153"/>
      <c r="P97" s="2681"/>
      <c r="Q97" s="503"/>
    </row>
    <row r="98" spans="1:17" ht="15.75" thickBot="1">
      <c r="A98" s="533"/>
      <c r="B98" s="542"/>
      <c r="C98" s="559"/>
      <c r="D98" s="535"/>
      <c r="E98" s="535"/>
      <c r="F98" s="535"/>
      <c r="G98" s="535"/>
      <c r="H98" s="535"/>
      <c r="I98" s="535"/>
      <c r="J98" s="535"/>
      <c r="K98" s="535"/>
      <c r="L98" s="535"/>
      <c r="M98" s="536"/>
      <c r="N98" s="1154"/>
      <c r="O98" s="1154"/>
      <c r="P98" s="2681"/>
      <c r="Q98" s="503"/>
    </row>
    <row r="99" spans="1:17" ht="15.75" thickTop="1">
      <c r="A99" s="533"/>
      <c r="B99" s="545">
        <f>B32</f>
        <v>111</v>
      </c>
      <c r="C99" s="522"/>
      <c r="D99" s="522"/>
      <c r="E99" s="522"/>
      <c r="F99" s="522"/>
      <c r="G99" s="586"/>
      <c r="H99" s="586"/>
      <c r="I99" s="586"/>
      <c r="J99" s="586"/>
      <c r="K99" s="587"/>
      <c r="L99" s="588"/>
      <c r="M99" s="589"/>
      <c r="N99" s="1153"/>
      <c r="O99" s="1153"/>
      <c r="P99" s="2681"/>
      <c r="Q99" s="503"/>
    </row>
    <row r="100" spans="1:17" ht="15.75" thickBot="1">
      <c r="A100" s="2633"/>
      <c r="B100" s="568"/>
      <c r="C100" s="569"/>
      <c r="D100" s="569"/>
      <c r="E100" s="569"/>
      <c r="F100" s="569"/>
      <c r="G100" s="590"/>
      <c r="H100" s="590"/>
      <c r="I100" s="590"/>
      <c r="J100" s="590"/>
      <c r="K100" s="590"/>
      <c r="L100" s="590"/>
      <c r="M100" s="591"/>
      <c r="N100" s="1154"/>
      <c r="O100" s="1154"/>
      <c r="P100" s="2681"/>
      <c r="Q100" s="503"/>
    </row>
    <row r="101" spans="1:17">
      <c r="A101" s="526" t="s">
        <v>2548</v>
      </c>
      <c r="B101" s="527" t="s">
        <v>2597</v>
      </c>
      <c r="C101" s="529"/>
      <c r="D101" s="529"/>
      <c r="E101" s="529"/>
      <c r="F101" s="529"/>
      <c r="G101" s="529"/>
      <c r="H101" s="529"/>
      <c r="I101" s="529"/>
      <c r="J101" s="529"/>
      <c r="K101" s="530"/>
      <c r="L101" s="531"/>
      <c r="M101" s="532"/>
      <c r="N101" s="1153"/>
      <c r="O101" s="1153"/>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1"/>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1"/>
      <c r="Q103" s="503"/>
    </row>
    <row r="104" spans="1:17" s="470" customFormat="1">
      <c r="A104" s="592"/>
      <c r="B104" s="593"/>
      <c r="C104" s="594"/>
      <c r="D104" s="594"/>
      <c r="E104" s="594"/>
      <c r="F104" s="594"/>
      <c r="G104" s="594"/>
      <c r="H104" s="594"/>
      <c r="I104" s="594"/>
      <c r="J104" s="595"/>
      <c r="K104" s="595"/>
      <c r="L104" s="596"/>
      <c r="M104" s="597"/>
      <c r="N104" s="1155"/>
      <c r="O104" s="1155"/>
      <c r="P104" s="2682"/>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2"/>
      <c r="Q105" s="558"/>
    </row>
    <row r="106" spans="1:17" ht="15" thickTop="1">
      <c r="A106" s="598"/>
      <c r="B106" s="537" t="s">
        <v>2599</v>
      </c>
      <c r="C106" s="553"/>
      <c r="D106" s="553"/>
      <c r="E106" s="582"/>
      <c r="F106" s="582"/>
      <c r="G106" s="582"/>
      <c r="H106" s="582"/>
      <c r="I106" s="582"/>
      <c r="J106" s="582"/>
      <c r="K106" s="583"/>
      <c r="L106" s="584"/>
      <c r="M106" s="585"/>
      <c r="N106" s="1153"/>
      <c r="O106" s="1153"/>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1"/>
      <c r="Q107" s="503"/>
    </row>
    <row r="108" spans="1:17" ht="15" thickTop="1">
      <c r="A108" s="598"/>
      <c r="B108" s="537" t="s">
        <v>2601</v>
      </c>
      <c r="C108" s="553"/>
      <c r="D108" s="553"/>
      <c r="E108" s="553"/>
      <c r="F108" s="582"/>
      <c r="G108" s="582"/>
      <c r="H108" s="582"/>
      <c r="I108" s="582"/>
      <c r="J108" s="582"/>
      <c r="K108" s="583"/>
      <c r="L108" s="584"/>
      <c r="M108" s="585"/>
      <c r="N108" s="1153"/>
      <c r="O108" s="1153"/>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1"/>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1"/>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1"/>
      <c r="Q112" s="503"/>
    </row>
    <row r="113" spans="1:17" s="470" customFormat="1" ht="15" thickTop="1">
      <c r="A113" s="592"/>
      <c r="B113" s="537" t="s">
        <v>2685</v>
      </c>
      <c r="C113" s="553"/>
      <c r="D113" s="553"/>
      <c r="E113" s="553"/>
      <c r="F113" s="553"/>
      <c r="G113" s="553"/>
      <c r="H113" s="582"/>
      <c r="I113" s="582"/>
      <c r="J113" s="582"/>
      <c r="K113" s="583"/>
      <c r="L113" s="584"/>
      <c r="M113" s="585"/>
      <c r="N113" s="1155"/>
      <c r="O113" s="1155"/>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2"/>
      <c r="Q114" s="558"/>
    </row>
    <row r="115" spans="1:17" ht="15" thickTop="1">
      <c r="A115" s="598"/>
      <c r="B115" s="537" t="s">
        <v>2602</v>
      </c>
      <c r="C115" s="553"/>
      <c r="D115" s="553"/>
      <c r="E115" s="582"/>
      <c r="F115" s="582"/>
      <c r="G115" s="582"/>
      <c r="H115" s="582"/>
      <c r="I115" s="582"/>
      <c r="J115" s="582"/>
      <c r="K115" s="583"/>
      <c r="L115" s="584"/>
      <c r="M115" s="585"/>
      <c r="N115" s="1153"/>
      <c r="O115" s="1153"/>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1"/>
      <c r="Q116" s="503"/>
    </row>
    <row r="117" spans="1:17" ht="15" thickTop="1">
      <c r="A117" s="598"/>
      <c r="B117" s="537" t="s">
        <v>2603</v>
      </c>
      <c r="C117" s="553"/>
      <c r="D117" s="553"/>
      <c r="E117" s="553"/>
      <c r="F117" s="553"/>
      <c r="G117" s="553"/>
      <c r="H117" s="582"/>
      <c r="I117" s="582"/>
      <c r="J117" s="582"/>
      <c r="K117" s="583"/>
      <c r="L117" s="584"/>
      <c r="M117" s="585"/>
      <c r="N117" s="1153"/>
      <c r="O117" s="1153"/>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1"/>
      <c r="Q118" s="503"/>
    </row>
    <row r="119" spans="1:17" ht="15" thickTop="1">
      <c r="A119" s="598"/>
      <c r="B119" s="635" t="s">
        <v>2686</v>
      </c>
      <c r="C119" s="582"/>
      <c r="D119" s="582"/>
      <c r="E119" s="582"/>
      <c r="F119" s="582"/>
      <c r="G119" s="582"/>
      <c r="H119" s="582"/>
      <c r="I119" s="582"/>
      <c r="J119" s="582"/>
      <c r="K119" s="582"/>
      <c r="L119" s="2686"/>
      <c r="M119" s="2687"/>
      <c r="N119" s="1154"/>
      <c r="O119" s="1154"/>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1"/>
      <c r="Q120" s="503"/>
    </row>
    <row r="121" spans="1:17" s="470" customFormat="1" ht="15" thickTop="1">
      <c r="A121" s="592"/>
      <c r="B121" s="537" t="s">
        <v>2669</v>
      </c>
      <c r="C121" s="553"/>
      <c r="D121" s="553"/>
      <c r="E121" s="553"/>
      <c r="F121" s="582"/>
      <c r="G121" s="554"/>
      <c r="H121" s="554"/>
      <c r="I121" s="554"/>
      <c r="J121" s="554"/>
      <c r="K121" s="554"/>
      <c r="L121" s="555"/>
      <c r="M121" s="556"/>
      <c r="N121" s="1155"/>
      <c r="O121" s="1155"/>
      <c r="P121" s="2682"/>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2"/>
      <c r="Q122" s="558"/>
    </row>
    <row r="123" spans="1:17" ht="15" thickTop="1">
      <c r="A123" s="598"/>
      <c r="B123" s="537" t="s">
        <v>2605</v>
      </c>
      <c r="C123" s="553"/>
      <c r="D123" s="553"/>
      <c r="E123" s="553"/>
      <c r="F123" s="582"/>
      <c r="G123" s="582"/>
      <c r="H123" s="582"/>
      <c r="I123" s="582"/>
      <c r="J123" s="582"/>
      <c r="K123" s="583"/>
      <c r="L123" s="584"/>
      <c r="M123" s="585"/>
      <c r="N123" s="1153"/>
      <c r="O123" s="1153"/>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1"/>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3"/>
      <c r="O125" s="1153"/>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1"/>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2"/>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2"/>
      <c r="Q128" s="558"/>
    </row>
    <row r="129" spans="1:17" ht="15" thickTop="1">
      <c r="A129" s="598"/>
      <c r="B129" s="537">
        <f>B46</f>
        <v>111</v>
      </c>
      <c r="C129" s="553"/>
      <c r="D129" s="553"/>
      <c r="E129" s="553"/>
      <c r="F129" s="553"/>
      <c r="G129" s="582"/>
      <c r="H129" s="582"/>
      <c r="I129" s="582"/>
      <c r="J129" s="582"/>
      <c r="K129" s="583"/>
      <c r="L129" s="584"/>
      <c r="M129" s="585"/>
      <c r="N129" s="1153"/>
      <c r="O129" s="1153"/>
      <c r="P129" s="2681"/>
      <c r="Q129" s="503"/>
    </row>
    <row r="130" spans="1:17" ht="15.75" thickBot="1">
      <c r="A130" s="533"/>
      <c r="B130" s="542"/>
      <c r="C130" s="559"/>
      <c r="D130" s="559"/>
      <c r="E130" s="559"/>
      <c r="F130" s="559"/>
      <c r="G130" s="535"/>
      <c r="H130" s="535"/>
      <c r="I130" s="535"/>
      <c r="J130" s="535"/>
      <c r="K130" s="535"/>
      <c r="L130" s="535"/>
      <c r="M130" s="536"/>
      <c r="N130" s="1154"/>
      <c r="O130" s="1154"/>
      <c r="P130" s="2681"/>
      <c r="Q130" s="503"/>
    </row>
    <row r="131" spans="1:17" ht="15" thickTop="1">
      <c r="A131" s="598"/>
      <c r="B131" s="545">
        <f>B47</f>
        <v>111</v>
      </c>
      <c r="C131" s="522"/>
      <c r="D131" s="522"/>
      <c r="E131" s="522"/>
      <c r="F131" s="522"/>
      <c r="G131" s="586"/>
      <c r="H131" s="586"/>
      <c r="I131" s="586"/>
      <c r="J131" s="586"/>
      <c r="K131" s="522"/>
      <c r="L131" s="523"/>
      <c r="M131" s="589"/>
      <c r="N131" s="1153"/>
      <c r="O131" s="1153"/>
      <c r="P131" s="2681"/>
      <c r="Q131" s="503"/>
    </row>
    <row r="132" spans="1:17" ht="15.75" thickBot="1">
      <c r="A132" s="2633"/>
      <c r="B132" s="568"/>
      <c r="C132" s="569"/>
      <c r="D132" s="569"/>
      <c r="E132" s="569"/>
      <c r="F132" s="569"/>
      <c r="G132" s="590"/>
      <c r="H132" s="590"/>
      <c r="I132" s="590"/>
      <c r="J132" s="590"/>
      <c r="K132" s="590"/>
      <c r="L132" s="590"/>
      <c r="M132" s="591"/>
      <c r="N132" s="1154"/>
      <c r="O132" s="1154"/>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北京北工药业有限公司：</v>
      </c>
    </row>
    <row r="4" spans="1:1" ht="36">
      <c r="A4" s="1949" t="str">
        <f>"受贵公司委托，我公司对"&amp;项目基本情况!S1&amp;"进行了预评估。"</f>
        <v>受贵公司委托，我公司对北京市顺义区京密路马坡段西侧房地产抵押价值进行了预评估。</v>
      </c>
    </row>
    <row r="5" spans="1:1" ht="18.75">
      <c r="A5" s="1950" t="s">
        <v>1611</v>
      </c>
    </row>
    <row r="6" spans="1:1" ht="18.75">
      <c r="A6" s="1951" t="s">
        <v>1612</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密路马坡段西侧房地产，为北京北工药业有限公司所有。根据《国有土地使用证》，估价对象（分摊）出让国有建设用地使用权面积为8089.25平方米。根据《房屋所有权证》，估价对象建筑面积为5755.45平方米。</v>
      </c>
    </row>
    <row r="8" spans="1:1" ht="57.75">
      <c r="A8" s="1952" t="s">
        <v>1613</v>
      </c>
    </row>
    <row r="9" spans="1:1" ht="18.75">
      <c r="A9" s="1951" t="s">
        <v>1614</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密路马坡段西侧房地产,为北京北工药业有限公司开发建设的工业项目，该项目尚在开发建设中。根据《国有土地使用证》，估价对象（分摊）出让国有建设用地使用权面积为8089.25平方米。根据《房屋所有权证》，估价对象规划建筑面积为5755.45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2018年2月7日（评估专业人员实地查勘之日）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7日，估价对象规划用途为工业，土地取得方式为出让，出让国有建设用地使用权剩余土地使用年限为50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50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本次评估采用的主估价方法为成本法和收益法。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666" t="s">
        <v>2687</v>
      </c>
      <c r="C1" s="1621" t="s">
        <v>2515</v>
      </c>
      <c r="D1" s="1622"/>
      <c r="E1" s="1631"/>
      <c r="F1" s="2581"/>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19" t="e">
        <f ca="1">IF(C2="——",ROUND(C43*D3/10000,0),ROUND(C43*D3/10000,0)-D2)</f>
        <v>#DIV/0!</v>
      </c>
      <c r="C2" s="2583"/>
      <c r="D2" s="1125" t="e">
        <f ca="1">SUMIF(INDIRECT("'"&amp;F2&amp;"'"&amp;"!A:A"),"承租人权益价值",INDIRECT("'"&amp;F2&amp;"'"&amp;"!c:c"))</f>
        <v>#REF!</v>
      </c>
      <c r="E2" s="2584" t="s">
        <v>2313</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5755.45</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2630</v>
      </c>
      <c r="B4" s="401"/>
      <c r="C4" s="3331" t="s">
        <v>2631</v>
      </c>
      <c r="D4" s="3332"/>
      <c r="E4" s="3333" t="s">
        <v>2632</v>
      </c>
      <c r="F4" s="3334"/>
      <c r="G4" s="3331" t="s">
        <v>2633</v>
      </c>
      <c r="H4" s="3332"/>
      <c r="I4" s="3331" t="s">
        <v>2634</v>
      </c>
      <c r="J4" s="3332"/>
      <c r="K4" s="609" t="s">
        <v>2635</v>
      </c>
      <c r="L4" s="1131"/>
      <c r="M4" s="1132"/>
      <c r="N4" s="1132"/>
      <c r="O4" s="1132"/>
      <c r="P4" s="3335" t="s">
        <v>2636</v>
      </c>
      <c r="Q4" s="3336"/>
      <c r="R4" s="3318" t="s">
        <v>2632</v>
      </c>
      <c r="S4" s="3319"/>
      <c r="T4" s="3318" t="s">
        <v>2633</v>
      </c>
      <c r="U4" s="3319"/>
      <c r="V4" s="3343" t="s">
        <v>2634</v>
      </c>
      <c r="W4" s="3343"/>
      <c r="X4" s="1814"/>
      <c r="Y4" s="3318" t="s">
        <v>2636</v>
      </c>
      <c r="Z4" s="3319"/>
      <c r="AA4" s="3313" t="s">
        <v>2632</v>
      </c>
      <c r="AB4" s="3314" t="s">
        <v>2633</v>
      </c>
      <c r="AC4" s="3313" t="s">
        <v>2634</v>
      </c>
    </row>
    <row r="5" spans="1:29" ht="15">
      <c r="A5" s="403"/>
      <c r="B5" s="404"/>
      <c r="C5" s="3324" t="s">
        <v>2527</v>
      </c>
      <c r="D5" s="3325"/>
      <c r="E5" s="3322" t="s">
        <v>2528</v>
      </c>
      <c r="F5" s="3323"/>
      <c r="G5" s="3324" t="s">
        <v>2529</v>
      </c>
      <c r="H5" s="3325"/>
      <c r="I5" s="3324" t="s">
        <v>2530</v>
      </c>
      <c r="J5" s="3325"/>
      <c r="K5" s="609"/>
      <c r="L5" s="1131"/>
      <c r="M5" s="1132"/>
      <c r="N5" s="1132"/>
      <c r="O5" s="1132"/>
      <c r="P5" s="3337"/>
      <c r="Q5" s="3338"/>
      <c r="R5" s="3320"/>
      <c r="S5" s="3321"/>
      <c r="T5" s="3320"/>
      <c r="U5" s="3321"/>
      <c r="V5" s="3343"/>
      <c r="W5" s="3343"/>
      <c r="X5" s="1814"/>
      <c r="Y5" s="3320"/>
      <c r="Z5" s="3321"/>
      <c r="AA5" s="3314"/>
      <c r="AB5" s="3314"/>
      <c r="AC5" s="3314"/>
    </row>
    <row r="6" spans="1:29" ht="15.75" thickBot="1">
      <c r="A6" s="405"/>
      <c r="B6" s="406"/>
      <c r="C6" s="3326" t="s">
        <v>2531</v>
      </c>
      <c r="D6" s="3327"/>
      <c r="E6" s="3328" t="s">
        <v>2531</v>
      </c>
      <c r="F6" s="3329"/>
      <c r="G6" s="3326" t="s">
        <v>2531</v>
      </c>
      <c r="H6" s="3327"/>
      <c r="I6" s="3326" t="s">
        <v>2531</v>
      </c>
      <c r="J6" s="3327"/>
      <c r="K6" s="609" t="s">
        <v>2532</v>
      </c>
      <c r="L6" s="1131"/>
      <c r="M6" s="1132"/>
      <c r="N6" s="1132"/>
      <c r="O6" s="1132"/>
      <c r="P6" s="3339"/>
      <c r="Q6" s="3340"/>
      <c r="R6" s="3320"/>
      <c r="S6" s="3321"/>
      <c r="T6" s="3341"/>
      <c r="U6" s="3342"/>
      <c r="V6" s="3343"/>
      <c r="W6" s="3343"/>
      <c r="X6" s="1814"/>
      <c r="Y6" s="3341"/>
      <c r="Z6" s="3342"/>
      <c r="AA6" s="3315"/>
      <c r="AB6" s="3315"/>
      <c r="AC6" s="3315"/>
    </row>
    <row r="7" spans="1:29" s="117" customFormat="1" ht="15.75" thickBot="1">
      <c r="A7" s="407" t="s">
        <v>2533</v>
      </c>
      <c r="B7" s="408"/>
      <c r="C7" s="409">
        <f>'数据-取费表'!B2</f>
        <v>43138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316" t="s">
        <v>2534</v>
      </c>
      <c r="Q7" s="3344"/>
      <c r="R7" s="769" t="s">
        <v>17</v>
      </c>
      <c r="S7" s="770">
        <f t="shared" ref="S7:S15" si="0">F7</f>
        <v>0</v>
      </c>
      <c r="T7" s="769" t="s">
        <v>17</v>
      </c>
      <c r="U7" s="770">
        <f t="shared" ref="U7:U15" si="1">H7</f>
        <v>0</v>
      </c>
      <c r="V7" s="769" t="s">
        <v>17</v>
      </c>
      <c r="W7" s="770">
        <f t="shared" ref="W7:W15" si="2">J7</f>
        <v>0</v>
      </c>
      <c r="X7" s="771"/>
      <c r="Y7" s="3316" t="s">
        <v>2534</v>
      </c>
      <c r="Z7" s="3317"/>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316" t="s">
        <v>2537</v>
      </c>
      <c r="Q8" s="3317"/>
      <c r="R8" s="769" t="s">
        <v>17</v>
      </c>
      <c r="S8" s="770">
        <f t="shared" si="0"/>
        <v>0</v>
      </c>
      <c r="T8" s="769" t="s">
        <v>17</v>
      </c>
      <c r="U8" s="770">
        <f t="shared" si="1"/>
        <v>0</v>
      </c>
      <c r="V8" s="769" t="s">
        <v>17</v>
      </c>
      <c r="W8" s="770">
        <f t="shared" si="2"/>
        <v>0</v>
      </c>
      <c r="X8" s="771"/>
      <c r="Y8" s="3316" t="s">
        <v>2537</v>
      </c>
      <c r="Z8" s="3317"/>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348" t="s">
        <v>2540</v>
      </c>
      <c r="Q9" s="1796" t="str">
        <f t="shared" ref="Q9:Q15" si="6">B9</f>
        <v>用途</v>
      </c>
      <c r="R9" s="769" t="s">
        <v>17</v>
      </c>
      <c r="S9" s="770">
        <f t="shared" si="0"/>
        <v>100</v>
      </c>
      <c r="T9" s="769" t="s">
        <v>17</v>
      </c>
      <c r="U9" s="770">
        <f t="shared" si="1"/>
        <v>100</v>
      </c>
      <c r="V9" s="769" t="s">
        <v>17</v>
      </c>
      <c r="W9" s="770">
        <f t="shared" si="2"/>
        <v>100</v>
      </c>
      <c r="X9" s="771"/>
      <c r="Y9" s="3143"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348"/>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348"/>
      <c r="Q11" s="1796" t="str">
        <f t="shared" si="6"/>
        <v>容积率</v>
      </c>
      <c r="R11" s="769" t="s">
        <v>17</v>
      </c>
      <c r="S11" s="770" t="e">
        <f t="shared" si="0"/>
        <v>#N/A</v>
      </c>
      <c r="T11" s="769" t="s">
        <v>17</v>
      </c>
      <c r="U11" s="770" t="e">
        <f t="shared" si="1"/>
        <v>#N/A</v>
      </c>
      <c r="V11" s="769" t="s">
        <v>17</v>
      </c>
      <c r="W11" s="770" t="e">
        <f t="shared" si="2"/>
        <v>#N/A</v>
      </c>
      <c r="X11" s="771"/>
      <c r="Y11" s="3143"/>
      <c r="Z11" s="55" t="str">
        <f t="shared" si="7"/>
        <v>容积率</v>
      </c>
      <c r="AA11" s="772" t="e">
        <f t="shared" si="3"/>
        <v>#N/A</v>
      </c>
      <c r="AB11" s="772" t="e">
        <f t="shared" si="4"/>
        <v>#N/A</v>
      </c>
      <c r="AC11" s="772" t="e">
        <f t="shared" si="5"/>
        <v>#N/A</v>
      </c>
    </row>
    <row r="12" spans="1:29" s="117"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33"/>
      <c r="M12" s="1134"/>
      <c r="N12" s="1134"/>
      <c r="O12" s="1135"/>
      <c r="P12" s="3348"/>
      <c r="Q12" s="1796">
        <f t="shared" si="6"/>
        <v>111</v>
      </c>
      <c r="R12" s="769" t="s">
        <v>17</v>
      </c>
      <c r="S12" s="770">
        <f t="shared" si="0"/>
        <v>100</v>
      </c>
      <c r="T12" s="769" t="s">
        <v>17</v>
      </c>
      <c r="U12" s="770">
        <f t="shared" si="1"/>
        <v>100</v>
      </c>
      <c r="V12" s="769" t="s">
        <v>17</v>
      </c>
      <c r="W12" s="770">
        <f t="shared" si="2"/>
        <v>100</v>
      </c>
      <c r="X12" s="771"/>
      <c r="Y12" s="3143"/>
      <c r="Z12" s="55">
        <f t="shared" si="7"/>
        <v>111</v>
      </c>
      <c r="AA12" s="772">
        <f>D12/F12</f>
        <v>1</v>
      </c>
      <c r="AB12" s="772">
        <f>D12/H12</f>
        <v>1</v>
      </c>
      <c r="AC12" s="772">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41"/>
      <c r="M13" s="1132"/>
      <c r="N13" s="1132"/>
      <c r="O13" s="1140"/>
      <c r="P13" s="3348"/>
      <c r="Q13" s="1796">
        <f t="shared" si="6"/>
        <v>111</v>
      </c>
      <c r="R13" s="769" t="s">
        <v>17</v>
      </c>
      <c r="S13" s="770">
        <f t="shared" si="0"/>
        <v>100</v>
      </c>
      <c r="T13" s="769" t="s">
        <v>17</v>
      </c>
      <c r="U13" s="770">
        <f t="shared" si="1"/>
        <v>100</v>
      </c>
      <c r="V13" s="769" t="s">
        <v>17</v>
      </c>
      <c r="W13" s="770">
        <f t="shared" si="2"/>
        <v>100</v>
      </c>
      <c r="X13" s="771"/>
      <c r="Y13" s="3143"/>
      <c r="Z13" s="55">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41"/>
      <c r="M14" s="1132"/>
      <c r="N14" s="1132"/>
      <c r="O14" s="1140"/>
      <c r="P14" s="3348"/>
      <c r="Q14" s="1796">
        <f t="shared" si="6"/>
        <v>111</v>
      </c>
      <c r="R14" s="769" t="s">
        <v>17</v>
      </c>
      <c r="S14" s="770">
        <f t="shared" si="0"/>
        <v>100</v>
      </c>
      <c r="T14" s="769" t="s">
        <v>17</v>
      </c>
      <c r="U14" s="770">
        <f t="shared" si="1"/>
        <v>100</v>
      </c>
      <c r="V14" s="769" t="s">
        <v>17</v>
      </c>
      <c r="W14" s="770">
        <f t="shared" si="2"/>
        <v>100</v>
      </c>
      <c r="X14" s="771"/>
      <c r="Y14" s="3143"/>
      <c r="Z14" s="55">
        <f t="shared" si="7"/>
        <v>111</v>
      </c>
      <c r="AA14" s="772">
        <f t="shared" si="3"/>
        <v>1</v>
      </c>
      <c r="AB14" s="772">
        <f t="shared" si="4"/>
        <v>1</v>
      </c>
      <c r="AC14" s="772">
        <f t="shared" si="5"/>
        <v>1</v>
      </c>
    </row>
    <row r="15" spans="1:29" ht="15">
      <c r="A15" s="439" t="s">
        <v>2544</v>
      </c>
      <c r="B15" s="69" t="s">
        <v>2688</v>
      </c>
      <c r="C15" s="2690"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350" t="s">
        <v>2545</v>
      </c>
      <c r="Q15" s="1811" t="str">
        <f t="shared" si="6"/>
        <v>产业集聚程度</v>
      </c>
      <c r="R15" s="773" t="s">
        <v>17</v>
      </c>
      <c r="S15" s="774">
        <f t="shared" si="0"/>
        <v>100</v>
      </c>
      <c r="T15" s="773" t="s">
        <v>17</v>
      </c>
      <c r="U15" s="774">
        <f t="shared" si="1"/>
        <v>100</v>
      </c>
      <c r="V15" s="773" t="s">
        <v>17</v>
      </c>
      <c r="W15" s="774">
        <f t="shared" si="2"/>
        <v>100</v>
      </c>
      <c r="X15" s="1814"/>
      <c r="Y15" s="3350" t="s">
        <v>2545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351"/>
      <c r="Q16" s="1811"/>
      <c r="R16" s="773"/>
      <c r="S16" s="774"/>
      <c r="T16" s="773"/>
      <c r="U16" s="774"/>
      <c r="V16" s="773"/>
      <c r="W16" s="774"/>
      <c r="X16" s="1814"/>
      <c r="Y16" s="3351"/>
      <c r="Z16" s="1815"/>
      <c r="AA16" s="1812">
        <v>1</v>
      </c>
      <c r="AB16" s="1812">
        <v>1</v>
      </c>
      <c r="AC16" s="1812">
        <v>1</v>
      </c>
    </row>
    <row r="17" spans="1:29" ht="15">
      <c r="A17" s="427"/>
      <c r="B17" s="450" t="s">
        <v>2088</v>
      </c>
      <c r="C17" s="2604"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351"/>
      <c r="Q17" s="1811" t="str">
        <f>B17</f>
        <v>交通便捷度</v>
      </c>
      <c r="R17" s="773" t="s">
        <v>17</v>
      </c>
      <c r="S17" s="774">
        <f>F17</f>
        <v>100</v>
      </c>
      <c r="T17" s="773" t="s">
        <v>17</v>
      </c>
      <c r="U17" s="774">
        <f>H17</f>
        <v>100</v>
      </c>
      <c r="V17" s="773" t="s">
        <v>17</v>
      </c>
      <c r="W17" s="774">
        <f>J17</f>
        <v>100</v>
      </c>
      <c r="X17" s="1814"/>
      <c r="Y17" s="3351"/>
      <c r="Z17" s="1815" t="str">
        <f>Q17</f>
        <v>交通便捷度</v>
      </c>
      <c r="AA17" s="1812">
        <f t="shared" si="3"/>
        <v>1</v>
      </c>
      <c r="AB17" s="1812">
        <f t="shared" si="4"/>
        <v>1</v>
      </c>
      <c r="AC17" s="1812">
        <f t="shared" si="5"/>
        <v>1</v>
      </c>
    </row>
    <row r="18" spans="1:29" ht="15">
      <c r="A18" s="427"/>
      <c r="B18" s="455"/>
      <c r="C18" s="2605"/>
      <c r="D18" s="449"/>
      <c r="E18" s="2607"/>
      <c r="F18" s="452"/>
      <c r="G18" s="2606"/>
      <c r="H18" s="447"/>
      <c r="I18" s="2607"/>
      <c r="J18" s="447"/>
      <c r="K18" s="614"/>
      <c r="L18" s="1141"/>
      <c r="M18" s="1132"/>
      <c r="N18" s="1132"/>
      <c r="O18" s="1140"/>
      <c r="P18" s="3351"/>
      <c r="Q18" s="1811"/>
      <c r="R18" s="773"/>
      <c r="S18" s="774"/>
      <c r="T18" s="773"/>
      <c r="U18" s="774"/>
      <c r="V18" s="773"/>
      <c r="W18" s="774"/>
      <c r="X18" s="1814"/>
      <c r="Y18" s="3351"/>
      <c r="Z18" s="1815"/>
      <c r="AA18" s="1812">
        <v>1</v>
      </c>
      <c r="AB18" s="1812">
        <v>1</v>
      </c>
      <c r="AC18" s="1812">
        <v>1</v>
      </c>
    </row>
    <row r="19" spans="1:29" ht="15">
      <c r="A19" s="427"/>
      <c r="B19" s="450" t="s">
        <v>2673</v>
      </c>
      <c r="C19" s="2604"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351"/>
      <c r="Q19" s="1811" t="str">
        <f>B19</f>
        <v>公共配套设施</v>
      </c>
      <c r="R19" s="773" t="s">
        <v>17</v>
      </c>
      <c r="S19" s="774">
        <f>F19</f>
        <v>100</v>
      </c>
      <c r="T19" s="773" t="s">
        <v>17</v>
      </c>
      <c r="U19" s="774">
        <f>H19</f>
        <v>100</v>
      </c>
      <c r="V19" s="773" t="s">
        <v>17</v>
      </c>
      <c r="W19" s="774">
        <f>J19</f>
        <v>100</v>
      </c>
      <c r="X19" s="1814"/>
      <c r="Y19" s="3351"/>
      <c r="Z19" s="1815" t="str">
        <f>Q19</f>
        <v>公共配套设施</v>
      </c>
      <c r="AA19" s="1812">
        <f t="shared" si="3"/>
        <v>1</v>
      </c>
      <c r="AB19" s="1812">
        <f t="shared" si="4"/>
        <v>1</v>
      </c>
      <c r="AC19" s="1812">
        <f t="shared" si="5"/>
        <v>1</v>
      </c>
    </row>
    <row r="20" spans="1:29" ht="15">
      <c r="A20" s="427"/>
      <c r="B20" s="455"/>
      <c r="C20" s="446"/>
      <c r="D20" s="447"/>
      <c r="E20" s="2602"/>
      <c r="F20" s="448"/>
      <c r="G20" s="2601"/>
      <c r="H20" s="447"/>
      <c r="I20" s="2602"/>
      <c r="J20" s="447"/>
      <c r="K20" s="614"/>
      <c r="L20" s="1141"/>
      <c r="M20" s="1132"/>
      <c r="N20" s="1132"/>
      <c r="O20" s="1140"/>
      <c r="P20" s="3351"/>
      <c r="Q20" s="1811"/>
      <c r="R20" s="773"/>
      <c r="S20" s="774"/>
      <c r="T20" s="773"/>
      <c r="U20" s="774"/>
      <c r="V20" s="773"/>
      <c r="W20" s="774"/>
      <c r="X20" s="1814"/>
      <c r="Y20" s="3351"/>
      <c r="Z20" s="1815"/>
      <c r="AA20" s="1812">
        <v>1</v>
      </c>
      <c r="AB20" s="1812">
        <v>1</v>
      </c>
      <c r="AC20" s="1812">
        <v>1</v>
      </c>
    </row>
    <row r="21" spans="1:29" ht="15">
      <c r="A21" s="427"/>
      <c r="B21" s="1385" t="s">
        <v>2674</v>
      </c>
      <c r="C21" s="2604"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351"/>
      <c r="Q21" s="1811" t="str">
        <f>B21</f>
        <v>基础设施水平</v>
      </c>
      <c r="R21" s="773" t="s">
        <v>17</v>
      </c>
      <c r="S21" s="774">
        <f>F21</f>
        <v>100</v>
      </c>
      <c r="T21" s="773" t="s">
        <v>17</v>
      </c>
      <c r="U21" s="774">
        <f>H21</f>
        <v>100</v>
      </c>
      <c r="V21" s="773" t="s">
        <v>17</v>
      </c>
      <c r="W21" s="774">
        <f>J21</f>
        <v>100</v>
      </c>
      <c r="X21" s="1814"/>
      <c r="Y21" s="3351"/>
      <c r="Z21" s="1815" t="str">
        <f>Q21</f>
        <v>基础设施水平</v>
      </c>
      <c r="AA21" s="1812">
        <f t="shared" ref="AA21" si="8">D21/F21</f>
        <v>1</v>
      </c>
      <c r="AB21" s="1812">
        <f t="shared" ref="AB21" si="9">D21/H21</f>
        <v>1</v>
      </c>
      <c r="AC21" s="1812">
        <f t="shared" ref="AC21" si="10">D21/J21</f>
        <v>1</v>
      </c>
    </row>
    <row r="22" spans="1:29" ht="15">
      <c r="A22" s="427"/>
      <c r="B22" s="1385"/>
      <c r="C22" s="2605"/>
      <c r="D22" s="447"/>
      <c r="E22" s="446"/>
      <c r="F22" s="448"/>
      <c r="G22" s="446"/>
      <c r="H22" s="447"/>
      <c r="I22" s="446"/>
      <c r="J22" s="447"/>
      <c r="K22" s="1384"/>
      <c r="L22" s="1141"/>
      <c r="M22" s="1132"/>
      <c r="N22" s="1132"/>
      <c r="O22" s="1140"/>
      <c r="P22" s="3351"/>
      <c r="Q22" s="1811"/>
      <c r="R22" s="773"/>
      <c r="S22" s="774"/>
      <c r="T22" s="773"/>
      <c r="U22" s="774"/>
      <c r="V22" s="773"/>
      <c r="W22" s="774"/>
      <c r="X22" s="1814"/>
      <c r="Y22" s="3351"/>
      <c r="Z22" s="1815"/>
      <c r="AA22" s="1812">
        <v>1</v>
      </c>
      <c r="AB22" s="1812">
        <v>1</v>
      </c>
      <c r="AC22" s="1812">
        <v>1</v>
      </c>
    </row>
    <row r="23" spans="1:29" ht="15">
      <c r="A23" s="427"/>
      <c r="B23" s="450" t="s">
        <v>2675</v>
      </c>
      <c r="C23" s="2604"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351"/>
      <c r="Q23" s="1811" t="str">
        <f>B23</f>
        <v>环境质量</v>
      </c>
      <c r="R23" s="773" t="s">
        <v>17</v>
      </c>
      <c r="S23" s="774">
        <f>F23</f>
        <v>100</v>
      </c>
      <c r="T23" s="773" t="s">
        <v>17</v>
      </c>
      <c r="U23" s="774">
        <f>H23</f>
        <v>100</v>
      </c>
      <c r="V23" s="773" t="s">
        <v>17</v>
      </c>
      <c r="W23" s="774">
        <f>J23</f>
        <v>100</v>
      </c>
      <c r="X23" s="1814"/>
      <c r="Y23" s="3351"/>
      <c r="Z23" s="1815" t="str">
        <f>Q23</f>
        <v>环境质量</v>
      </c>
      <c r="AA23" s="1812">
        <f t="shared" si="3"/>
        <v>1</v>
      </c>
      <c r="AB23" s="1812">
        <f t="shared" si="4"/>
        <v>1</v>
      </c>
      <c r="AC23" s="1812">
        <f t="shared" si="5"/>
        <v>1</v>
      </c>
    </row>
    <row r="24" spans="1:29" ht="15">
      <c r="A24" s="427"/>
      <c r="B24" s="1385"/>
      <c r="C24" s="446"/>
      <c r="D24" s="447"/>
      <c r="E24" s="2602"/>
      <c r="F24" s="448"/>
      <c r="G24" s="2601"/>
      <c r="H24" s="447"/>
      <c r="I24" s="2602"/>
      <c r="J24" s="447"/>
      <c r="K24" s="614"/>
      <c r="L24" s="1141"/>
      <c r="M24" s="1132"/>
      <c r="N24" s="1132"/>
      <c r="O24" s="1140"/>
      <c r="P24" s="3351"/>
      <c r="Q24" s="1811"/>
      <c r="R24" s="773"/>
      <c r="S24" s="774"/>
      <c r="T24" s="773"/>
      <c r="U24" s="774"/>
      <c r="V24" s="773"/>
      <c r="W24" s="774"/>
      <c r="X24" s="1814"/>
      <c r="Y24" s="3351"/>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351"/>
      <c r="Q25" s="1811">
        <f>B25</f>
        <v>111</v>
      </c>
      <c r="R25" s="773" t="s">
        <v>17</v>
      </c>
      <c r="S25" s="774">
        <f>F25</f>
        <v>100</v>
      </c>
      <c r="T25" s="773" t="s">
        <v>17</v>
      </c>
      <c r="U25" s="774">
        <f>H25</f>
        <v>100</v>
      </c>
      <c r="V25" s="773" t="s">
        <v>17</v>
      </c>
      <c r="W25" s="774">
        <f>J25</f>
        <v>100</v>
      </c>
      <c r="X25" s="1814"/>
      <c r="Y25" s="3351"/>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351"/>
      <c r="Q26" s="1811">
        <f t="shared" ref="Q26:Q40" si="11">B26</f>
        <v>111</v>
      </c>
      <c r="R26" s="773" t="s">
        <v>17</v>
      </c>
      <c r="S26" s="774">
        <f>F26</f>
        <v>100</v>
      </c>
      <c r="T26" s="773" t="s">
        <v>17</v>
      </c>
      <c r="U26" s="774">
        <f>H26</f>
        <v>100</v>
      </c>
      <c r="V26" s="773" t="s">
        <v>17</v>
      </c>
      <c r="W26" s="774">
        <f>J26</f>
        <v>100</v>
      </c>
      <c r="X26" s="1814"/>
      <c r="Y26" s="3351"/>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351"/>
      <c r="Q27" s="1796">
        <f t="shared" si="11"/>
        <v>111</v>
      </c>
      <c r="R27" s="769" t="s">
        <v>17</v>
      </c>
      <c r="S27" s="770">
        <f>F27</f>
        <v>100</v>
      </c>
      <c r="T27" s="769" t="s">
        <v>17</v>
      </c>
      <c r="U27" s="770">
        <f>H27</f>
        <v>100</v>
      </c>
      <c r="V27" s="769" t="s">
        <v>17</v>
      </c>
      <c r="W27" s="770">
        <f>J27</f>
        <v>100</v>
      </c>
      <c r="X27" s="771"/>
      <c r="Y27" s="3351"/>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351"/>
      <c r="Q28" s="1811">
        <f t="shared" si="11"/>
        <v>111</v>
      </c>
      <c r="R28" s="773" t="s">
        <v>17</v>
      </c>
      <c r="S28" s="774">
        <f t="shared" ref="S28:S40" si="12">F28</f>
        <v>100</v>
      </c>
      <c r="T28" s="773" t="s">
        <v>17</v>
      </c>
      <c r="U28" s="774">
        <f t="shared" ref="U28:U40" si="13">H28</f>
        <v>100</v>
      </c>
      <c r="V28" s="773" t="s">
        <v>17</v>
      </c>
      <c r="W28" s="774">
        <f t="shared" ref="W28:W40" si="14">J28</f>
        <v>100</v>
      </c>
      <c r="X28" s="1814"/>
      <c r="Y28" s="3351"/>
      <c r="Z28" s="1815">
        <f t="shared" ref="Z28:Z40" si="15">Q28</f>
        <v>111</v>
      </c>
      <c r="AA28" s="1812">
        <f t="shared" si="3"/>
        <v>1</v>
      </c>
      <c r="AB28" s="1812">
        <f t="shared" si="4"/>
        <v>1</v>
      </c>
      <c r="AC28" s="1812">
        <f t="shared" si="5"/>
        <v>1</v>
      </c>
    </row>
    <row r="29" spans="1:29" ht="15">
      <c r="A29" s="465" t="s">
        <v>2548</v>
      </c>
      <c r="B29" s="71" t="s">
        <v>2678</v>
      </c>
      <c r="C29" s="2676"/>
      <c r="D29" s="466">
        <v>100</v>
      </c>
      <c r="E29" s="2676"/>
      <c r="F29" s="460">
        <f>SUMIF(88:88,E29,89:89)-SUMIF(88:88,C29,89:89)+100</f>
        <v>100</v>
      </c>
      <c r="G29" s="2676"/>
      <c r="H29" s="434">
        <f>SUMIF(88:88,G29,89:89)-SUMIF(88:88,C29,89:89)+100</f>
        <v>100</v>
      </c>
      <c r="I29" s="2676"/>
      <c r="J29" s="466">
        <f>SUMIF(88:88,I29,89:89)-SUMIF(88:88,C29,89:89)+100</f>
        <v>100</v>
      </c>
      <c r="K29" s="611"/>
      <c r="L29" s="1141"/>
      <c r="M29" s="1132"/>
      <c r="N29" s="1132"/>
      <c r="O29" s="1140"/>
      <c r="P29" s="3374" t="s">
        <v>2550</v>
      </c>
      <c r="Q29" s="1811" t="str">
        <f t="shared" si="11"/>
        <v>建筑类型</v>
      </c>
      <c r="R29" s="773" t="s">
        <v>17</v>
      </c>
      <c r="S29" s="774">
        <f t="shared" si="12"/>
        <v>100</v>
      </c>
      <c r="T29" s="773" t="s">
        <v>17</v>
      </c>
      <c r="U29" s="774">
        <f t="shared" si="13"/>
        <v>100</v>
      </c>
      <c r="V29" s="773" t="s">
        <v>17</v>
      </c>
      <c r="W29" s="774">
        <f t="shared" si="14"/>
        <v>100</v>
      </c>
      <c r="X29" s="1814"/>
      <c r="Y29" s="3355" t="s">
        <v>2550</v>
      </c>
      <c r="Z29" s="1815" t="str">
        <f t="shared" si="15"/>
        <v>建筑类型</v>
      </c>
      <c r="AA29" s="1812">
        <f t="shared" si="3"/>
        <v>1</v>
      </c>
      <c r="AB29" s="1812">
        <f t="shared" si="4"/>
        <v>1</v>
      </c>
      <c r="AC29" s="1812">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355"/>
      <c r="Q30" s="775" t="str">
        <f t="shared" si="11"/>
        <v>项目建筑规模</v>
      </c>
      <c r="R30" s="776" t="s">
        <v>17</v>
      </c>
      <c r="S30" s="777" t="e">
        <f t="shared" si="12"/>
        <v>#N/A</v>
      </c>
      <c r="T30" s="776" t="s">
        <v>17</v>
      </c>
      <c r="U30" s="777" t="e">
        <f t="shared" si="13"/>
        <v>#N/A</v>
      </c>
      <c r="V30" s="776" t="s">
        <v>17</v>
      </c>
      <c r="W30" s="777" t="e">
        <f t="shared" si="14"/>
        <v>#N/A</v>
      </c>
      <c r="X30" s="778"/>
      <c r="Y30" s="3355"/>
      <c r="Z30" s="779" t="str">
        <f t="shared" si="15"/>
        <v>项目建筑规模</v>
      </c>
      <c r="AA30" s="1812" t="e">
        <f t="shared" si="3"/>
        <v>#N/A</v>
      </c>
      <c r="AB30" s="1812" t="e">
        <f t="shared" si="4"/>
        <v>#N/A</v>
      </c>
      <c r="AC30" s="1812"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355"/>
      <c r="Q31" s="1811" t="str">
        <f t="shared" si="11"/>
        <v>建筑结构</v>
      </c>
      <c r="R31" s="773" t="s">
        <v>17</v>
      </c>
      <c r="S31" s="774">
        <f t="shared" si="12"/>
        <v>100</v>
      </c>
      <c r="T31" s="773" t="s">
        <v>17</v>
      </c>
      <c r="U31" s="774">
        <f t="shared" si="13"/>
        <v>100</v>
      </c>
      <c r="V31" s="773" t="s">
        <v>17</v>
      </c>
      <c r="W31" s="774">
        <f t="shared" si="14"/>
        <v>100</v>
      </c>
      <c r="X31" s="1814"/>
      <c r="Y31" s="3355"/>
      <c r="Z31" s="1815" t="str">
        <f t="shared" si="15"/>
        <v>建筑结构</v>
      </c>
      <c r="AA31" s="1812">
        <f t="shared" si="3"/>
        <v>1</v>
      </c>
      <c r="AB31" s="1812">
        <f t="shared" si="4"/>
        <v>1</v>
      </c>
      <c r="AC31" s="1812">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355"/>
      <c r="Q32" s="1811" t="str">
        <f t="shared" si="11"/>
        <v>公共部分装修</v>
      </c>
      <c r="R32" s="773" t="s">
        <v>17</v>
      </c>
      <c r="S32" s="774">
        <f t="shared" si="12"/>
        <v>100</v>
      </c>
      <c r="T32" s="773" t="s">
        <v>17</v>
      </c>
      <c r="U32" s="774">
        <f t="shared" si="13"/>
        <v>100</v>
      </c>
      <c r="V32" s="773" t="s">
        <v>17</v>
      </c>
      <c r="W32" s="774">
        <f t="shared" si="14"/>
        <v>100</v>
      </c>
      <c r="X32" s="1814"/>
      <c r="Y32" s="3355"/>
      <c r="Z32" s="1815" t="str">
        <f t="shared" si="15"/>
        <v>公共部分装修</v>
      </c>
      <c r="AA32" s="1812">
        <f t="shared" si="3"/>
        <v>1</v>
      </c>
      <c r="AB32" s="1812">
        <f t="shared" si="4"/>
        <v>1</v>
      </c>
      <c r="AC32" s="1812">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355"/>
      <c r="Q33" s="1811" t="str">
        <f t="shared" si="11"/>
        <v>成新度</v>
      </c>
      <c r="R33" s="773" t="s">
        <v>17</v>
      </c>
      <c r="S33" s="774" t="e">
        <f t="shared" si="12"/>
        <v>#N/A</v>
      </c>
      <c r="T33" s="773" t="s">
        <v>17</v>
      </c>
      <c r="U33" s="774" t="e">
        <f t="shared" si="13"/>
        <v>#N/A</v>
      </c>
      <c r="V33" s="773" t="s">
        <v>17</v>
      </c>
      <c r="W33" s="774" t="e">
        <f t="shared" si="14"/>
        <v>#N/A</v>
      </c>
      <c r="X33" s="1814"/>
      <c r="Y33" s="3355"/>
      <c r="Z33" s="1815" t="str">
        <f t="shared" si="15"/>
        <v>成新度</v>
      </c>
      <c r="AA33" s="1812" t="e">
        <f t="shared" si="3"/>
        <v>#N/A</v>
      </c>
      <c r="AB33" s="1812" t="e">
        <f t="shared" si="4"/>
        <v>#N/A</v>
      </c>
      <c r="AC33" s="1812"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355"/>
      <c r="Q34" s="1796" t="str">
        <f t="shared" si="11"/>
        <v>物业管理</v>
      </c>
      <c r="R34" s="769" t="s">
        <v>17</v>
      </c>
      <c r="S34" s="770">
        <f t="shared" si="12"/>
        <v>100</v>
      </c>
      <c r="T34" s="769" t="s">
        <v>17</v>
      </c>
      <c r="U34" s="770">
        <f t="shared" si="13"/>
        <v>100</v>
      </c>
      <c r="V34" s="769" t="s">
        <v>17</v>
      </c>
      <c r="W34" s="770">
        <f t="shared" si="14"/>
        <v>100</v>
      </c>
      <c r="X34" s="771"/>
      <c r="Y34" s="3355"/>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355" t="s">
        <v>2550</v>
      </c>
      <c r="Q35" s="1811" t="str">
        <f t="shared" si="11"/>
        <v>市政基础设施</v>
      </c>
      <c r="R35" s="773" t="s">
        <v>17</v>
      </c>
      <c r="S35" s="774">
        <f t="shared" si="12"/>
        <v>100</v>
      </c>
      <c r="T35" s="773" t="s">
        <v>17</v>
      </c>
      <c r="U35" s="774">
        <f t="shared" si="13"/>
        <v>100</v>
      </c>
      <c r="V35" s="773" t="s">
        <v>17</v>
      </c>
      <c r="W35" s="774">
        <f t="shared" si="14"/>
        <v>100</v>
      </c>
      <c r="X35" s="1814"/>
      <c r="Y35" s="3355" t="s">
        <v>2550</v>
      </c>
      <c r="Z35" s="1815" t="str">
        <f t="shared" si="15"/>
        <v>市政基础设施</v>
      </c>
      <c r="AA35" s="1812">
        <f t="shared" si="3"/>
        <v>1</v>
      </c>
      <c r="AB35" s="1812">
        <f t="shared" si="4"/>
        <v>1</v>
      </c>
      <c r="AC35" s="1812">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355"/>
      <c r="Q36" s="1811" t="str">
        <f t="shared" si="11"/>
        <v>内部装修</v>
      </c>
      <c r="R36" s="773" t="s">
        <v>17</v>
      </c>
      <c r="S36" s="774">
        <f t="shared" si="12"/>
        <v>100</v>
      </c>
      <c r="T36" s="773" t="s">
        <v>17</v>
      </c>
      <c r="U36" s="774">
        <f t="shared" si="13"/>
        <v>100</v>
      </c>
      <c r="V36" s="773" t="s">
        <v>17</v>
      </c>
      <c r="W36" s="774">
        <f t="shared" si="14"/>
        <v>100</v>
      </c>
      <c r="X36" s="1814"/>
      <c r="Y36" s="3355"/>
      <c r="Z36" s="1815" t="str">
        <f t="shared" si="15"/>
        <v>内部装修</v>
      </c>
      <c r="AA36" s="1812">
        <f t="shared" si="3"/>
        <v>1</v>
      </c>
      <c r="AB36" s="1812">
        <f t="shared" si="4"/>
        <v>1</v>
      </c>
      <c r="AC36" s="1812">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355"/>
      <c r="Q37" s="1811" t="str">
        <f t="shared" si="11"/>
        <v>内部装修状况</v>
      </c>
      <c r="R37" s="773" t="s">
        <v>17</v>
      </c>
      <c r="S37" s="774">
        <f t="shared" si="12"/>
        <v>100</v>
      </c>
      <c r="T37" s="773" t="s">
        <v>17</v>
      </c>
      <c r="U37" s="774">
        <f t="shared" si="13"/>
        <v>100</v>
      </c>
      <c r="V37" s="773" t="s">
        <v>17</v>
      </c>
      <c r="W37" s="774">
        <f t="shared" si="14"/>
        <v>100</v>
      </c>
      <c r="X37" s="1814"/>
      <c r="Y37" s="3355"/>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355"/>
      <c r="Q38" s="775">
        <f t="shared" si="11"/>
        <v>111</v>
      </c>
      <c r="R38" s="776" t="s">
        <v>17</v>
      </c>
      <c r="S38" s="777">
        <f t="shared" si="12"/>
        <v>100</v>
      </c>
      <c r="T38" s="776" t="s">
        <v>17</v>
      </c>
      <c r="U38" s="777">
        <f t="shared" si="13"/>
        <v>100</v>
      </c>
      <c r="V38" s="776" t="s">
        <v>17</v>
      </c>
      <c r="W38" s="777">
        <f t="shared" si="14"/>
        <v>100</v>
      </c>
      <c r="X38" s="778"/>
      <c r="Y38" s="3355"/>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355"/>
      <c r="Q39" s="1811">
        <f t="shared" si="11"/>
        <v>111</v>
      </c>
      <c r="R39" s="773" t="s">
        <v>17</v>
      </c>
      <c r="S39" s="774">
        <f t="shared" si="12"/>
        <v>100</v>
      </c>
      <c r="T39" s="773" t="s">
        <v>17</v>
      </c>
      <c r="U39" s="774">
        <f t="shared" si="13"/>
        <v>100</v>
      </c>
      <c r="V39" s="773" t="s">
        <v>17</v>
      </c>
      <c r="W39" s="774">
        <f t="shared" si="14"/>
        <v>100</v>
      </c>
      <c r="X39" s="1814"/>
      <c r="Y39" s="3355"/>
      <c r="Z39" s="1815">
        <f t="shared" si="15"/>
        <v>111</v>
      </c>
      <c r="AA39" s="1812">
        <f t="shared" si="3"/>
        <v>1</v>
      </c>
      <c r="AB39" s="1812">
        <f t="shared" si="4"/>
        <v>1</v>
      </c>
      <c r="AC39" s="1812">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356"/>
      <c r="Q40" s="1811">
        <f t="shared" si="11"/>
        <v>111</v>
      </c>
      <c r="R40" s="773" t="s">
        <v>17</v>
      </c>
      <c r="S40" s="774">
        <f t="shared" si="12"/>
        <v>100</v>
      </c>
      <c r="T40" s="773" t="s">
        <v>17</v>
      </c>
      <c r="U40" s="774">
        <f t="shared" si="13"/>
        <v>100</v>
      </c>
      <c r="V40" s="773" t="s">
        <v>17</v>
      </c>
      <c r="W40" s="774">
        <f t="shared" si="14"/>
        <v>100</v>
      </c>
      <c r="X40" s="1814"/>
      <c r="Y40" s="3356"/>
      <c r="Z40" s="1815">
        <f t="shared" si="15"/>
        <v>111</v>
      </c>
      <c r="AA40" s="1812">
        <f t="shared" si="3"/>
        <v>1</v>
      </c>
      <c r="AB40" s="1812">
        <f t="shared" si="4"/>
        <v>1</v>
      </c>
      <c r="AC40" s="1812">
        <f t="shared" si="5"/>
        <v>1</v>
      </c>
    </row>
    <row r="41" spans="1:29" ht="15">
      <c r="A41" s="478" t="s">
        <v>2562</v>
      </c>
      <c r="B41" s="479"/>
      <c r="C41" s="1408" t="s">
        <v>1</v>
      </c>
      <c r="D41" s="1409"/>
      <c r="E41" s="1410"/>
      <c r="F41" s="1411"/>
      <c r="G41" s="1412"/>
      <c r="H41" s="1413"/>
      <c r="I41" s="1410"/>
      <c r="J41" s="1413"/>
      <c r="K41" s="782"/>
      <c r="L41" s="1144"/>
      <c r="M41" s="1145"/>
      <c r="N41" s="1132"/>
      <c r="O41" s="1145"/>
      <c r="P41" s="3348" t="str">
        <f>A41</f>
        <v>成交单价（元/平方米）</v>
      </c>
      <c r="Q41" s="3348"/>
      <c r="R41" s="3349">
        <f>E41</f>
        <v>0</v>
      </c>
      <c r="S41" s="3349"/>
      <c r="T41" s="3349">
        <f>G41</f>
        <v>0</v>
      </c>
      <c r="U41" s="3349"/>
      <c r="V41" s="3349">
        <f>I41</f>
        <v>0</v>
      </c>
      <c r="W41" s="3349"/>
      <c r="X41" s="758"/>
      <c r="Y41" s="780"/>
      <c r="Z41" s="758"/>
      <c r="AA41" s="758"/>
      <c r="AB41" s="758"/>
      <c r="AC41" s="758"/>
    </row>
    <row r="42" spans="1:29" ht="15.75" thickBot="1">
      <c r="A42" s="485" t="s">
        <v>2654</v>
      </c>
      <c r="B42" s="486"/>
      <c r="C42" s="1414" t="e">
        <f>R43</f>
        <v>#DIV/0!</v>
      </c>
      <c r="D42" s="1415"/>
      <c r="E42" s="1416" t="e">
        <f>R42</f>
        <v>#DIV/0!</v>
      </c>
      <c r="F42" s="1416"/>
      <c r="G42" s="1414" t="e">
        <f>T42</f>
        <v>#DIV/0!</v>
      </c>
      <c r="H42" s="1415"/>
      <c r="I42" s="1416" t="e">
        <f>V42</f>
        <v>#DIV/0!</v>
      </c>
      <c r="J42" s="1415"/>
      <c r="K42" s="783"/>
      <c r="L42" s="1144"/>
      <c r="M42" s="1145"/>
      <c r="N42" s="1132"/>
      <c r="O42" s="1145"/>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8"/>
      <c r="Y42" s="758"/>
      <c r="Z42" s="758"/>
      <c r="AA42" s="758"/>
      <c r="AB42" s="758"/>
      <c r="AC42" s="758"/>
    </row>
    <row r="43" spans="1:29" ht="15.75" thickBot="1">
      <c r="A43" s="491" t="s">
        <v>2655</v>
      </c>
      <c r="B43" s="492"/>
      <c r="C43" s="1418" t="e">
        <f>R43</f>
        <v>#DIV/0!</v>
      </c>
      <c r="D43" s="1418"/>
      <c r="E43" s="1418"/>
      <c r="F43" s="1418"/>
      <c r="G43" s="1418"/>
      <c r="H43" s="1418"/>
      <c r="I43" s="1418"/>
      <c r="J43" s="1418"/>
      <c r="K43" s="784"/>
      <c r="L43" s="1144"/>
      <c r="M43" s="1145"/>
      <c r="N43" s="1145"/>
      <c r="O43" s="1145"/>
      <c r="P43" s="3345" t="str">
        <f>A43</f>
        <v>估价对象XX用房的比较价值（楼面单价，元/平方米）</v>
      </c>
      <c r="Q43" s="3346"/>
      <c r="R43" s="3347" t="e">
        <f>IF(F1="售价",ROUND(AVERAGE(R42:V42),0),ROUND(AVERAGE(R42:V42),1))</f>
        <v>#DIV/0!</v>
      </c>
      <c r="S43" s="3347"/>
      <c r="T43" s="3347"/>
      <c r="U43" s="3347"/>
      <c r="V43" s="3347"/>
      <c r="W43" s="3347"/>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2659</v>
      </c>
      <c r="B51" s="758"/>
      <c r="C51" s="763"/>
      <c r="D51" s="763"/>
      <c r="E51" s="763"/>
      <c r="F51" s="764"/>
      <c r="G51" s="764"/>
      <c r="H51" s="763"/>
      <c r="I51" s="763"/>
      <c r="J51" s="763"/>
      <c r="K51" s="1161"/>
      <c r="L51" s="1162"/>
      <c r="M51" s="1160"/>
      <c r="N51" s="1160"/>
      <c r="O51" s="1160"/>
      <c r="P51" s="502"/>
      <c r="Q51" s="503"/>
    </row>
    <row r="52" spans="1:17" s="507" customFormat="1" ht="15">
      <c r="A52" s="504" t="s">
        <v>2533</v>
      </c>
      <c r="B52" s="505"/>
      <c r="C52" s="1575" t="str">
        <f>YEAR(C7)&amp;"-"&amp;MONTH(C7)</f>
        <v>2018-2</v>
      </c>
      <c r="D52" s="1576">
        <f>EDATE(C52,-1)</f>
        <v>43101</v>
      </c>
      <c r="E52" s="1576">
        <f t="shared" ref="E52:O52" si="16">EDATE(D52,-1)</f>
        <v>43070</v>
      </c>
      <c r="F52" s="1576">
        <f t="shared" si="16"/>
        <v>43040</v>
      </c>
      <c r="G52" s="1576">
        <f t="shared" si="16"/>
        <v>43009</v>
      </c>
      <c r="H52" s="1576">
        <f t="shared" si="16"/>
        <v>42979</v>
      </c>
      <c r="I52" s="1576">
        <f t="shared" si="16"/>
        <v>42948</v>
      </c>
      <c r="J52" s="1576">
        <f t="shared" si="16"/>
        <v>42917</v>
      </c>
      <c r="K52" s="1576">
        <f t="shared" si="16"/>
        <v>42887</v>
      </c>
      <c r="L52" s="1576">
        <f t="shared" si="16"/>
        <v>42856</v>
      </c>
      <c r="M52" s="1576">
        <f t="shared" si="16"/>
        <v>42826</v>
      </c>
      <c r="N52" s="1576">
        <f t="shared" si="16"/>
        <v>42795</v>
      </c>
      <c r="O52" s="1576">
        <f t="shared" si="16"/>
        <v>42767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2573</v>
      </c>
      <c r="B57" s="527" t="s">
        <v>2539</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3"/>
      <c r="B87" s="568"/>
      <c r="C87" s="569"/>
      <c r="D87" s="569"/>
      <c r="E87" s="569"/>
      <c r="F87" s="569"/>
      <c r="G87" s="590"/>
      <c r="H87" s="590"/>
      <c r="I87" s="590"/>
      <c r="J87" s="590"/>
      <c r="K87" s="590"/>
      <c r="L87" s="590"/>
      <c r="M87" s="591"/>
      <c r="N87" s="1154"/>
      <c r="O87" s="1154"/>
      <c r="P87" s="45"/>
      <c r="Q87" s="503"/>
    </row>
    <row r="88" spans="1:17">
      <c r="A88" s="526" t="s">
        <v>2548</v>
      </c>
      <c r="B88" s="527" t="s">
        <v>2597</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2599</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2601</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2602</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2603</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2605</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3"/>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2692</v>
      </c>
      <c r="B1" s="1620"/>
      <c r="C1" s="1621" t="s">
        <v>2515</v>
      </c>
      <c r="D1" s="1622"/>
      <c r="E1" s="1623"/>
      <c r="F1" s="2581"/>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2312</v>
      </c>
      <c r="B2" s="1419" t="e">
        <f ca="1">IF(C2="——",IF(B37="元/平方米",ROUND(C39*D3/10000,0),ROUND(F3*C39/10000,0)),IF(B37="元/平方米",ROUND(C39*D3/10000,0),ROUND(F3*C39/10000,0))-D2)</f>
        <v>#DIV/0!</v>
      </c>
      <c r="C2" s="2583"/>
      <c r="D2" s="1125" t="e">
        <f ca="1">SUMIF(INDIRECT("'"&amp;F2&amp;"'"&amp;"!A:A"),"承租人权益价值",INDIRECT("'"&amp;F2&amp;"'"&amp;"!c:c"))</f>
        <v>#REF!</v>
      </c>
      <c r="E2" s="2584" t="s">
        <v>2313</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2630</v>
      </c>
      <c r="B4" s="401"/>
      <c r="C4" s="3331" t="s">
        <v>2631</v>
      </c>
      <c r="D4" s="3332"/>
      <c r="E4" s="3333" t="s">
        <v>2632</v>
      </c>
      <c r="F4" s="3334"/>
      <c r="G4" s="3331" t="s">
        <v>2633</v>
      </c>
      <c r="H4" s="3332"/>
      <c r="I4" s="3331" t="s">
        <v>2634</v>
      </c>
      <c r="J4" s="3332"/>
      <c r="K4" s="609" t="s">
        <v>2635</v>
      </c>
      <c r="L4" s="1131"/>
      <c r="M4" s="1132"/>
      <c r="N4" s="1132"/>
      <c r="O4" s="1132"/>
      <c r="P4" s="3335" t="s">
        <v>2636</v>
      </c>
      <c r="Q4" s="3336"/>
      <c r="R4" s="3318" t="s">
        <v>2632</v>
      </c>
      <c r="S4" s="3319"/>
      <c r="T4" s="3318" t="s">
        <v>2633</v>
      </c>
      <c r="U4" s="3319"/>
      <c r="V4" s="3343" t="s">
        <v>2634</v>
      </c>
      <c r="W4" s="3343"/>
      <c r="X4" s="1814"/>
      <c r="Y4" s="3318" t="s">
        <v>2636</v>
      </c>
      <c r="Z4" s="3319"/>
      <c r="AA4" s="3313" t="s">
        <v>2632</v>
      </c>
      <c r="AB4" s="3314" t="s">
        <v>2633</v>
      </c>
      <c r="AC4" s="3313" t="s">
        <v>2634</v>
      </c>
    </row>
    <row r="5" spans="1:29" ht="15">
      <c r="A5" s="403"/>
      <c r="B5" s="404"/>
      <c r="C5" s="3324" t="s">
        <v>2527</v>
      </c>
      <c r="D5" s="3325"/>
      <c r="E5" s="3322" t="s">
        <v>2528</v>
      </c>
      <c r="F5" s="3323"/>
      <c r="G5" s="3324" t="s">
        <v>2529</v>
      </c>
      <c r="H5" s="3325"/>
      <c r="I5" s="3324" t="s">
        <v>2530</v>
      </c>
      <c r="J5" s="3325"/>
      <c r="K5" s="609"/>
      <c r="L5" s="1131"/>
      <c r="M5" s="1132"/>
      <c r="N5" s="1132"/>
      <c r="O5" s="1132"/>
      <c r="P5" s="3337"/>
      <c r="Q5" s="3338"/>
      <c r="R5" s="3320"/>
      <c r="S5" s="3321"/>
      <c r="T5" s="3320"/>
      <c r="U5" s="3321"/>
      <c r="V5" s="3343"/>
      <c r="W5" s="3343"/>
      <c r="X5" s="1814"/>
      <c r="Y5" s="3320"/>
      <c r="Z5" s="3321"/>
      <c r="AA5" s="3314"/>
      <c r="AB5" s="3314"/>
      <c r="AC5" s="3314"/>
    </row>
    <row r="6" spans="1:29" ht="15.75" thickBot="1">
      <c r="A6" s="405"/>
      <c r="B6" s="406"/>
      <c r="C6" s="3326" t="s">
        <v>2531</v>
      </c>
      <c r="D6" s="3327"/>
      <c r="E6" s="3328" t="s">
        <v>2531</v>
      </c>
      <c r="F6" s="3329"/>
      <c r="G6" s="3326" t="s">
        <v>2531</v>
      </c>
      <c r="H6" s="3327"/>
      <c r="I6" s="3326" t="s">
        <v>2531</v>
      </c>
      <c r="J6" s="3327"/>
      <c r="K6" s="609" t="s">
        <v>2532</v>
      </c>
      <c r="L6" s="1131"/>
      <c r="M6" s="1132"/>
      <c r="N6" s="1132"/>
      <c r="O6" s="1132"/>
      <c r="P6" s="3339"/>
      <c r="Q6" s="3340"/>
      <c r="R6" s="3320"/>
      <c r="S6" s="3321"/>
      <c r="T6" s="3341"/>
      <c r="U6" s="3342"/>
      <c r="V6" s="3343"/>
      <c r="W6" s="3343"/>
      <c r="X6" s="1814"/>
      <c r="Y6" s="3341"/>
      <c r="Z6" s="3342"/>
      <c r="AA6" s="3315"/>
      <c r="AB6" s="3315"/>
      <c r="AC6" s="3315"/>
    </row>
    <row r="7" spans="1:29" s="117" customFormat="1" ht="15.75" thickBot="1">
      <c r="A7" s="407" t="s">
        <v>2533</v>
      </c>
      <c r="B7" s="408"/>
      <c r="C7" s="409">
        <f>'数据-取费表'!B2</f>
        <v>43138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316" t="s">
        <v>2534</v>
      </c>
      <c r="Q7" s="3344"/>
      <c r="R7" s="769" t="s">
        <v>17</v>
      </c>
      <c r="S7" s="770">
        <f t="shared" ref="S7:S14" si="0">F7</f>
        <v>0</v>
      </c>
      <c r="T7" s="769" t="s">
        <v>17</v>
      </c>
      <c r="U7" s="770">
        <f t="shared" ref="U7:U14" si="1">H7</f>
        <v>0</v>
      </c>
      <c r="V7" s="769" t="s">
        <v>17</v>
      </c>
      <c r="W7" s="770">
        <f t="shared" ref="W7:W14" si="2">J7</f>
        <v>0</v>
      </c>
      <c r="X7" s="771"/>
      <c r="Y7" s="3316" t="s">
        <v>2534</v>
      </c>
      <c r="Z7" s="3317"/>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316" t="s">
        <v>2537</v>
      </c>
      <c r="Q8" s="3317"/>
      <c r="R8" s="769" t="s">
        <v>17</v>
      </c>
      <c r="S8" s="770">
        <f t="shared" si="0"/>
        <v>0</v>
      </c>
      <c r="T8" s="769" t="s">
        <v>17</v>
      </c>
      <c r="U8" s="770">
        <f t="shared" si="1"/>
        <v>0</v>
      </c>
      <c r="V8" s="769" t="s">
        <v>17</v>
      </c>
      <c r="W8" s="770">
        <f t="shared" si="2"/>
        <v>0</v>
      </c>
      <c r="X8" s="771"/>
      <c r="Y8" s="3316" t="s">
        <v>2537</v>
      </c>
      <c r="Z8" s="3317"/>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348" t="s">
        <v>2540</v>
      </c>
      <c r="Q9" s="1796" t="str">
        <f t="shared" ref="Q9:Q14" si="6">B9</f>
        <v>用途</v>
      </c>
      <c r="R9" s="769" t="s">
        <v>17</v>
      </c>
      <c r="S9" s="770">
        <f t="shared" si="0"/>
        <v>100</v>
      </c>
      <c r="T9" s="769" t="s">
        <v>17</v>
      </c>
      <c r="U9" s="770">
        <f t="shared" si="1"/>
        <v>100</v>
      </c>
      <c r="V9" s="769" t="s">
        <v>17</v>
      </c>
      <c r="W9" s="770">
        <f t="shared" si="2"/>
        <v>100</v>
      </c>
      <c r="X9" s="771"/>
      <c r="Y9" s="3143"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348"/>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348"/>
      <c r="Q11" s="1796">
        <f t="shared" si="6"/>
        <v>111</v>
      </c>
      <c r="R11" s="769" t="s">
        <v>17</v>
      </c>
      <c r="S11" s="770">
        <f t="shared" si="0"/>
        <v>100</v>
      </c>
      <c r="T11" s="769" t="s">
        <v>17</v>
      </c>
      <c r="U11" s="770">
        <f t="shared" si="1"/>
        <v>100</v>
      </c>
      <c r="V11" s="769" t="s">
        <v>17</v>
      </c>
      <c r="W11" s="770">
        <f t="shared" si="2"/>
        <v>100</v>
      </c>
      <c r="X11" s="771"/>
      <c r="Y11" s="314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348"/>
      <c r="Q12" s="1796">
        <f t="shared" si="6"/>
        <v>111</v>
      </c>
      <c r="R12" s="769" t="s">
        <v>17</v>
      </c>
      <c r="S12" s="770">
        <f t="shared" si="0"/>
        <v>100</v>
      </c>
      <c r="T12" s="769" t="s">
        <v>17</v>
      </c>
      <c r="U12" s="770">
        <f t="shared" si="1"/>
        <v>100</v>
      </c>
      <c r="V12" s="769" t="s">
        <v>17</v>
      </c>
      <c r="W12" s="770">
        <f t="shared" si="2"/>
        <v>100</v>
      </c>
      <c r="X12" s="771"/>
      <c r="Y12" s="314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348"/>
      <c r="Q13" s="1796">
        <f t="shared" si="6"/>
        <v>111</v>
      </c>
      <c r="R13" s="769" t="s">
        <v>17</v>
      </c>
      <c r="S13" s="770">
        <f t="shared" si="0"/>
        <v>100</v>
      </c>
      <c r="T13" s="769" t="s">
        <v>17</v>
      </c>
      <c r="U13" s="770">
        <f t="shared" si="1"/>
        <v>100</v>
      </c>
      <c r="V13" s="769" t="s">
        <v>17</v>
      </c>
      <c r="W13" s="770">
        <f t="shared" si="2"/>
        <v>100</v>
      </c>
      <c r="X13" s="771"/>
      <c r="Y13" s="3143"/>
      <c r="Z13" s="55">
        <f t="shared" si="7"/>
        <v>111</v>
      </c>
      <c r="AA13" s="772">
        <f t="shared" si="3"/>
        <v>1</v>
      </c>
      <c r="AB13" s="772">
        <f t="shared" si="4"/>
        <v>1</v>
      </c>
      <c r="AC13" s="772">
        <f t="shared" si="5"/>
        <v>1</v>
      </c>
    </row>
    <row r="14" spans="1:29" ht="15">
      <c r="A14" s="400" t="s">
        <v>2544</v>
      </c>
      <c r="B14" s="628" t="s">
        <v>2694</v>
      </c>
      <c r="C14" s="2690">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350" t="s">
        <v>2545</v>
      </c>
      <c r="Q14" s="1811" t="str">
        <f t="shared" si="6"/>
        <v>交通便捷度</v>
      </c>
      <c r="R14" s="773" t="s">
        <v>17</v>
      </c>
      <c r="S14" s="774">
        <f t="shared" si="0"/>
        <v>100</v>
      </c>
      <c r="T14" s="773" t="s">
        <v>17</v>
      </c>
      <c r="U14" s="774">
        <f t="shared" si="1"/>
        <v>100</v>
      </c>
      <c r="V14" s="773" t="s">
        <v>17</v>
      </c>
      <c r="W14" s="774">
        <f t="shared" si="2"/>
        <v>100</v>
      </c>
      <c r="X14" s="1814"/>
      <c r="Y14" s="3350" t="s">
        <v>2545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351"/>
      <c r="Q15" s="1811"/>
      <c r="R15" s="773"/>
      <c r="S15" s="774"/>
      <c r="T15" s="773"/>
      <c r="U15" s="774"/>
      <c r="V15" s="773"/>
      <c r="W15" s="774"/>
      <c r="X15" s="1814"/>
      <c r="Y15" s="3351"/>
      <c r="Z15" s="1815"/>
      <c r="AA15" s="1812">
        <v>1</v>
      </c>
      <c r="AB15" s="1812">
        <v>1</v>
      </c>
      <c r="AC15" s="1812">
        <v>1</v>
      </c>
    </row>
    <row r="16" spans="1:29" ht="15">
      <c r="A16" s="403"/>
      <c r="B16" s="630" t="s">
        <v>2673</v>
      </c>
      <c r="C16" s="2604">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351"/>
      <c r="Q16" s="1811" t="str">
        <f>B16</f>
        <v>公共配套设施</v>
      </c>
      <c r="R16" s="773" t="s">
        <v>17</v>
      </c>
      <c r="S16" s="774">
        <f>F16</f>
        <v>100</v>
      </c>
      <c r="T16" s="773" t="s">
        <v>17</v>
      </c>
      <c r="U16" s="774">
        <f>H16</f>
        <v>100</v>
      </c>
      <c r="V16" s="773" t="s">
        <v>17</v>
      </c>
      <c r="W16" s="774">
        <f>J16</f>
        <v>100</v>
      </c>
      <c r="X16" s="1814"/>
      <c r="Y16" s="3351"/>
      <c r="Z16" s="1815" t="str">
        <f>Q16</f>
        <v>公共配套设施</v>
      </c>
      <c r="AA16" s="1812">
        <f t="shared" si="3"/>
        <v>1</v>
      </c>
      <c r="AB16" s="1812">
        <f t="shared" si="4"/>
        <v>1</v>
      </c>
      <c r="AC16" s="1812">
        <f t="shared" si="5"/>
        <v>1</v>
      </c>
    </row>
    <row r="17" spans="1:29" ht="15">
      <c r="A17" s="403"/>
      <c r="B17" s="631"/>
      <c r="C17" s="2605"/>
      <c r="D17" s="447"/>
      <c r="E17" s="446"/>
      <c r="F17" s="448"/>
      <c r="G17" s="446"/>
      <c r="H17" s="447"/>
      <c r="I17" s="446"/>
      <c r="J17" s="447"/>
      <c r="K17" s="614"/>
      <c r="L17" s="1141"/>
      <c r="M17" s="1132"/>
      <c r="N17" s="1132"/>
      <c r="O17" s="1132"/>
      <c r="P17" s="3351"/>
      <c r="Q17" s="1811"/>
      <c r="R17" s="773"/>
      <c r="S17" s="774"/>
      <c r="T17" s="773"/>
      <c r="U17" s="774"/>
      <c r="V17" s="773"/>
      <c r="W17" s="774"/>
      <c r="X17" s="1814"/>
      <c r="Y17" s="3351"/>
      <c r="Z17" s="1815"/>
      <c r="AA17" s="1812">
        <v>1</v>
      </c>
      <c r="AB17" s="1812">
        <v>1</v>
      </c>
      <c r="AC17" s="1812">
        <v>1</v>
      </c>
    </row>
    <row r="18" spans="1:29" ht="15">
      <c r="A18" s="403"/>
      <c r="B18" s="632" t="s">
        <v>2674</v>
      </c>
      <c r="C18" s="2604">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351"/>
      <c r="Q18" s="1811" t="str">
        <f>B18</f>
        <v>基础设施水平</v>
      </c>
      <c r="R18" s="773" t="s">
        <v>17</v>
      </c>
      <c r="S18" s="774">
        <f>F18</f>
        <v>100</v>
      </c>
      <c r="T18" s="773" t="s">
        <v>17</v>
      </c>
      <c r="U18" s="774">
        <f>H18</f>
        <v>100</v>
      </c>
      <c r="V18" s="773" t="s">
        <v>17</v>
      </c>
      <c r="W18" s="774">
        <f>J18</f>
        <v>100</v>
      </c>
      <c r="X18" s="1814"/>
      <c r="Y18" s="3351"/>
      <c r="Z18" s="1815" t="str">
        <f>Q18</f>
        <v>基础设施水平</v>
      </c>
      <c r="AA18" s="1812">
        <f t="shared" ref="AA18" si="8">D18/F18</f>
        <v>1</v>
      </c>
      <c r="AB18" s="1812">
        <f t="shared" ref="AB18" si="9">D18/H18</f>
        <v>1</v>
      </c>
      <c r="AC18" s="1812">
        <f t="shared" ref="AC18" si="10">D18/J18</f>
        <v>1</v>
      </c>
    </row>
    <row r="19" spans="1:29" ht="15">
      <c r="A19" s="403"/>
      <c r="B19" s="632"/>
      <c r="C19" s="2605"/>
      <c r="D19" s="449"/>
      <c r="E19" s="2605"/>
      <c r="F19" s="452"/>
      <c r="G19" s="2605"/>
      <c r="H19" s="447"/>
      <c r="I19" s="446"/>
      <c r="J19" s="447"/>
      <c r="K19" s="1384"/>
      <c r="L19" s="1141"/>
      <c r="M19" s="1132"/>
      <c r="N19" s="1132"/>
      <c r="O19" s="1132"/>
      <c r="P19" s="3351"/>
      <c r="Q19" s="1811"/>
      <c r="R19" s="773"/>
      <c r="S19" s="774"/>
      <c r="T19" s="773"/>
      <c r="U19" s="774"/>
      <c r="V19" s="773"/>
      <c r="W19" s="774"/>
      <c r="X19" s="1814"/>
      <c r="Y19" s="3351"/>
      <c r="Z19" s="1815"/>
      <c r="AA19" s="1812">
        <v>1</v>
      </c>
      <c r="AB19" s="1812">
        <v>1</v>
      </c>
      <c r="AC19" s="1812">
        <v>1</v>
      </c>
    </row>
    <row r="20" spans="1:29" ht="15">
      <c r="A20" s="403"/>
      <c r="B20" s="630" t="s">
        <v>2695</v>
      </c>
      <c r="C20" s="2604">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351"/>
      <c r="Q20" s="1811" t="str">
        <f>B20</f>
        <v>自然及人文环境</v>
      </c>
      <c r="R20" s="773" t="s">
        <v>17</v>
      </c>
      <c r="S20" s="774">
        <f>F20</f>
        <v>100</v>
      </c>
      <c r="T20" s="773" t="s">
        <v>17</v>
      </c>
      <c r="U20" s="774">
        <f>H20</f>
        <v>100</v>
      </c>
      <c r="V20" s="773" t="s">
        <v>17</v>
      </c>
      <c r="W20" s="774">
        <f>J20</f>
        <v>100</v>
      </c>
      <c r="X20" s="1814"/>
      <c r="Y20" s="3351"/>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351"/>
      <c r="Q21" s="1811"/>
      <c r="R21" s="773"/>
      <c r="S21" s="774"/>
      <c r="T21" s="773"/>
      <c r="U21" s="774"/>
      <c r="V21" s="773"/>
      <c r="W21" s="774"/>
      <c r="X21" s="1814"/>
      <c r="Y21" s="3351"/>
      <c r="Z21" s="1815"/>
      <c r="AA21" s="1812">
        <v>1</v>
      </c>
      <c r="AB21" s="1812">
        <v>1</v>
      </c>
      <c r="AC21" s="1812">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351"/>
      <c r="Q22" s="1811" t="str">
        <f>B22</f>
        <v>楼层</v>
      </c>
      <c r="R22" s="773" t="s">
        <v>17</v>
      </c>
      <c r="S22" s="774">
        <f>F22</f>
        <v>100</v>
      </c>
      <c r="T22" s="773" t="s">
        <v>17</v>
      </c>
      <c r="U22" s="774">
        <f>H22</f>
        <v>100</v>
      </c>
      <c r="V22" s="773" t="s">
        <v>17</v>
      </c>
      <c r="W22" s="774">
        <f>J22</f>
        <v>100</v>
      </c>
      <c r="X22" s="1814"/>
      <c r="Y22" s="3351"/>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351"/>
      <c r="Q23" s="1811">
        <f>B23</f>
        <v>111</v>
      </c>
      <c r="R23" s="773" t="s">
        <v>17</v>
      </c>
      <c r="S23" s="774">
        <f>F23</f>
        <v>100</v>
      </c>
      <c r="T23" s="773" t="s">
        <v>17</v>
      </c>
      <c r="U23" s="774">
        <f>H23</f>
        <v>100</v>
      </c>
      <c r="V23" s="773" t="s">
        <v>17</v>
      </c>
      <c r="W23" s="774">
        <f>J23</f>
        <v>100</v>
      </c>
      <c r="X23" s="1814"/>
      <c r="Y23" s="3351"/>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351"/>
      <c r="Q24" s="1811">
        <f t="shared" ref="Q24:Q36" si="11">B24</f>
        <v>111</v>
      </c>
      <c r="R24" s="773" t="s">
        <v>17</v>
      </c>
      <c r="S24" s="774">
        <f>F24</f>
        <v>100</v>
      </c>
      <c r="T24" s="773" t="s">
        <v>17</v>
      </c>
      <c r="U24" s="774">
        <f>H24</f>
        <v>100</v>
      </c>
      <c r="V24" s="773" t="s">
        <v>17</v>
      </c>
      <c r="W24" s="774">
        <f>J24</f>
        <v>100</v>
      </c>
      <c r="X24" s="1814"/>
      <c r="Y24" s="3351"/>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351"/>
      <c r="Q25" s="1796">
        <f t="shared" si="11"/>
        <v>111</v>
      </c>
      <c r="R25" s="769" t="s">
        <v>17</v>
      </c>
      <c r="S25" s="770">
        <f>F25</f>
        <v>100</v>
      </c>
      <c r="T25" s="769" t="s">
        <v>17</v>
      </c>
      <c r="U25" s="770">
        <f>H25</f>
        <v>100</v>
      </c>
      <c r="V25" s="769" t="s">
        <v>17</v>
      </c>
      <c r="W25" s="770">
        <f>J25</f>
        <v>100</v>
      </c>
      <c r="X25" s="771"/>
      <c r="Y25" s="3351"/>
      <c r="Z25" s="55">
        <f>Q25</f>
        <v>111</v>
      </c>
      <c r="AA25" s="1812">
        <f>D25/F25</f>
        <v>1</v>
      </c>
      <c r="AB25" s="1812">
        <f>D25/H25</f>
        <v>1</v>
      </c>
      <c r="AC25" s="1812">
        <f>D25/J25</f>
        <v>1</v>
      </c>
    </row>
    <row r="26" spans="1:29" ht="15">
      <c r="A26" s="651" t="s">
        <v>2548</v>
      </c>
      <c r="B26" s="70" t="s">
        <v>2697</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374" t="s">
        <v>2550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355" t="s">
        <v>2550</v>
      </c>
      <c r="Z26" s="1815" t="str">
        <f t="shared" ref="Z26:Z36" si="15">Q26</f>
        <v>配套类型</v>
      </c>
      <c r="AA26" s="1812">
        <f t="shared" si="3"/>
        <v>1</v>
      </c>
      <c r="AB26" s="1812">
        <f t="shared" si="4"/>
        <v>1</v>
      </c>
      <c r="AC26" s="1812">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355"/>
      <c r="Q27" s="775" t="str">
        <f t="shared" si="11"/>
        <v>项目停车位配比</v>
      </c>
      <c r="R27" s="776" t="s">
        <v>17</v>
      </c>
      <c r="S27" s="777">
        <f t="shared" si="12"/>
        <v>100</v>
      </c>
      <c r="T27" s="776" t="s">
        <v>17</v>
      </c>
      <c r="U27" s="777">
        <f t="shared" si="13"/>
        <v>100</v>
      </c>
      <c r="V27" s="776" t="s">
        <v>17</v>
      </c>
      <c r="W27" s="777">
        <f t="shared" si="14"/>
        <v>100</v>
      </c>
      <c r="X27" s="778"/>
      <c r="Y27" s="3355"/>
      <c r="Z27" s="779" t="str">
        <f t="shared" si="15"/>
        <v>项目停车位配比</v>
      </c>
      <c r="AA27" s="1812">
        <f t="shared" si="3"/>
        <v>1</v>
      </c>
      <c r="AB27" s="1812">
        <f t="shared" si="4"/>
        <v>1</v>
      </c>
      <c r="AC27" s="1812">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355"/>
      <c r="Q28" s="1811" t="str">
        <f t="shared" si="11"/>
        <v>公共部分装修</v>
      </c>
      <c r="R28" s="773" t="s">
        <v>17</v>
      </c>
      <c r="S28" s="774">
        <f t="shared" si="12"/>
        <v>100</v>
      </c>
      <c r="T28" s="773" t="s">
        <v>17</v>
      </c>
      <c r="U28" s="774">
        <f t="shared" si="13"/>
        <v>100</v>
      </c>
      <c r="V28" s="773" t="s">
        <v>17</v>
      </c>
      <c r="W28" s="774">
        <f t="shared" si="14"/>
        <v>100</v>
      </c>
      <c r="X28" s="1814"/>
      <c r="Y28" s="3355"/>
      <c r="Z28" s="1815" t="str">
        <f t="shared" si="15"/>
        <v>公共部分装修</v>
      </c>
      <c r="AA28" s="1812">
        <f t="shared" si="3"/>
        <v>1</v>
      </c>
      <c r="AB28" s="1812">
        <f t="shared" si="4"/>
        <v>1</v>
      </c>
      <c r="AC28" s="1812">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355"/>
      <c r="Q29" s="1811" t="str">
        <f t="shared" si="11"/>
        <v>成新率</v>
      </c>
      <c r="R29" s="773" t="s">
        <v>17</v>
      </c>
      <c r="S29" s="774" t="e">
        <f t="shared" si="12"/>
        <v>#N/A</v>
      </c>
      <c r="T29" s="773" t="s">
        <v>17</v>
      </c>
      <c r="U29" s="774" t="e">
        <f t="shared" si="13"/>
        <v>#N/A</v>
      </c>
      <c r="V29" s="773" t="s">
        <v>17</v>
      </c>
      <c r="W29" s="774" t="e">
        <f t="shared" si="14"/>
        <v>#N/A</v>
      </c>
      <c r="X29" s="1814"/>
      <c r="Y29" s="3355"/>
      <c r="Z29" s="1815" t="str">
        <f t="shared" si="15"/>
        <v>成新率</v>
      </c>
      <c r="AA29" s="1812" t="e">
        <f t="shared" si="3"/>
        <v>#N/A</v>
      </c>
      <c r="AB29" s="1812" t="e">
        <f t="shared" si="4"/>
        <v>#N/A</v>
      </c>
      <c r="AC29" s="1812"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355"/>
      <c r="Q30" s="1811" t="str">
        <f t="shared" si="11"/>
        <v>物业等级</v>
      </c>
      <c r="R30" s="773" t="s">
        <v>17</v>
      </c>
      <c r="S30" s="774">
        <f t="shared" si="12"/>
        <v>100</v>
      </c>
      <c r="T30" s="773" t="s">
        <v>17</v>
      </c>
      <c r="U30" s="774">
        <f t="shared" si="13"/>
        <v>100</v>
      </c>
      <c r="V30" s="773" t="s">
        <v>17</v>
      </c>
      <c r="W30" s="774">
        <f t="shared" si="14"/>
        <v>100</v>
      </c>
      <c r="X30" s="1814"/>
      <c r="Y30" s="3355"/>
      <c r="Z30" s="1815" t="str">
        <f t="shared" si="15"/>
        <v>物业等级</v>
      </c>
      <c r="AA30" s="1812">
        <f t="shared" si="3"/>
        <v>1</v>
      </c>
      <c r="AB30" s="1812">
        <f t="shared" si="4"/>
        <v>1</v>
      </c>
      <c r="AC30" s="1812">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355"/>
      <c r="Q31" s="1796" t="str">
        <f t="shared" si="11"/>
        <v>停车位面积</v>
      </c>
      <c r="R31" s="769" t="s">
        <v>17</v>
      </c>
      <c r="S31" s="770" t="e">
        <f t="shared" si="12"/>
        <v>#N/A</v>
      </c>
      <c r="T31" s="769" t="s">
        <v>17</v>
      </c>
      <c r="U31" s="770" t="e">
        <f t="shared" si="13"/>
        <v>#N/A</v>
      </c>
      <c r="V31" s="769" t="s">
        <v>17</v>
      </c>
      <c r="W31" s="770" t="e">
        <f t="shared" si="14"/>
        <v>#N/A</v>
      </c>
      <c r="X31" s="771"/>
      <c r="Y31" s="3355"/>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355" t="s">
        <v>2550</v>
      </c>
      <c r="Q32" s="1811" t="str">
        <f t="shared" si="11"/>
        <v>车位类型</v>
      </c>
      <c r="R32" s="773" t="s">
        <v>17</v>
      </c>
      <c r="S32" s="774">
        <f t="shared" si="12"/>
        <v>100</v>
      </c>
      <c r="T32" s="773" t="s">
        <v>17</v>
      </c>
      <c r="U32" s="774">
        <f t="shared" si="13"/>
        <v>100</v>
      </c>
      <c r="V32" s="773" t="s">
        <v>17</v>
      </c>
      <c r="W32" s="774">
        <f t="shared" si="14"/>
        <v>100</v>
      </c>
      <c r="X32" s="1814"/>
      <c r="Y32" s="3355" t="s">
        <v>2550</v>
      </c>
      <c r="Z32" s="1815" t="str">
        <f t="shared" si="15"/>
        <v>车位类型</v>
      </c>
      <c r="AA32" s="1812">
        <f t="shared" si="3"/>
        <v>1</v>
      </c>
      <c r="AB32" s="1812">
        <f t="shared" si="4"/>
        <v>1</v>
      </c>
      <c r="AC32" s="1812">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355"/>
      <c r="Q33" s="1811" t="str">
        <f t="shared" si="11"/>
        <v>是否直接入户</v>
      </c>
      <c r="R33" s="773" t="s">
        <v>17</v>
      </c>
      <c r="S33" s="774">
        <f t="shared" si="12"/>
        <v>100</v>
      </c>
      <c r="T33" s="773" t="s">
        <v>17</v>
      </c>
      <c r="U33" s="774">
        <f t="shared" si="13"/>
        <v>100</v>
      </c>
      <c r="V33" s="773" t="s">
        <v>17</v>
      </c>
      <c r="W33" s="774">
        <f t="shared" si="14"/>
        <v>100</v>
      </c>
      <c r="X33" s="1814"/>
      <c r="Y33" s="3355"/>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355"/>
      <c r="Q34" s="1811">
        <f t="shared" si="11"/>
        <v>111</v>
      </c>
      <c r="R34" s="773" t="s">
        <v>17</v>
      </c>
      <c r="S34" s="774">
        <f t="shared" si="12"/>
        <v>100</v>
      </c>
      <c r="T34" s="773" t="s">
        <v>17</v>
      </c>
      <c r="U34" s="774">
        <f t="shared" si="13"/>
        <v>100</v>
      </c>
      <c r="V34" s="773" t="s">
        <v>17</v>
      </c>
      <c r="W34" s="774">
        <f t="shared" si="14"/>
        <v>100</v>
      </c>
      <c r="X34" s="1814"/>
      <c r="Y34" s="3355"/>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355"/>
      <c r="Q35" s="775">
        <f t="shared" si="11"/>
        <v>111</v>
      </c>
      <c r="R35" s="776" t="s">
        <v>17</v>
      </c>
      <c r="S35" s="777">
        <f t="shared" si="12"/>
        <v>100</v>
      </c>
      <c r="T35" s="776" t="s">
        <v>17</v>
      </c>
      <c r="U35" s="777">
        <f t="shared" si="13"/>
        <v>100</v>
      </c>
      <c r="V35" s="776" t="s">
        <v>17</v>
      </c>
      <c r="W35" s="777">
        <f t="shared" si="14"/>
        <v>100</v>
      </c>
      <c r="X35" s="778"/>
      <c r="Y35" s="3355"/>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355"/>
      <c r="Q36" s="1811">
        <f t="shared" si="11"/>
        <v>111</v>
      </c>
      <c r="R36" s="773" t="s">
        <v>17</v>
      </c>
      <c r="S36" s="774">
        <f t="shared" si="12"/>
        <v>100</v>
      </c>
      <c r="T36" s="773" t="s">
        <v>17</v>
      </c>
      <c r="U36" s="774">
        <f t="shared" si="13"/>
        <v>100</v>
      </c>
      <c r="V36" s="773" t="s">
        <v>17</v>
      </c>
      <c r="W36" s="774">
        <f t="shared" si="14"/>
        <v>100</v>
      </c>
      <c r="X36" s="1814"/>
      <c r="Y36" s="3355"/>
      <c r="Z36" s="1815">
        <f t="shared" si="15"/>
        <v>111</v>
      </c>
      <c r="AA36" s="1812">
        <f t="shared" si="3"/>
        <v>1</v>
      </c>
      <c r="AB36" s="1812">
        <f t="shared" si="4"/>
        <v>1</v>
      </c>
      <c r="AC36" s="1812">
        <f t="shared" si="5"/>
        <v>1</v>
      </c>
    </row>
    <row r="37" spans="1:29" ht="15">
      <c r="A37" s="478" t="s">
        <v>2705</v>
      </c>
      <c r="B37" s="2692" t="s">
        <v>2706</v>
      </c>
      <c r="C37" s="1408" t="s">
        <v>1</v>
      </c>
      <c r="D37" s="1409"/>
      <c r="E37" s="1410"/>
      <c r="F37" s="1411"/>
      <c r="G37" s="1412"/>
      <c r="H37" s="1413"/>
      <c r="I37" s="1410"/>
      <c r="J37" s="1413"/>
      <c r="K37" s="618"/>
      <c r="L37" s="1144"/>
      <c r="M37" s="1145"/>
      <c r="N37" s="1132"/>
      <c r="O37" s="1145"/>
      <c r="P37" s="3348" t="str">
        <f>A37</f>
        <v>成交单价</v>
      </c>
      <c r="Q37" s="3348"/>
      <c r="R37" s="3349">
        <f>E37</f>
        <v>0</v>
      </c>
      <c r="S37" s="3349"/>
      <c r="T37" s="3349">
        <f>G37</f>
        <v>0</v>
      </c>
      <c r="U37" s="3349"/>
      <c r="V37" s="3349">
        <f>I37</f>
        <v>0</v>
      </c>
      <c r="W37" s="3349"/>
      <c r="X37" s="758"/>
      <c r="Y37" s="780"/>
      <c r="Z37" s="758"/>
      <c r="AA37" s="758"/>
      <c r="AB37" s="758"/>
      <c r="AC37" s="758"/>
    </row>
    <row r="38" spans="1:29" ht="15.75" thickBot="1">
      <c r="A38" s="485" t="s">
        <v>2707</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8"/>
      <c r="Y38" s="758"/>
      <c r="Z38" s="758"/>
      <c r="AA38" s="758"/>
      <c r="AB38" s="758"/>
      <c r="AC38" s="758"/>
    </row>
    <row r="39" spans="1:29" ht="15.75" thickBot="1">
      <c r="A39" s="491" t="s">
        <v>2708</v>
      </c>
      <c r="B39" s="492"/>
      <c r="C39" s="1418" t="e">
        <f>R39</f>
        <v>#DIV/0!</v>
      </c>
      <c r="D39" s="1418"/>
      <c r="E39" s="1418"/>
      <c r="F39" s="1418"/>
      <c r="G39" s="1418"/>
      <c r="H39" s="1418"/>
      <c r="I39" s="1418"/>
      <c r="J39" s="1418"/>
      <c r="K39" s="620"/>
      <c r="L39" s="1144"/>
      <c r="M39" s="1145"/>
      <c r="N39" s="1145"/>
      <c r="O39" s="1145"/>
      <c r="P39" s="3345" t="str">
        <f>A39</f>
        <v>估价对象XX用房的比较价值（楼面单价，元/平方米）</v>
      </c>
      <c r="Q39" s="3346"/>
      <c r="R39" s="3347" t="e">
        <f>IF(F1="售价",ROUND(AVERAGE(R38:V38),0),ROUND(AVERAGE(R38:V38),1))</f>
        <v>#DIV/0!</v>
      </c>
      <c r="S39" s="3347"/>
      <c r="T39" s="3347"/>
      <c r="U39" s="3347"/>
      <c r="V39" s="3347"/>
      <c r="W39" s="3347"/>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2713</v>
      </c>
      <c r="B48" s="505"/>
      <c r="C48" s="1575" t="str">
        <f>YEAR(C7)&amp;"-"&amp;MONTH(C7)</f>
        <v>2018-2</v>
      </c>
      <c r="D48" s="1576">
        <f>EDATE(C48,-1)</f>
        <v>43101</v>
      </c>
      <c r="E48" s="1576">
        <f t="shared" ref="E48:O48" si="16">EDATE(D48,-1)</f>
        <v>43070</v>
      </c>
      <c r="F48" s="1576">
        <f t="shared" si="16"/>
        <v>43040</v>
      </c>
      <c r="G48" s="1576">
        <f t="shared" si="16"/>
        <v>43009</v>
      </c>
      <c r="H48" s="1576">
        <f t="shared" si="16"/>
        <v>42979</v>
      </c>
      <c r="I48" s="1576">
        <f t="shared" si="16"/>
        <v>42948</v>
      </c>
      <c r="J48" s="1576">
        <f t="shared" si="16"/>
        <v>42917</v>
      </c>
      <c r="K48" s="1576">
        <f t="shared" si="16"/>
        <v>42887</v>
      </c>
      <c r="L48" s="1576">
        <f t="shared" si="16"/>
        <v>42856</v>
      </c>
      <c r="M48" s="1576">
        <f t="shared" si="16"/>
        <v>42826</v>
      </c>
      <c r="N48" s="1576">
        <f t="shared" si="16"/>
        <v>42795</v>
      </c>
      <c r="O48" s="1576">
        <f t="shared" si="16"/>
        <v>42767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2570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2535</v>
      </c>
      <c r="B51" s="509"/>
      <c r="C51" s="521" t="s">
        <v>2637</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2573</v>
      </c>
      <c r="B53" s="527" t="s">
        <v>2539</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2588</v>
      </c>
      <c r="C65" s="577" t="s">
        <v>2582</v>
      </c>
      <c r="D65" s="577" t="s">
        <v>2583</v>
      </c>
      <c r="E65" s="577" t="s">
        <v>2584</v>
      </c>
      <c r="F65" s="577" t="s">
        <v>2585</v>
      </c>
      <c r="G65" s="577" t="s">
        <v>2586</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2674</v>
      </c>
      <c r="C67" s="659" t="s">
        <v>2660</v>
      </c>
      <c r="D67" s="659" t="s">
        <v>2661</v>
      </c>
      <c r="E67" s="659" t="s">
        <v>2662</v>
      </c>
      <c r="F67" s="659" t="s">
        <v>2663</v>
      </c>
      <c r="G67" s="659" t="s">
        <v>2664</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2594</v>
      </c>
      <c r="C69" s="577" t="s">
        <v>2582</v>
      </c>
      <c r="D69" s="577" t="s">
        <v>2583</v>
      </c>
      <c r="E69" s="577" t="s">
        <v>2584</v>
      </c>
      <c r="F69" s="577" t="s">
        <v>2585</v>
      </c>
      <c r="G69" s="577" t="s">
        <v>2586</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2714</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2548</v>
      </c>
      <c r="B79" s="527" t="s">
        <v>2715</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2716</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2601</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2718</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2720</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2721</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2692</v>
      </c>
      <c r="B1" s="1620"/>
      <c r="C1" s="1621" t="s">
        <v>2515</v>
      </c>
      <c r="D1" s="1622"/>
      <c r="E1" s="1631"/>
      <c r="F1" s="2581"/>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19" t="e">
        <f ca="1">IF(C2="——",ROUND(C37*D3/10000,0),ROUND(C37*D3/10000,0)-D2)</f>
        <v>#DIV/0!</v>
      </c>
      <c r="C2" s="2583"/>
      <c r="D2" s="1125" t="e">
        <f ca="1">SUMIF(INDIRECT("'"&amp;F2&amp;"'"&amp;"!A:A"),"承租人权益价值",INDIRECT("'"&amp;F2&amp;"'"&amp;"!c:c"))</f>
        <v>#REF!</v>
      </c>
      <c r="E2" s="2584" t="s">
        <v>2313</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2630</v>
      </c>
      <c r="B4" s="401"/>
      <c r="C4" s="3331" t="s">
        <v>2631</v>
      </c>
      <c r="D4" s="3332"/>
      <c r="E4" s="3333" t="s">
        <v>2632</v>
      </c>
      <c r="F4" s="3334"/>
      <c r="G4" s="3331" t="s">
        <v>2633</v>
      </c>
      <c r="H4" s="3332"/>
      <c r="I4" s="3331" t="s">
        <v>2634</v>
      </c>
      <c r="J4" s="3332"/>
      <c r="K4" s="609" t="s">
        <v>2635</v>
      </c>
      <c r="L4" s="1131"/>
      <c r="M4" s="1132"/>
      <c r="N4" s="1132"/>
      <c r="O4" s="1132"/>
      <c r="P4" s="3335" t="s">
        <v>2636</v>
      </c>
      <c r="Q4" s="3336"/>
      <c r="R4" s="3318" t="s">
        <v>2632</v>
      </c>
      <c r="S4" s="3319"/>
      <c r="T4" s="3318" t="s">
        <v>2633</v>
      </c>
      <c r="U4" s="3319"/>
      <c r="V4" s="3343" t="s">
        <v>2634</v>
      </c>
      <c r="W4" s="3343"/>
      <c r="X4" s="1814"/>
      <c r="Y4" s="3318" t="s">
        <v>2636</v>
      </c>
      <c r="Z4" s="3319"/>
      <c r="AA4" s="3313" t="s">
        <v>2632</v>
      </c>
      <c r="AB4" s="3314" t="s">
        <v>2633</v>
      </c>
      <c r="AC4" s="3313" t="s">
        <v>2634</v>
      </c>
    </row>
    <row r="5" spans="1:29" ht="15">
      <c r="A5" s="403"/>
      <c r="B5" s="404"/>
      <c r="C5" s="3324" t="s">
        <v>2527</v>
      </c>
      <c r="D5" s="3325"/>
      <c r="E5" s="3322" t="s">
        <v>2528</v>
      </c>
      <c r="F5" s="3323"/>
      <c r="G5" s="3324" t="s">
        <v>2529</v>
      </c>
      <c r="H5" s="3325"/>
      <c r="I5" s="3324" t="s">
        <v>2530</v>
      </c>
      <c r="J5" s="3325"/>
      <c r="K5" s="609"/>
      <c r="L5" s="1131"/>
      <c r="M5" s="1132"/>
      <c r="N5" s="1132"/>
      <c r="O5" s="1132"/>
      <c r="P5" s="3337"/>
      <c r="Q5" s="3338"/>
      <c r="R5" s="3320"/>
      <c r="S5" s="3321"/>
      <c r="T5" s="3320"/>
      <c r="U5" s="3321"/>
      <c r="V5" s="3343"/>
      <c r="W5" s="3343"/>
      <c r="X5" s="1814"/>
      <c r="Y5" s="3320"/>
      <c r="Z5" s="3321"/>
      <c r="AA5" s="3314"/>
      <c r="AB5" s="3314"/>
      <c r="AC5" s="3314"/>
    </row>
    <row r="6" spans="1:29" ht="15.75" thickBot="1">
      <c r="A6" s="405"/>
      <c r="B6" s="406"/>
      <c r="C6" s="3326" t="s">
        <v>2531</v>
      </c>
      <c r="D6" s="3327"/>
      <c r="E6" s="3328" t="s">
        <v>2531</v>
      </c>
      <c r="F6" s="3329"/>
      <c r="G6" s="3326" t="s">
        <v>2531</v>
      </c>
      <c r="H6" s="3327"/>
      <c r="I6" s="3326" t="s">
        <v>2531</v>
      </c>
      <c r="J6" s="3327"/>
      <c r="K6" s="609" t="s">
        <v>2532</v>
      </c>
      <c r="L6" s="1131"/>
      <c r="M6" s="1132"/>
      <c r="N6" s="1132"/>
      <c r="O6" s="1132"/>
      <c r="P6" s="3339"/>
      <c r="Q6" s="3340"/>
      <c r="R6" s="3320"/>
      <c r="S6" s="3321"/>
      <c r="T6" s="3341"/>
      <c r="U6" s="3342"/>
      <c r="V6" s="3343"/>
      <c r="W6" s="3343"/>
      <c r="X6" s="1814"/>
      <c r="Y6" s="3341"/>
      <c r="Z6" s="3342"/>
      <c r="AA6" s="3315"/>
      <c r="AB6" s="3315"/>
      <c r="AC6" s="3315"/>
    </row>
    <row r="7" spans="1:29" s="117" customFormat="1" ht="15.75" thickBot="1">
      <c r="A7" s="407" t="s">
        <v>2533</v>
      </c>
      <c r="B7" s="408"/>
      <c r="C7" s="409">
        <f>'数据-取费表'!B2</f>
        <v>43138</v>
      </c>
      <c r="D7" s="410">
        <v>100</v>
      </c>
      <c r="E7" s="411"/>
      <c r="F7" s="412">
        <f>SUMIF(46:46,YEAR(E7)&amp;"-"&amp;MONTH(E7),47:47)</f>
        <v>0</v>
      </c>
      <c r="G7" s="2693"/>
      <c r="H7" s="410">
        <f>SUMIF(46:46,YEAR(G7)&amp;"-"&amp;MONTH(G7),47:47)</f>
        <v>0</v>
      </c>
      <c r="I7" s="411"/>
      <c r="J7" s="410">
        <f>SUMIF(46:46,YEAR(I7)&amp;"-"&amp;MONTH(I7),47:47)</f>
        <v>0</v>
      </c>
      <c r="K7" s="610"/>
      <c r="L7" s="1133"/>
      <c r="M7" s="1134"/>
      <c r="N7" s="1134"/>
      <c r="O7" s="1134"/>
      <c r="P7" s="3316" t="s">
        <v>2534</v>
      </c>
      <c r="Q7" s="3344"/>
      <c r="R7" s="769" t="s">
        <v>17</v>
      </c>
      <c r="S7" s="770">
        <f t="shared" ref="S7:S14" si="0">F7</f>
        <v>0</v>
      </c>
      <c r="T7" s="769" t="s">
        <v>17</v>
      </c>
      <c r="U7" s="770">
        <f t="shared" ref="U7:U14" si="1">H7</f>
        <v>0</v>
      </c>
      <c r="V7" s="769" t="s">
        <v>17</v>
      </c>
      <c r="W7" s="770">
        <f t="shared" ref="W7:W14" si="2">J7</f>
        <v>0</v>
      </c>
      <c r="X7" s="771"/>
      <c r="Y7" s="3316" t="s">
        <v>2534</v>
      </c>
      <c r="Z7" s="3317"/>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316" t="s">
        <v>2537</v>
      </c>
      <c r="Q8" s="3317"/>
      <c r="R8" s="769" t="s">
        <v>17</v>
      </c>
      <c r="S8" s="770">
        <f t="shared" si="0"/>
        <v>0</v>
      </c>
      <c r="T8" s="769" t="s">
        <v>17</v>
      </c>
      <c r="U8" s="770">
        <f t="shared" si="1"/>
        <v>0</v>
      </c>
      <c r="V8" s="769" t="s">
        <v>17</v>
      </c>
      <c r="W8" s="770">
        <f t="shared" si="2"/>
        <v>0</v>
      </c>
      <c r="X8" s="771"/>
      <c r="Y8" s="3316" t="s">
        <v>2537</v>
      </c>
      <c r="Z8" s="3317"/>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348" t="s">
        <v>2540</v>
      </c>
      <c r="Q9" s="1796" t="str">
        <f t="shared" ref="Q9:Q14" si="6">B9</f>
        <v>用途</v>
      </c>
      <c r="R9" s="769" t="s">
        <v>17</v>
      </c>
      <c r="S9" s="770">
        <f t="shared" si="0"/>
        <v>100</v>
      </c>
      <c r="T9" s="769" t="s">
        <v>17</v>
      </c>
      <c r="U9" s="770">
        <f t="shared" si="1"/>
        <v>100</v>
      </c>
      <c r="V9" s="769" t="s">
        <v>17</v>
      </c>
      <c r="W9" s="770">
        <f t="shared" si="2"/>
        <v>100</v>
      </c>
      <c r="X9" s="771"/>
      <c r="Y9" s="3143"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348"/>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348"/>
      <c r="Q11" s="1796">
        <f t="shared" si="6"/>
        <v>111</v>
      </c>
      <c r="R11" s="769" t="s">
        <v>17</v>
      </c>
      <c r="S11" s="770">
        <f t="shared" si="0"/>
        <v>100</v>
      </c>
      <c r="T11" s="769" t="s">
        <v>17</v>
      </c>
      <c r="U11" s="770">
        <f t="shared" si="1"/>
        <v>100</v>
      </c>
      <c r="V11" s="769" t="s">
        <v>17</v>
      </c>
      <c r="W11" s="770">
        <f t="shared" si="2"/>
        <v>100</v>
      </c>
      <c r="X11" s="771"/>
      <c r="Y11" s="3143"/>
      <c r="Z11" s="55">
        <f t="shared" si="7"/>
        <v>111</v>
      </c>
      <c r="AA11" s="772">
        <f t="shared" si="3"/>
        <v>1</v>
      </c>
      <c r="AB11" s="772">
        <f t="shared" si="4"/>
        <v>1</v>
      </c>
      <c r="AC11" s="772">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348"/>
      <c r="Q12" s="1796">
        <f t="shared" si="6"/>
        <v>111</v>
      </c>
      <c r="R12" s="769" t="s">
        <v>17</v>
      </c>
      <c r="S12" s="770">
        <f t="shared" si="0"/>
        <v>100</v>
      </c>
      <c r="T12" s="769" t="s">
        <v>17</v>
      </c>
      <c r="U12" s="770">
        <f t="shared" si="1"/>
        <v>100</v>
      </c>
      <c r="V12" s="769" t="s">
        <v>17</v>
      </c>
      <c r="W12" s="770">
        <f t="shared" si="2"/>
        <v>100</v>
      </c>
      <c r="X12" s="771"/>
      <c r="Y12" s="3143"/>
      <c r="Z12" s="55">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41"/>
      <c r="M13" s="1132"/>
      <c r="N13" s="1132"/>
      <c r="O13" s="1140"/>
      <c r="P13" s="3348"/>
      <c r="Q13" s="1796">
        <f t="shared" si="6"/>
        <v>111</v>
      </c>
      <c r="R13" s="769" t="s">
        <v>17</v>
      </c>
      <c r="S13" s="770">
        <f t="shared" si="0"/>
        <v>100</v>
      </c>
      <c r="T13" s="769" t="s">
        <v>17</v>
      </c>
      <c r="U13" s="770">
        <f t="shared" si="1"/>
        <v>100</v>
      </c>
      <c r="V13" s="769" t="s">
        <v>17</v>
      </c>
      <c r="W13" s="770">
        <f t="shared" si="2"/>
        <v>100</v>
      </c>
      <c r="X13" s="771"/>
      <c r="Y13" s="3143"/>
      <c r="Z13" s="55">
        <f t="shared" si="7"/>
        <v>111</v>
      </c>
      <c r="AA13" s="772">
        <f t="shared" si="3"/>
        <v>1</v>
      </c>
      <c r="AB13" s="772">
        <f t="shared" si="4"/>
        <v>1</v>
      </c>
      <c r="AC13" s="772">
        <f t="shared" si="5"/>
        <v>1</v>
      </c>
    </row>
    <row r="14" spans="1:29" ht="15">
      <c r="A14" s="439" t="s">
        <v>2544</v>
      </c>
      <c r="B14" s="69" t="s">
        <v>2694</v>
      </c>
      <c r="C14" s="2690">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350" t="s">
        <v>2545</v>
      </c>
      <c r="Q14" s="1811" t="str">
        <f t="shared" si="6"/>
        <v>交通便捷度</v>
      </c>
      <c r="R14" s="773" t="s">
        <v>17</v>
      </c>
      <c r="S14" s="774">
        <f t="shared" si="0"/>
        <v>100</v>
      </c>
      <c r="T14" s="773" t="s">
        <v>17</v>
      </c>
      <c r="U14" s="774">
        <f t="shared" si="1"/>
        <v>100</v>
      </c>
      <c r="V14" s="773" t="s">
        <v>17</v>
      </c>
      <c r="W14" s="774">
        <f t="shared" si="2"/>
        <v>100</v>
      </c>
      <c r="X14" s="1814"/>
      <c r="Y14" s="3350" t="s">
        <v>2545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351"/>
      <c r="Q15" s="1811"/>
      <c r="R15" s="773"/>
      <c r="S15" s="774"/>
      <c r="T15" s="773"/>
      <c r="U15" s="774"/>
      <c r="V15" s="773"/>
      <c r="W15" s="774"/>
      <c r="X15" s="1814"/>
      <c r="Y15" s="3351"/>
      <c r="Z15" s="1815"/>
      <c r="AA15" s="1812">
        <v>1</v>
      </c>
      <c r="AB15" s="1812">
        <v>1</v>
      </c>
      <c r="AC15" s="1812">
        <v>1</v>
      </c>
    </row>
    <row r="16" spans="1:29" ht="15">
      <c r="A16" s="427"/>
      <c r="B16" s="450" t="s">
        <v>2673</v>
      </c>
      <c r="C16" s="2604">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351"/>
      <c r="Q16" s="1811" t="str">
        <f>B16</f>
        <v>公共配套设施</v>
      </c>
      <c r="R16" s="773" t="s">
        <v>17</v>
      </c>
      <c r="S16" s="774">
        <f>F16</f>
        <v>100</v>
      </c>
      <c r="T16" s="773" t="s">
        <v>17</v>
      </c>
      <c r="U16" s="774">
        <f>H16</f>
        <v>100</v>
      </c>
      <c r="V16" s="773" t="s">
        <v>17</v>
      </c>
      <c r="W16" s="774">
        <f>J16</f>
        <v>100</v>
      </c>
      <c r="X16" s="1814"/>
      <c r="Y16" s="3351"/>
      <c r="Z16" s="1815" t="str">
        <f>Q16</f>
        <v>公共配套设施</v>
      </c>
      <c r="AA16" s="1812">
        <f t="shared" si="3"/>
        <v>1</v>
      </c>
      <c r="AB16" s="1812">
        <f t="shared" si="4"/>
        <v>1</v>
      </c>
      <c r="AC16" s="1812">
        <f t="shared" si="5"/>
        <v>1</v>
      </c>
    </row>
    <row r="17" spans="1:29" ht="15">
      <c r="A17" s="427"/>
      <c r="B17" s="455"/>
      <c r="C17" s="2605"/>
      <c r="D17" s="447"/>
      <c r="E17" s="446"/>
      <c r="F17" s="448"/>
      <c r="G17" s="446"/>
      <c r="H17" s="447"/>
      <c r="I17" s="446"/>
      <c r="J17" s="447"/>
      <c r="K17" s="614"/>
      <c r="L17" s="1141"/>
      <c r="M17" s="1132"/>
      <c r="N17" s="1132"/>
      <c r="O17" s="1140"/>
      <c r="P17" s="3351"/>
      <c r="Q17" s="1811"/>
      <c r="R17" s="773"/>
      <c r="S17" s="774"/>
      <c r="T17" s="773"/>
      <c r="U17" s="774"/>
      <c r="V17" s="773"/>
      <c r="W17" s="774"/>
      <c r="X17" s="1814"/>
      <c r="Y17" s="3351"/>
      <c r="Z17" s="1815"/>
      <c r="AA17" s="1812">
        <v>1</v>
      </c>
      <c r="AB17" s="1812">
        <v>1</v>
      </c>
      <c r="AC17" s="1812">
        <v>1</v>
      </c>
    </row>
    <row r="18" spans="1:29" ht="15">
      <c r="A18" s="427"/>
      <c r="B18" s="1385" t="s">
        <v>2674</v>
      </c>
      <c r="C18" s="2604">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351"/>
      <c r="Q18" s="1811" t="str">
        <f>B18</f>
        <v>基础设施水平</v>
      </c>
      <c r="R18" s="773" t="s">
        <v>17</v>
      </c>
      <c r="S18" s="774">
        <f>F18</f>
        <v>100</v>
      </c>
      <c r="T18" s="773" t="s">
        <v>17</v>
      </c>
      <c r="U18" s="774">
        <f>H18</f>
        <v>100</v>
      </c>
      <c r="V18" s="773" t="s">
        <v>17</v>
      </c>
      <c r="W18" s="774">
        <f>J18</f>
        <v>100</v>
      </c>
      <c r="X18" s="1814"/>
      <c r="Y18" s="3351"/>
      <c r="Z18" s="1815" t="str">
        <f>Q18</f>
        <v>基础设施水平</v>
      </c>
      <c r="AA18" s="1812">
        <f t="shared" ref="AA18" si="8">D18/F18</f>
        <v>1</v>
      </c>
      <c r="AB18" s="1812">
        <f t="shared" ref="AB18" si="9">D18/H18</f>
        <v>1</v>
      </c>
      <c r="AC18" s="1812">
        <f t="shared" ref="AC18" si="10">D18/J18</f>
        <v>1</v>
      </c>
    </row>
    <row r="19" spans="1:29" ht="15">
      <c r="A19" s="427"/>
      <c r="B19" s="1385"/>
      <c r="C19" s="2605"/>
      <c r="D19" s="449"/>
      <c r="E19" s="2605"/>
      <c r="F19" s="452"/>
      <c r="G19" s="2605"/>
      <c r="H19" s="447"/>
      <c r="I19" s="446"/>
      <c r="J19" s="447"/>
      <c r="K19" s="1384"/>
      <c r="L19" s="1141"/>
      <c r="M19" s="1132"/>
      <c r="N19" s="1132"/>
      <c r="O19" s="1140"/>
      <c r="P19" s="3351"/>
      <c r="Q19" s="1811"/>
      <c r="R19" s="773"/>
      <c r="S19" s="774"/>
      <c r="T19" s="773"/>
      <c r="U19" s="774"/>
      <c r="V19" s="773"/>
      <c r="W19" s="774"/>
      <c r="X19" s="1814"/>
      <c r="Y19" s="3351"/>
      <c r="Z19" s="1815"/>
      <c r="AA19" s="1812">
        <v>1</v>
      </c>
      <c r="AB19" s="1812">
        <v>1</v>
      </c>
      <c r="AC19" s="1812">
        <v>1</v>
      </c>
    </row>
    <row r="20" spans="1:29" ht="15">
      <c r="A20" s="427"/>
      <c r="B20" s="450" t="s">
        <v>2695</v>
      </c>
      <c r="C20" s="2604">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351"/>
      <c r="Q20" s="1811" t="str">
        <f>B20</f>
        <v>自然及人文环境</v>
      </c>
      <c r="R20" s="773" t="s">
        <v>17</v>
      </c>
      <c r="S20" s="774">
        <f>F20</f>
        <v>100</v>
      </c>
      <c r="T20" s="773" t="s">
        <v>17</v>
      </c>
      <c r="U20" s="774">
        <f>H20</f>
        <v>100</v>
      </c>
      <c r="V20" s="773" t="s">
        <v>17</v>
      </c>
      <c r="W20" s="774">
        <f>J20</f>
        <v>100</v>
      </c>
      <c r="X20" s="1814"/>
      <c r="Y20" s="3351"/>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351"/>
      <c r="Q21" s="1811"/>
      <c r="R21" s="773"/>
      <c r="S21" s="774"/>
      <c r="T21" s="773"/>
      <c r="U21" s="774"/>
      <c r="V21" s="773"/>
      <c r="W21" s="774"/>
      <c r="X21" s="1814"/>
      <c r="Y21" s="3351"/>
      <c r="Z21" s="1815"/>
      <c r="AA21" s="1812">
        <v>1</v>
      </c>
      <c r="AB21" s="1812">
        <v>1</v>
      </c>
      <c r="AC21" s="1812">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351"/>
      <c r="Q22" s="1811" t="str">
        <f>B22</f>
        <v>楼层</v>
      </c>
      <c r="R22" s="773" t="s">
        <v>17</v>
      </c>
      <c r="S22" s="774">
        <f>F22</f>
        <v>100</v>
      </c>
      <c r="T22" s="773" t="s">
        <v>17</v>
      </c>
      <c r="U22" s="774">
        <f>H22</f>
        <v>100</v>
      </c>
      <c r="V22" s="773" t="s">
        <v>17</v>
      </c>
      <c r="W22" s="774">
        <f>J22</f>
        <v>100</v>
      </c>
      <c r="X22" s="1814"/>
      <c r="Y22" s="3351"/>
      <c r="Z22" s="1815" t="str">
        <f>Q22</f>
        <v>楼层</v>
      </c>
      <c r="AA22" s="1812">
        <f t="shared" si="3"/>
        <v>1</v>
      </c>
      <c r="AB22" s="1812">
        <f t="shared" si="4"/>
        <v>1</v>
      </c>
      <c r="AC22" s="1812">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351"/>
      <c r="Q23" s="1811">
        <f>B23</f>
        <v>111</v>
      </c>
      <c r="R23" s="773" t="s">
        <v>17</v>
      </c>
      <c r="S23" s="774">
        <f>F23</f>
        <v>100</v>
      </c>
      <c r="T23" s="773" t="s">
        <v>17</v>
      </c>
      <c r="U23" s="774">
        <f>H23</f>
        <v>100</v>
      </c>
      <c r="V23" s="773" t="s">
        <v>17</v>
      </c>
      <c r="W23" s="774">
        <f>J23</f>
        <v>100</v>
      </c>
      <c r="X23" s="1814"/>
      <c r="Y23" s="3351"/>
      <c r="Z23" s="1815">
        <f>Q23</f>
        <v>111</v>
      </c>
      <c r="AA23" s="1812">
        <f t="shared" si="3"/>
        <v>1</v>
      </c>
      <c r="AB23" s="1812">
        <f t="shared" si="4"/>
        <v>1</v>
      </c>
      <c r="AC23" s="1812">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351"/>
      <c r="Q24" s="1811">
        <f t="shared" ref="Q24:Q34" si="11">B24</f>
        <v>111</v>
      </c>
      <c r="R24" s="773" t="s">
        <v>17</v>
      </c>
      <c r="S24" s="774">
        <f>F24</f>
        <v>100</v>
      </c>
      <c r="T24" s="773" t="s">
        <v>17</v>
      </c>
      <c r="U24" s="774">
        <f>H24</f>
        <v>100</v>
      </c>
      <c r="V24" s="773" t="s">
        <v>17</v>
      </c>
      <c r="W24" s="774">
        <f>J24</f>
        <v>100</v>
      </c>
      <c r="X24" s="1814"/>
      <c r="Y24" s="3351"/>
      <c r="Z24" s="1815">
        <f>Q24</f>
        <v>111</v>
      </c>
      <c r="AA24" s="1812">
        <f t="shared" si="3"/>
        <v>1</v>
      </c>
      <c r="AB24" s="1812">
        <f t="shared" si="4"/>
        <v>1</v>
      </c>
      <c r="AC24" s="1812">
        <f t="shared" si="5"/>
        <v>1</v>
      </c>
    </row>
    <row r="25" spans="1:29" s="117"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33"/>
      <c r="M25" s="1134"/>
      <c r="N25" s="1134"/>
      <c r="O25" s="1135"/>
      <c r="P25" s="3351"/>
      <c r="Q25" s="1796">
        <f t="shared" si="11"/>
        <v>111</v>
      </c>
      <c r="R25" s="769" t="s">
        <v>17</v>
      </c>
      <c r="S25" s="770">
        <f>F25</f>
        <v>100</v>
      </c>
      <c r="T25" s="769" t="s">
        <v>17</v>
      </c>
      <c r="U25" s="770">
        <f>H25</f>
        <v>100</v>
      </c>
      <c r="V25" s="769" t="s">
        <v>17</v>
      </c>
      <c r="W25" s="770">
        <f>J25</f>
        <v>100</v>
      </c>
      <c r="X25" s="771"/>
      <c r="Y25" s="3351"/>
      <c r="Z25" s="55">
        <f>Q25</f>
        <v>111</v>
      </c>
      <c r="AA25" s="1812">
        <f>D25/F25</f>
        <v>1</v>
      </c>
      <c r="AB25" s="1812">
        <f>D25/H25</f>
        <v>1</v>
      </c>
      <c r="AC25" s="1812">
        <f>D25/J25</f>
        <v>1</v>
      </c>
    </row>
    <row r="26" spans="1:29" ht="15">
      <c r="A26" s="465" t="s">
        <v>2548</v>
      </c>
      <c r="B26" s="71" t="s">
        <v>2699</v>
      </c>
      <c r="C26" s="2676"/>
      <c r="D26" s="466">
        <v>100</v>
      </c>
      <c r="E26" s="2676"/>
      <c r="F26" s="666">
        <f>SUMIF(77:77,E26,78:78)-SUMIF(77:77,C26,78:78)+100</f>
        <v>100</v>
      </c>
      <c r="G26" s="2676"/>
      <c r="H26" s="466">
        <f>SUMIF(77:77,G26,78:78)-SUMIF(77:77,C26,78:78)+100</f>
        <v>100</v>
      </c>
      <c r="I26" s="2676"/>
      <c r="J26" s="466">
        <f>SUMIF(77:77,I26,78:78)-SUMIF(77:77,C26,78:78)+100</f>
        <v>100</v>
      </c>
      <c r="K26" s="611"/>
      <c r="L26" s="1141"/>
      <c r="M26" s="1132"/>
      <c r="N26" s="1132"/>
      <c r="O26" s="1140"/>
      <c r="P26" s="3374" t="s">
        <v>2550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355" t="s">
        <v>2550</v>
      </c>
      <c r="Z26" s="1815" t="str">
        <f t="shared" ref="Z26:Z34" si="15">Q26</f>
        <v>公共部分装修</v>
      </c>
      <c r="AA26" s="1812">
        <f t="shared" si="3"/>
        <v>1</v>
      </c>
      <c r="AB26" s="1812">
        <f t="shared" si="4"/>
        <v>1</v>
      </c>
      <c r="AC26" s="1812">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355"/>
      <c r="Q27" s="775" t="str">
        <f t="shared" si="11"/>
        <v>成新率</v>
      </c>
      <c r="R27" s="776" t="s">
        <v>17</v>
      </c>
      <c r="S27" s="777" t="e">
        <f t="shared" si="12"/>
        <v>#N/A</v>
      </c>
      <c r="T27" s="776" t="s">
        <v>17</v>
      </c>
      <c r="U27" s="777" t="e">
        <f t="shared" si="13"/>
        <v>#N/A</v>
      </c>
      <c r="V27" s="776" t="s">
        <v>17</v>
      </c>
      <c r="W27" s="777" t="e">
        <f t="shared" si="14"/>
        <v>#N/A</v>
      </c>
      <c r="X27" s="778"/>
      <c r="Y27" s="3355"/>
      <c r="Z27" s="779" t="str">
        <f t="shared" si="15"/>
        <v>成新率</v>
      </c>
      <c r="AA27" s="1812" t="e">
        <f t="shared" si="3"/>
        <v>#N/A</v>
      </c>
      <c r="AB27" s="1812" t="e">
        <f t="shared" si="4"/>
        <v>#N/A</v>
      </c>
      <c r="AC27" s="1812"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355"/>
      <c r="Q28" s="1811" t="str">
        <f t="shared" si="11"/>
        <v>物业等级</v>
      </c>
      <c r="R28" s="773" t="s">
        <v>17</v>
      </c>
      <c r="S28" s="774">
        <f t="shared" si="12"/>
        <v>100</v>
      </c>
      <c r="T28" s="773" t="s">
        <v>17</v>
      </c>
      <c r="U28" s="774">
        <f t="shared" si="13"/>
        <v>100</v>
      </c>
      <c r="V28" s="773" t="s">
        <v>17</v>
      </c>
      <c r="W28" s="774">
        <f t="shared" si="14"/>
        <v>100</v>
      </c>
      <c r="X28" s="1814"/>
      <c r="Y28" s="3355"/>
      <c r="Z28" s="1815" t="str">
        <f t="shared" si="15"/>
        <v>物业等级</v>
      </c>
      <c r="AA28" s="1812">
        <f t="shared" si="3"/>
        <v>1</v>
      </c>
      <c r="AB28" s="1812">
        <f t="shared" si="4"/>
        <v>1</v>
      </c>
      <c r="AC28" s="1812">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355"/>
      <c r="Q29" s="1811" t="str">
        <f t="shared" si="11"/>
        <v>有无电梯</v>
      </c>
      <c r="R29" s="773" t="s">
        <v>17</v>
      </c>
      <c r="S29" s="774">
        <f t="shared" si="12"/>
        <v>100</v>
      </c>
      <c r="T29" s="773" t="s">
        <v>17</v>
      </c>
      <c r="U29" s="774">
        <f t="shared" si="13"/>
        <v>100</v>
      </c>
      <c r="V29" s="773" t="s">
        <v>17</v>
      </c>
      <c r="W29" s="774">
        <f t="shared" si="14"/>
        <v>100</v>
      </c>
      <c r="X29" s="1814"/>
      <c r="Y29" s="3355"/>
      <c r="Z29" s="1815" t="str">
        <f t="shared" si="15"/>
        <v>有无电梯</v>
      </c>
      <c r="AA29" s="1812">
        <f t="shared" si="3"/>
        <v>1</v>
      </c>
      <c r="AB29" s="1812">
        <f t="shared" si="4"/>
        <v>1</v>
      </c>
      <c r="AC29" s="1812">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355"/>
      <c r="Q30" s="1811" t="str">
        <f t="shared" si="11"/>
        <v>建筑面积</v>
      </c>
      <c r="R30" s="773" t="s">
        <v>17</v>
      </c>
      <c r="S30" s="774" t="e">
        <f t="shared" si="12"/>
        <v>#N/A</v>
      </c>
      <c r="T30" s="773" t="s">
        <v>17</v>
      </c>
      <c r="U30" s="774" t="e">
        <f t="shared" si="13"/>
        <v>#N/A</v>
      </c>
      <c r="V30" s="773" t="s">
        <v>17</v>
      </c>
      <c r="W30" s="774" t="e">
        <f t="shared" si="14"/>
        <v>#N/A</v>
      </c>
      <c r="X30" s="1814"/>
      <c r="Y30" s="3355"/>
      <c r="Z30" s="1815" t="str">
        <f t="shared" si="15"/>
        <v>建筑面积</v>
      </c>
      <c r="AA30" s="1812" t="e">
        <f t="shared" si="3"/>
        <v>#N/A</v>
      </c>
      <c r="AB30" s="1812" t="e">
        <f t="shared" si="4"/>
        <v>#N/A</v>
      </c>
      <c r="AC30" s="1812"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355"/>
      <c r="Q31" s="1796" t="str">
        <f t="shared" si="11"/>
        <v>是否封闭</v>
      </c>
      <c r="R31" s="769" t="s">
        <v>17</v>
      </c>
      <c r="S31" s="770">
        <f t="shared" si="12"/>
        <v>100</v>
      </c>
      <c r="T31" s="769" t="s">
        <v>17</v>
      </c>
      <c r="U31" s="770">
        <f t="shared" si="13"/>
        <v>100</v>
      </c>
      <c r="V31" s="769" t="s">
        <v>17</v>
      </c>
      <c r="W31" s="770">
        <f t="shared" si="14"/>
        <v>100</v>
      </c>
      <c r="X31" s="771"/>
      <c r="Y31" s="3355"/>
      <c r="Z31" s="55" t="str">
        <f t="shared" si="15"/>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355" t="s">
        <v>2550</v>
      </c>
      <c r="Q32" s="1811">
        <f t="shared" si="11"/>
        <v>111</v>
      </c>
      <c r="R32" s="773" t="s">
        <v>17</v>
      </c>
      <c r="S32" s="774">
        <f t="shared" si="12"/>
        <v>100</v>
      </c>
      <c r="T32" s="773" t="s">
        <v>17</v>
      </c>
      <c r="U32" s="774">
        <f t="shared" si="13"/>
        <v>100</v>
      </c>
      <c r="V32" s="773" t="s">
        <v>17</v>
      </c>
      <c r="W32" s="774">
        <f t="shared" si="14"/>
        <v>100</v>
      </c>
      <c r="X32" s="1814"/>
      <c r="Y32" s="3355" t="s">
        <v>2550</v>
      </c>
      <c r="Z32" s="1815">
        <f t="shared" si="15"/>
        <v>111</v>
      </c>
      <c r="AA32" s="1812">
        <f t="shared" si="3"/>
        <v>1</v>
      </c>
      <c r="AB32" s="1812">
        <f t="shared" si="4"/>
        <v>1</v>
      </c>
      <c r="AC32" s="1812">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355"/>
      <c r="Q33" s="1811">
        <f t="shared" si="11"/>
        <v>111</v>
      </c>
      <c r="R33" s="773" t="s">
        <v>17</v>
      </c>
      <c r="S33" s="774">
        <f t="shared" si="12"/>
        <v>100</v>
      </c>
      <c r="T33" s="773" t="s">
        <v>17</v>
      </c>
      <c r="U33" s="774">
        <f t="shared" si="13"/>
        <v>100</v>
      </c>
      <c r="V33" s="773" t="s">
        <v>17</v>
      </c>
      <c r="W33" s="774">
        <f t="shared" si="14"/>
        <v>100</v>
      </c>
      <c r="X33" s="1814"/>
      <c r="Y33" s="3355"/>
      <c r="Z33" s="1815">
        <f t="shared" si="15"/>
        <v>111</v>
      </c>
      <c r="AA33" s="1812">
        <f t="shared" si="3"/>
        <v>1</v>
      </c>
      <c r="AB33" s="1812">
        <f t="shared" si="4"/>
        <v>1</v>
      </c>
      <c r="AC33" s="1812">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41"/>
      <c r="M34" s="1132"/>
      <c r="N34" s="1132"/>
      <c r="O34" s="1140"/>
      <c r="P34" s="3355"/>
      <c r="Q34" s="1811">
        <f t="shared" si="11"/>
        <v>111</v>
      </c>
      <c r="R34" s="773" t="s">
        <v>17</v>
      </c>
      <c r="S34" s="774">
        <f t="shared" si="12"/>
        <v>100</v>
      </c>
      <c r="T34" s="773" t="s">
        <v>17</v>
      </c>
      <c r="U34" s="774">
        <f t="shared" si="13"/>
        <v>100</v>
      </c>
      <c r="V34" s="773" t="s">
        <v>17</v>
      </c>
      <c r="W34" s="774">
        <f t="shared" si="14"/>
        <v>100</v>
      </c>
      <c r="X34" s="1814"/>
      <c r="Y34" s="3355"/>
      <c r="Z34" s="1815">
        <f t="shared" si="15"/>
        <v>111</v>
      </c>
      <c r="AA34" s="1812">
        <f t="shared" si="3"/>
        <v>1</v>
      </c>
      <c r="AB34" s="1812">
        <f t="shared" si="4"/>
        <v>1</v>
      </c>
      <c r="AC34" s="1812">
        <f t="shared" si="5"/>
        <v>1</v>
      </c>
    </row>
    <row r="35" spans="1:29" ht="15">
      <c r="A35" s="478" t="s">
        <v>2562</v>
      </c>
      <c r="B35" s="479"/>
      <c r="C35" s="1408" t="s">
        <v>1</v>
      </c>
      <c r="D35" s="1409"/>
      <c r="E35" s="1410"/>
      <c r="F35" s="1411"/>
      <c r="G35" s="1412"/>
      <c r="H35" s="1413"/>
      <c r="I35" s="1410"/>
      <c r="J35" s="1413"/>
      <c r="K35" s="782"/>
      <c r="L35" s="1144"/>
      <c r="M35" s="1145"/>
      <c r="N35" s="1132"/>
      <c r="O35" s="1145"/>
      <c r="P35" s="3348" t="str">
        <f>A35</f>
        <v>成交单价（元/平方米）</v>
      </c>
      <c r="Q35" s="3348"/>
      <c r="R35" s="3349">
        <f>E35</f>
        <v>0</v>
      </c>
      <c r="S35" s="3349"/>
      <c r="T35" s="3349">
        <f>G35</f>
        <v>0</v>
      </c>
      <c r="U35" s="3349"/>
      <c r="V35" s="3349">
        <f>I35</f>
        <v>0</v>
      </c>
      <c r="W35" s="3349"/>
      <c r="X35" s="758"/>
      <c r="Y35" s="780"/>
      <c r="Z35" s="758"/>
      <c r="AA35" s="758"/>
      <c r="AB35" s="758"/>
      <c r="AC35" s="758"/>
    </row>
    <row r="36" spans="1:29" ht="15.75" thickBot="1">
      <c r="A36" s="485" t="s">
        <v>2654</v>
      </c>
      <c r="B36" s="486"/>
      <c r="C36" s="1414" t="e">
        <f>R37</f>
        <v>#DIV/0!</v>
      </c>
      <c r="D36" s="1415"/>
      <c r="E36" s="1416" t="e">
        <f>R36</f>
        <v>#DIV/0!</v>
      </c>
      <c r="F36" s="1416"/>
      <c r="G36" s="1414" t="e">
        <f>T36</f>
        <v>#DIV/0!</v>
      </c>
      <c r="H36" s="1415"/>
      <c r="I36" s="1416" t="e">
        <f>V36</f>
        <v>#DIV/0!</v>
      </c>
      <c r="J36" s="1415"/>
      <c r="K36" s="783"/>
      <c r="L36" s="1144"/>
      <c r="M36" s="1145"/>
      <c r="N36" s="1132"/>
      <c r="O36" s="1145"/>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8"/>
      <c r="Y36" s="758"/>
      <c r="Z36" s="758"/>
      <c r="AA36" s="758"/>
      <c r="AB36" s="758"/>
      <c r="AC36" s="758"/>
    </row>
    <row r="37" spans="1:29" ht="15.75" thickBot="1">
      <c r="A37" s="491" t="s">
        <v>2655</v>
      </c>
      <c r="B37" s="492"/>
      <c r="C37" s="1418" t="e">
        <f>R37</f>
        <v>#DIV/0!</v>
      </c>
      <c r="D37" s="1418"/>
      <c r="E37" s="1418"/>
      <c r="F37" s="1418"/>
      <c r="G37" s="1418"/>
      <c r="H37" s="1418"/>
      <c r="I37" s="1418"/>
      <c r="J37" s="1418"/>
      <c r="K37" s="784"/>
      <c r="L37" s="1144"/>
      <c r="M37" s="1145"/>
      <c r="N37" s="1145"/>
      <c r="O37" s="1145"/>
      <c r="P37" s="3345" t="str">
        <f>A37</f>
        <v>估价对象XX用房的比较价值（楼面单价，元/平方米）</v>
      </c>
      <c r="Q37" s="3346"/>
      <c r="R37" s="3347" t="e">
        <f>IF(F1="售价",ROUND(AVERAGE(R36:V36),0),ROUND(AVERAGE(R36:V36),1))</f>
        <v>#DIV/0!</v>
      </c>
      <c r="S37" s="3347"/>
      <c r="T37" s="3347"/>
      <c r="U37" s="3347"/>
      <c r="V37" s="3347"/>
      <c r="W37" s="3347"/>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5" t="str">
        <f>YEAR(C7)&amp;"-"&amp;MONTH(C7)</f>
        <v>2018-2</v>
      </c>
      <c r="D46" s="1576">
        <f>EDATE(C46,-1)</f>
        <v>43101</v>
      </c>
      <c r="E46" s="1576">
        <f t="shared" ref="E46:O46" si="16">EDATE(D46,-1)</f>
        <v>43070</v>
      </c>
      <c r="F46" s="1576">
        <f t="shared" si="16"/>
        <v>43040</v>
      </c>
      <c r="G46" s="1576">
        <f t="shared" si="16"/>
        <v>43009</v>
      </c>
      <c r="H46" s="1576">
        <f t="shared" si="16"/>
        <v>42979</v>
      </c>
      <c r="I46" s="1576">
        <f t="shared" si="16"/>
        <v>42948</v>
      </c>
      <c r="J46" s="1576">
        <f t="shared" si="16"/>
        <v>42917</v>
      </c>
      <c r="K46" s="1576">
        <f t="shared" si="16"/>
        <v>42887</v>
      </c>
      <c r="L46" s="1576">
        <f t="shared" si="16"/>
        <v>42856</v>
      </c>
      <c r="M46" s="1576">
        <f t="shared" si="16"/>
        <v>42826</v>
      </c>
      <c r="N46" s="1576">
        <f t="shared" si="16"/>
        <v>42795</v>
      </c>
      <c r="O46" s="1576">
        <f t="shared" si="16"/>
        <v>42767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2573</v>
      </c>
      <c r="B51" s="527" t="s">
        <v>2539</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2714</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2548</v>
      </c>
      <c r="B77" s="527" t="s">
        <v>2601</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2718</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2726</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2728</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2630</v>
      </c>
      <c r="B4" s="401"/>
      <c r="C4" s="3331" t="s">
        <v>2631</v>
      </c>
      <c r="D4" s="3332"/>
      <c r="E4" s="3333" t="s">
        <v>2632</v>
      </c>
      <c r="F4" s="3334"/>
      <c r="G4" s="3331" t="s">
        <v>2633</v>
      </c>
      <c r="H4" s="3332"/>
      <c r="I4" s="3331" t="s">
        <v>2634</v>
      </c>
      <c r="J4" s="3332"/>
      <c r="K4" s="609" t="s">
        <v>2635</v>
      </c>
      <c r="L4" s="1131"/>
      <c r="M4" s="1132"/>
      <c r="N4" s="1132"/>
      <c r="O4" s="1132"/>
      <c r="P4" s="3335" t="s">
        <v>2636</v>
      </c>
      <c r="Q4" s="3336"/>
      <c r="R4" s="3318" t="s">
        <v>2632</v>
      </c>
      <c r="S4" s="3319"/>
      <c r="T4" s="3318" t="s">
        <v>2633</v>
      </c>
      <c r="U4" s="3319"/>
      <c r="V4" s="3343" t="s">
        <v>2634</v>
      </c>
      <c r="W4" s="3343"/>
      <c r="X4" s="1814"/>
      <c r="Y4" s="3318" t="s">
        <v>2636</v>
      </c>
      <c r="Z4" s="3319"/>
      <c r="AA4" s="3313" t="s">
        <v>2632</v>
      </c>
      <c r="AB4" s="3314" t="s">
        <v>2633</v>
      </c>
      <c r="AC4" s="3313" t="s">
        <v>2634</v>
      </c>
    </row>
    <row r="5" spans="1:30" ht="15">
      <c r="A5" s="403"/>
      <c r="B5" s="404"/>
      <c r="C5" s="3324" t="s">
        <v>2527</v>
      </c>
      <c r="D5" s="3325"/>
      <c r="E5" s="3322" t="s">
        <v>2528</v>
      </c>
      <c r="F5" s="3323"/>
      <c r="G5" s="3324" t="s">
        <v>2529</v>
      </c>
      <c r="H5" s="3325"/>
      <c r="I5" s="3324" t="s">
        <v>2530</v>
      </c>
      <c r="J5" s="3325"/>
      <c r="K5" s="609"/>
      <c r="L5" s="1131"/>
      <c r="M5" s="1132"/>
      <c r="N5" s="1132"/>
      <c r="O5" s="1132"/>
      <c r="P5" s="3337"/>
      <c r="Q5" s="3338"/>
      <c r="R5" s="3320"/>
      <c r="S5" s="3321"/>
      <c r="T5" s="3320"/>
      <c r="U5" s="3321"/>
      <c r="V5" s="3343"/>
      <c r="W5" s="3343"/>
      <c r="X5" s="1814"/>
      <c r="Y5" s="3320"/>
      <c r="Z5" s="3321"/>
      <c r="AA5" s="3314"/>
      <c r="AB5" s="3314"/>
      <c r="AC5" s="3314"/>
    </row>
    <row r="6" spans="1:30" ht="15.75" thickBot="1">
      <c r="A6" s="405"/>
      <c r="B6" s="406"/>
      <c r="C6" s="3326" t="s">
        <v>2531</v>
      </c>
      <c r="D6" s="3327"/>
      <c r="E6" s="3328" t="s">
        <v>2531</v>
      </c>
      <c r="F6" s="3329"/>
      <c r="G6" s="3326" t="s">
        <v>2531</v>
      </c>
      <c r="H6" s="3327"/>
      <c r="I6" s="3326" t="s">
        <v>2531</v>
      </c>
      <c r="J6" s="3327"/>
      <c r="K6" s="609" t="s">
        <v>2532</v>
      </c>
      <c r="L6" s="1131"/>
      <c r="M6" s="1132"/>
      <c r="N6" s="1132"/>
      <c r="O6" s="1132"/>
      <c r="P6" s="3339"/>
      <c r="Q6" s="3340"/>
      <c r="R6" s="3320"/>
      <c r="S6" s="3321"/>
      <c r="T6" s="3341"/>
      <c r="U6" s="3342"/>
      <c r="V6" s="3343"/>
      <c r="W6" s="3343"/>
      <c r="X6" s="1814"/>
      <c r="Y6" s="3341"/>
      <c r="Z6" s="3342"/>
      <c r="AA6" s="3315"/>
      <c r="AB6" s="3315"/>
      <c r="AC6" s="3315"/>
    </row>
    <row r="7" spans="1:30" s="117" customFormat="1" ht="15.75" thickBot="1">
      <c r="A7" s="407" t="s">
        <v>2533</v>
      </c>
      <c r="B7" s="408"/>
      <c r="C7" s="409">
        <f>'数据-取费表'!B2</f>
        <v>43138</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3"/>
      <c r="M7" s="1134"/>
      <c r="N7" s="1134"/>
      <c r="O7" s="1134"/>
      <c r="P7" s="3316" t="s">
        <v>2534</v>
      </c>
      <c r="Q7" s="3344"/>
      <c r="R7" s="769" t="s">
        <v>17</v>
      </c>
      <c r="S7" s="770">
        <f t="shared" ref="S7:S15" si="0">F7</f>
        <v>0</v>
      </c>
      <c r="T7" s="769" t="s">
        <v>17</v>
      </c>
      <c r="U7" s="770">
        <f t="shared" ref="U7:U15" si="1">H7</f>
        <v>0</v>
      </c>
      <c r="V7" s="769" t="s">
        <v>17</v>
      </c>
      <c r="W7" s="770">
        <f t="shared" ref="W7:W15" si="2">J7</f>
        <v>0</v>
      </c>
      <c r="X7" s="771"/>
      <c r="Y7" s="3316" t="s">
        <v>2534</v>
      </c>
      <c r="Z7" s="3317"/>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316" t="s">
        <v>2537</v>
      </c>
      <c r="Q8" s="3317"/>
      <c r="R8" s="769" t="s">
        <v>17</v>
      </c>
      <c r="S8" s="770">
        <f t="shared" si="0"/>
        <v>0</v>
      </c>
      <c r="T8" s="769" t="s">
        <v>17</v>
      </c>
      <c r="U8" s="770">
        <f t="shared" si="1"/>
        <v>0</v>
      </c>
      <c r="V8" s="769" t="s">
        <v>17</v>
      </c>
      <c r="W8" s="770">
        <f t="shared" si="2"/>
        <v>0</v>
      </c>
      <c r="X8" s="771"/>
      <c r="Y8" s="3316" t="s">
        <v>2537</v>
      </c>
      <c r="Z8" s="3317"/>
      <c r="AA8" s="772" t="e">
        <f t="shared" ref="AA8:AA45" si="3">D8/F8</f>
        <v>#DIV/0!</v>
      </c>
      <c r="AB8" s="772" t="e">
        <f t="shared" ref="AB8:AB45" si="4">D8/H8</f>
        <v>#DIV/0!</v>
      </c>
      <c r="AC8" s="772" t="e">
        <f t="shared" ref="AC8:AC45" si="5">D8/J8</f>
        <v>#DIV/0!</v>
      </c>
    </row>
    <row r="9" spans="1:30" s="117" customFormat="1">
      <c r="A9" s="414" t="s">
        <v>2538</v>
      </c>
      <c r="B9" s="71" t="s">
        <v>2539</v>
      </c>
      <c r="C9" s="2696"/>
      <c r="D9" s="134">
        <v>100</v>
      </c>
      <c r="E9" s="2696"/>
      <c r="F9" s="134">
        <f>SUMIF(75:75,E9,76:76)-SUMIF(75:75,C9,76:76)+100</f>
        <v>100</v>
      </c>
      <c r="G9" s="2696"/>
      <c r="H9" s="134">
        <f>SUMIF(75:75,G9,76:76)-SUMIF(75:75,C9,76:76)+100</f>
        <v>100</v>
      </c>
      <c r="I9" s="2696"/>
      <c r="J9" s="134">
        <f>SUMIF(75:75,I9,76:76)-SUMIF(75:75,C9,76:76)+100</f>
        <v>100</v>
      </c>
      <c r="K9" s="610"/>
      <c r="L9" s="1133"/>
      <c r="M9" s="1134"/>
      <c r="N9" s="1134"/>
      <c r="O9" s="1135"/>
      <c r="P9" s="3348" t="s">
        <v>2540</v>
      </c>
      <c r="Q9" s="1796" t="str">
        <f t="shared" ref="Q9:Q15" si="6">B9</f>
        <v>用途</v>
      </c>
      <c r="R9" s="769" t="s">
        <v>17</v>
      </c>
      <c r="S9" s="770">
        <f t="shared" si="0"/>
        <v>100</v>
      </c>
      <c r="T9" s="769" t="s">
        <v>17</v>
      </c>
      <c r="U9" s="770">
        <f t="shared" si="1"/>
        <v>100</v>
      </c>
      <c r="V9" s="769" t="s">
        <v>17</v>
      </c>
      <c r="W9" s="770">
        <f t="shared" si="2"/>
        <v>100</v>
      </c>
      <c r="X9" s="771"/>
      <c r="Y9" s="3143"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100</v>
      </c>
      <c r="G10" s="462"/>
      <c r="H10" s="135">
        <f>ROUND(100/'数据-取费表'!G16,0)</f>
        <v>100</v>
      </c>
      <c r="I10" s="462"/>
      <c r="J10" s="135">
        <f>ROUND(100/'数据-取费表'!G16,0)</f>
        <v>100</v>
      </c>
      <c r="K10" s="671"/>
      <c r="L10" s="1136"/>
      <c r="M10" s="1137"/>
      <c r="N10" s="1137"/>
      <c r="O10" s="1138"/>
      <c r="P10" s="3348"/>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348"/>
      <c r="Q11" s="1796" t="str">
        <f t="shared" si="6"/>
        <v>容积率</v>
      </c>
      <c r="R11" s="769" t="s">
        <v>17</v>
      </c>
      <c r="S11" s="770" t="e">
        <f t="shared" si="0"/>
        <v>#N/A</v>
      </c>
      <c r="T11" s="769" t="s">
        <v>17</v>
      </c>
      <c r="U11" s="770" t="e">
        <f t="shared" si="1"/>
        <v>#N/A</v>
      </c>
      <c r="V11" s="769" t="s">
        <v>17</v>
      </c>
      <c r="W11" s="770" t="e">
        <f t="shared" si="2"/>
        <v>#N/A</v>
      </c>
      <c r="X11" s="771"/>
      <c r="Y11" s="3143"/>
      <c r="Z11" s="55" t="str">
        <f t="shared" si="7"/>
        <v>容积率</v>
      </c>
      <c r="AA11" s="772" t="e">
        <f t="shared" si="3"/>
        <v>#N/A</v>
      </c>
      <c r="AB11" s="772" t="e">
        <f t="shared" si="4"/>
        <v>#N/A</v>
      </c>
      <c r="AC11" s="772" t="e">
        <f t="shared" si="5"/>
        <v>#N/A</v>
      </c>
    </row>
    <row r="12" spans="1:30" s="117" customFormat="1" ht="15">
      <c r="A12" s="430"/>
      <c r="B12" s="2597" t="s">
        <v>2732</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348"/>
      <c r="Q12" s="1796" t="str">
        <f t="shared" si="6"/>
        <v>配建</v>
      </c>
      <c r="R12" s="769" t="s">
        <v>17</v>
      </c>
      <c r="S12" s="770">
        <f t="shared" si="0"/>
        <v>100</v>
      </c>
      <c r="T12" s="769" t="s">
        <v>17</v>
      </c>
      <c r="U12" s="770">
        <f t="shared" si="1"/>
        <v>100</v>
      </c>
      <c r="V12" s="769" t="s">
        <v>17</v>
      </c>
      <c r="W12" s="770">
        <f t="shared" si="2"/>
        <v>100</v>
      </c>
      <c r="X12" s="771"/>
      <c r="Y12" s="3143"/>
      <c r="Z12" s="55" t="str">
        <f t="shared" si="7"/>
        <v>配建</v>
      </c>
      <c r="AA12" s="772">
        <f>D12/F12</f>
        <v>1</v>
      </c>
      <c r="AB12" s="772">
        <f>D12/H12</f>
        <v>1</v>
      </c>
      <c r="AC12" s="772">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348"/>
      <c r="Q13" s="1796">
        <f t="shared" si="6"/>
        <v>111</v>
      </c>
      <c r="R13" s="769" t="s">
        <v>17</v>
      </c>
      <c r="S13" s="770">
        <f t="shared" si="0"/>
        <v>100</v>
      </c>
      <c r="T13" s="769" t="s">
        <v>17</v>
      </c>
      <c r="U13" s="770">
        <f t="shared" si="1"/>
        <v>100</v>
      </c>
      <c r="V13" s="769" t="s">
        <v>17</v>
      </c>
      <c r="W13" s="770">
        <f t="shared" si="2"/>
        <v>100</v>
      </c>
      <c r="X13" s="771"/>
      <c r="Y13" s="3143"/>
      <c r="Z13" s="55">
        <f t="shared" si="7"/>
        <v>111</v>
      </c>
      <c r="AA13" s="772">
        <f>D13/F13</f>
        <v>1</v>
      </c>
      <c r="AB13" s="772">
        <f>D13/H13</f>
        <v>1</v>
      </c>
      <c r="AC13" s="772">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348"/>
      <c r="Q14" s="1796">
        <f t="shared" si="6"/>
        <v>111</v>
      </c>
      <c r="R14" s="769" t="s">
        <v>17</v>
      </c>
      <c r="S14" s="770">
        <f t="shared" si="0"/>
        <v>100</v>
      </c>
      <c r="T14" s="769" t="s">
        <v>17</v>
      </c>
      <c r="U14" s="770">
        <f t="shared" si="1"/>
        <v>100</v>
      </c>
      <c r="V14" s="769" t="s">
        <v>17</v>
      </c>
      <c r="W14" s="770">
        <f t="shared" si="2"/>
        <v>100</v>
      </c>
      <c r="X14" s="771"/>
      <c r="Y14" s="3143"/>
      <c r="Z14" s="55">
        <f t="shared" si="7"/>
        <v>111</v>
      </c>
      <c r="AA14" s="772">
        <f>D14/F14</f>
        <v>1</v>
      </c>
      <c r="AB14" s="772">
        <f>D14/H14</f>
        <v>1</v>
      </c>
      <c r="AC14" s="772">
        <f>D14/J14</f>
        <v>1</v>
      </c>
    </row>
    <row r="15" spans="1:30" ht="15">
      <c r="A15" s="439" t="s">
        <v>2544</v>
      </c>
      <c r="B15" s="69" t="s">
        <v>2082</v>
      </c>
      <c r="C15" s="2600">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350" t="s">
        <v>2545</v>
      </c>
      <c r="Q15" s="1811" t="str">
        <f t="shared" si="6"/>
        <v>居住社区成熟度</v>
      </c>
      <c r="R15" s="773" t="s">
        <v>17</v>
      </c>
      <c r="S15" s="774">
        <f t="shared" si="0"/>
        <v>100</v>
      </c>
      <c r="T15" s="773" t="s">
        <v>17</v>
      </c>
      <c r="U15" s="774">
        <f t="shared" si="1"/>
        <v>100</v>
      </c>
      <c r="V15" s="773" t="s">
        <v>17</v>
      </c>
      <c r="W15" s="774">
        <f t="shared" si="2"/>
        <v>100</v>
      </c>
      <c r="X15" s="1814"/>
      <c r="Y15" s="3350" t="s">
        <v>2545</v>
      </c>
      <c r="Z15" s="1815" t="str">
        <f t="shared" si="7"/>
        <v>居住社区成熟度</v>
      </c>
      <c r="AA15" s="1812">
        <f t="shared" si="3"/>
        <v>1</v>
      </c>
      <c r="AB15" s="1812">
        <f t="shared" si="4"/>
        <v>1</v>
      </c>
      <c r="AC15" s="1812">
        <f t="shared" si="5"/>
        <v>1</v>
      </c>
    </row>
    <row r="16" spans="1:30" ht="15">
      <c r="A16" s="427"/>
      <c r="B16" s="445"/>
      <c r="C16" s="446"/>
      <c r="D16" s="447"/>
      <c r="E16" s="2602"/>
      <c r="F16" s="447"/>
      <c r="G16" s="2602"/>
      <c r="H16" s="449"/>
      <c r="I16" s="2601"/>
      <c r="J16" s="447"/>
      <c r="K16" s="671"/>
      <c r="L16" s="1141"/>
      <c r="M16" s="1132"/>
      <c r="N16" s="1132"/>
      <c r="O16" s="1140"/>
      <c r="P16" s="3351"/>
      <c r="Q16" s="1811"/>
      <c r="R16" s="773"/>
      <c r="S16" s="774"/>
      <c r="T16" s="773"/>
      <c r="U16" s="774"/>
      <c r="V16" s="773"/>
      <c r="W16" s="774"/>
      <c r="X16" s="1814"/>
      <c r="Y16" s="3351"/>
      <c r="Z16" s="1815"/>
      <c r="AA16" s="1812">
        <v>1</v>
      </c>
      <c r="AB16" s="1812">
        <v>1</v>
      </c>
      <c r="AC16" s="1812">
        <v>1</v>
      </c>
    </row>
    <row r="17" spans="1:29" ht="15">
      <c r="A17" s="427"/>
      <c r="B17" s="450" t="s">
        <v>2638</v>
      </c>
      <c r="C17" s="2661">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351"/>
      <c r="Q17" s="1811" t="str">
        <f>B17</f>
        <v>商业繁华度</v>
      </c>
      <c r="R17" s="773" t="s">
        <v>17</v>
      </c>
      <c r="S17" s="774">
        <f>F17</f>
        <v>100</v>
      </c>
      <c r="T17" s="773" t="s">
        <v>17</v>
      </c>
      <c r="U17" s="774">
        <f>H17</f>
        <v>100</v>
      </c>
      <c r="V17" s="773" t="s">
        <v>17</v>
      </c>
      <c r="W17" s="774">
        <f>J17</f>
        <v>100</v>
      </c>
      <c r="X17" s="1814"/>
      <c r="Y17" s="3351"/>
      <c r="Z17" s="1815" t="str">
        <f>Q17</f>
        <v>商业繁华度</v>
      </c>
      <c r="AA17" s="1812">
        <f t="shared" si="3"/>
        <v>1</v>
      </c>
      <c r="AB17" s="1812">
        <f t="shared" si="4"/>
        <v>1</v>
      </c>
      <c r="AC17" s="1812">
        <f t="shared" si="5"/>
        <v>1</v>
      </c>
    </row>
    <row r="18" spans="1:29" ht="15">
      <c r="A18" s="427"/>
      <c r="B18" s="455"/>
      <c r="C18" s="2605"/>
      <c r="D18" s="449"/>
      <c r="E18" s="2607"/>
      <c r="F18" s="449"/>
      <c r="G18" s="2607"/>
      <c r="H18" s="447"/>
      <c r="I18" s="2606"/>
      <c r="J18" s="447"/>
      <c r="K18" s="671"/>
      <c r="L18" s="1141"/>
      <c r="M18" s="1132"/>
      <c r="N18" s="1132"/>
      <c r="O18" s="1140"/>
      <c r="P18" s="3351"/>
      <c r="Q18" s="1811"/>
      <c r="R18" s="773"/>
      <c r="S18" s="774"/>
      <c r="T18" s="773"/>
      <c r="U18" s="774"/>
      <c r="V18" s="773"/>
      <c r="W18" s="774"/>
      <c r="X18" s="1814"/>
      <c r="Y18" s="3351"/>
      <c r="Z18" s="1815"/>
      <c r="AA18" s="1812">
        <v>1</v>
      </c>
      <c r="AB18" s="1812">
        <v>1</v>
      </c>
      <c r="AC18" s="1812">
        <v>1</v>
      </c>
    </row>
    <row r="19" spans="1:29" ht="15">
      <c r="A19" s="427"/>
      <c r="B19" s="450" t="s">
        <v>2672</v>
      </c>
      <c r="C19" s="2661">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351"/>
      <c r="Q19" s="1811" t="str">
        <f>B19</f>
        <v>办公集聚程度</v>
      </c>
      <c r="R19" s="773" t="s">
        <v>17</v>
      </c>
      <c r="S19" s="774">
        <f>F19</f>
        <v>100</v>
      </c>
      <c r="T19" s="773" t="s">
        <v>17</v>
      </c>
      <c r="U19" s="774">
        <f>H19</f>
        <v>100</v>
      </c>
      <c r="V19" s="773" t="s">
        <v>17</v>
      </c>
      <c r="W19" s="774">
        <f>J19</f>
        <v>100</v>
      </c>
      <c r="X19" s="1814"/>
      <c r="Y19" s="3351"/>
      <c r="Z19" s="1815" t="str">
        <f>Q19</f>
        <v>办公集聚程度</v>
      </c>
      <c r="AA19" s="1812">
        <f t="shared" si="3"/>
        <v>1</v>
      </c>
      <c r="AB19" s="1812">
        <f t="shared" si="4"/>
        <v>1</v>
      </c>
      <c r="AC19" s="1812">
        <f t="shared" si="5"/>
        <v>1</v>
      </c>
    </row>
    <row r="20" spans="1:29" ht="15">
      <c r="A20" s="427"/>
      <c r="B20" s="455"/>
      <c r="C20" s="446"/>
      <c r="D20" s="447"/>
      <c r="E20" s="2602"/>
      <c r="F20" s="447"/>
      <c r="G20" s="2602"/>
      <c r="H20" s="447"/>
      <c r="I20" s="2601"/>
      <c r="J20" s="447"/>
      <c r="K20" s="671"/>
      <c r="L20" s="1141"/>
      <c r="M20" s="1132"/>
      <c r="N20" s="1132"/>
      <c r="O20" s="1140"/>
      <c r="P20" s="3351"/>
      <c r="Q20" s="1811"/>
      <c r="R20" s="773"/>
      <c r="S20" s="774"/>
      <c r="T20" s="773"/>
      <c r="U20" s="774"/>
      <c r="V20" s="773"/>
      <c r="W20" s="774"/>
      <c r="X20" s="1814"/>
      <c r="Y20" s="3351"/>
      <c r="Z20" s="1815"/>
      <c r="AA20" s="1812">
        <v>1</v>
      </c>
      <c r="AB20" s="1812">
        <v>1</v>
      </c>
      <c r="AC20" s="1812">
        <v>1</v>
      </c>
    </row>
    <row r="21" spans="1:29" ht="15">
      <c r="A21" s="427"/>
      <c r="B21" s="450" t="s">
        <v>2694</v>
      </c>
      <c r="C21" s="2604">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351"/>
      <c r="Q21" s="1811" t="str">
        <f>B21</f>
        <v>交通便捷度</v>
      </c>
      <c r="R21" s="773" t="s">
        <v>17</v>
      </c>
      <c r="S21" s="774">
        <f>F21</f>
        <v>100</v>
      </c>
      <c r="T21" s="773" t="s">
        <v>17</v>
      </c>
      <c r="U21" s="774">
        <f>H21</f>
        <v>100</v>
      </c>
      <c r="V21" s="773" t="s">
        <v>17</v>
      </c>
      <c r="W21" s="774">
        <f>J21</f>
        <v>100</v>
      </c>
      <c r="X21" s="1814"/>
      <c r="Y21" s="3351"/>
      <c r="Z21" s="1815" t="str">
        <f>Q21</f>
        <v>交通便捷度</v>
      </c>
      <c r="AA21" s="1812">
        <f t="shared" si="3"/>
        <v>1</v>
      </c>
      <c r="AB21" s="1812">
        <f t="shared" si="4"/>
        <v>1</v>
      </c>
      <c r="AC21" s="1812">
        <f t="shared" si="5"/>
        <v>1</v>
      </c>
    </row>
    <row r="22" spans="1:29" ht="15">
      <c r="A22" s="427"/>
      <c r="B22" s="1385"/>
      <c r="C22" s="446"/>
      <c r="D22" s="449"/>
      <c r="E22" s="2602"/>
      <c r="F22" s="447"/>
      <c r="G22" s="2602"/>
      <c r="H22" s="447"/>
      <c r="I22" s="2601"/>
      <c r="J22" s="447"/>
      <c r="K22" s="671"/>
      <c r="L22" s="1141"/>
      <c r="M22" s="1132"/>
      <c r="N22" s="1132"/>
      <c r="O22" s="1140"/>
      <c r="P22" s="3351"/>
      <c r="Q22" s="1811"/>
      <c r="R22" s="773"/>
      <c r="S22" s="774"/>
      <c r="T22" s="773"/>
      <c r="U22" s="774"/>
      <c r="V22" s="773"/>
      <c r="W22" s="774"/>
      <c r="X22" s="1814"/>
      <c r="Y22" s="3351"/>
      <c r="Z22" s="1815"/>
      <c r="AA22" s="1812">
        <v>1</v>
      </c>
      <c r="AB22" s="1812">
        <v>1</v>
      </c>
      <c r="AC22" s="1812">
        <v>1</v>
      </c>
    </row>
    <row r="23" spans="1:29" ht="15">
      <c r="A23" s="403"/>
      <c r="B23" s="450" t="s">
        <v>2733</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351"/>
      <c r="Q23" s="1811" t="str">
        <f t="shared" ref="Q23:Q37" si="8">B23</f>
        <v>区域土地利用方向</v>
      </c>
      <c r="R23" s="773" t="s">
        <v>17</v>
      </c>
      <c r="S23" s="774">
        <f>F23</f>
        <v>100</v>
      </c>
      <c r="T23" s="773" t="s">
        <v>17</v>
      </c>
      <c r="U23" s="774">
        <f>H23</f>
        <v>100</v>
      </c>
      <c r="V23" s="773" t="s">
        <v>17</v>
      </c>
      <c r="W23" s="774">
        <f>J23</f>
        <v>100</v>
      </c>
      <c r="X23" s="1814"/>
      <c r="Y23" s="3351"/>
      <c r="Z23" s="1815" t="str">
        <f>Q23</f>
        <v>区域土地利用方向</v>
      </c>
      <c r="AA23" s="1812">
        <f t="shared" si="3"/>
        <v>1</v>
      </c>
      <c r="AB23" s="1812">
        <f t="shared" si="4"/>
        <v>1</v>
      </c>
      <c r="AC23" s="1812">
        <f t="shared" si="5"/>
        <v>1</v>
      </c>
    </row>
    <row r="24" spans="1:29" ht="15">
      <c r="A24" s="403"/>
      <c r="B24" s="455"/>
      <c r="C24" s="615"/>
      <c r="D24" s="447"/>
      <c r="E24" s="2602"/>
      <c r="F24" s="447"/>
      <c r="G24" s="2601"/>
      <c r="H24" s="447"/>
      <c r="I24" s="2601"/>
      <c r="J24" s="447"/>
      <c r="K24" s="811"/>
      <c r="L24" s="1141"/>
      <c r="M24" s="1132"/>
      <c r="N24" s="1132"/>
      <c r="O24" s="1140"/>
      <c r="P24" s="3351"/>
      <c r="Q24" s="1811"/>
      <c r="R24" s="773"/>
      <c r="S24" s="774"/>
      <c r="T24" s="773"/>
      <c r="U24" s="774"/>
      <c r="V24" s="773"/>
      <c r="W24" s="774"/>
      <c r="X24" s="1814"/>
      <c r="Y24" s="3351"/>
      <c r="Z24" s="1815"/>
      <c r="AA24" s="1812"/>
      <c r="AB24" s="1812"/>
      <c r="AC24" s="1812"/>
    </row>
    <row r="25" spans="1:29" ht="27">
      <c r="A25" s="403"/>
      <c r="B25" s="1385" t="s">
        <v>2734</v>
      </c>
      <c r="C25" s="2661">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351"/>
      <c r="Q25" s="1811" t="str">
        <f t="shared" si="8"/>
        <v>自然及人文环境状况</v>
      </c>
      <c r="R25" s="773" t="s">
        <v>17</v>
      </c>
      <c r="S25" s="774">
        <f>F25</f>
        <v>100</v>
      </c>
      <c r="T25" s="773" t="s">
        <v>17</v>
      </c>
      <c r="U25" s="774">
        <f>H25</f>
        <v>100</v>
      </c>
      <c r="V25" s="773" t="s">
        <v>17</v>
      </c>
      <c r="W25" s="774">
        <f>J25</f>
        <v>100</v>
      </c>
      <c r="X25" s="1814"/>
      <c r="Y25" s="3351"/>
      <c r="Z25" s="1815" t="str">
        <f>Q25</f>
        <v>自然及人文环境状况</v>
      </c>
      <c r="AA25" s="1812">
        <f t="shared" si="3"/>
        <v>1</v>
      </c>
      <c r="AB25" s="1812">
        <f t="shared" si="4"/>
        <v>1</v>
      </c>
      <c r="AC25" s="1812">
        <f t="shared" si="5"/>
        <v>1</v>
      </c>
    </row>
    <row r="26" spans="1:29" ht="15">
      <c r="A26" s="403"/>
      <c r="B26" s="455"/>
      <c r="C26" s="446"/>
      <c r="D26" s="447"/>
      <c r="E26" s="2608"/>
      <c r="F26" s="447"/>
      <c r="G26" s="2608"/>
      <c r="H26" s="447"/>
      <c r="I26" s="446"/>
      <c r="J26" s="447"/>
      <c r="K26" s="671"/>
      <c r="L26" s="1141"/>
      <c r="M26" s="1132"/>
      <c r="N26" s="1132"/>
      <c r="O26" s="1140"/>
      <c r="P26" s="3351"/>
      <c r="Q26" s="1811"/>
      <c r="R26" s="773"/>
      <c r="S26" s="774"/>
      <c r="T26" s="773"/>
      <c r="U26" s="774"/>
      <c r="V26" s="773"/>
      <c r="W26" s="774"/>
      <c r="X26" s="1814"/>
      <c r="Y26" s="3351"/>
      <c r="Z26" s="1815"/>
      <c r="AA26" s="1812">
        <v>1</v>
      </c>
      <c r="AB26" s="1812">
        <v>1</v>
      </c>
      <c r="AC26" s="1812">
        <v>1</v>
      </c>
    </row>
    <row r="27" spans="1:29" s="117" customFormat="1" ht="15">
      <c r="A27" s="648"/>
      <c r="B27" s="1385" t="s">
        <v>2639</v>
      </c>
      <c r="C27" s="2604">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351"/>
      <c r="Q27" s="1796" t="str">
        <f t="shared" si="8"/>
        <v>公共配套设施</v>
      </c>
      <c r="R27" s="769" t="s">
        <v>17</v>
      </c>
      <c r="S27" s="770">
        <f>F27</f>
        <v>100</v>
      </c>
      <c r="T27" s="769" t="s">
        <v>17</v>
      </c>
      <c r="U27" s="770">
        <f>H27</f>
        <v>100</v>
      </c>
      <c r="V27" s="769" t="s">
        <v>17</v>
      </c>
      <c r="W27" s="770">
        <f>J27</f>
        <v>100</v>
      </c>
      <c r="X27" s="771"/>
      <c r="Y27" s="3351"/>
      <c r="Z27" s="55" t="str">
        <f>Q27</f>
        <v>公共配套设施</v>
      </c>
      <c r="AA27" s="1812">
        <f>D27/F27</f>
        <v>1</v>
      </c>
      <c r="AB27" s="1812">
        <f>D27/H27</f>
        <v>1</v>
      </c>
      <c r="AC27" s="1812">
        <f>D27/J27</f>
        <v>1</v>
      </c>
    </row>
    <row r="28" spans="1:29" s="117" customFormat="1" ht="15">
      <c r="A28" s="648"/>
      <c r="B28" s="455"/>
      <c r="C28" s="2697"/>
      <c r="D28" s="447"/>
      <c r="E28" s="2608"/>
      <c r="F28" s="447"/>
      <c r="G28" s="2608"/>
      <c r="H28" s="447"/>
      <c r="I28" s="446"/>
      <c r="J28" s="447"/>
      <c r="K28" s="671"/>
      <c r="L28" s="1133"/>
      <c r="M28" s="1134"/>
      <c r="N28" s="1134"/>
      <c r="O28" s="1135"/>
      <c r="P28" s="3351"/>
      <c r="Q28" s="1796"/>
      <c r="R28" s="769"/>
      <c r="S28" s="770"/>
      <c r="T28" s="769"/>
      <c r="U28" s="770"/>
      <c r="V28" s="769"/>
      <c r="W28" s="770"/>
      <c r="X28" s="771"/>
      <c r="Y28" s="3351"/>
      <c r="Z28" s="55"/>
      <c r="AA28" s="1812">
        <v>1</v>
      </c>
      <c r="AB28" s="1812">
        <v>1</v>
      </c>
      <c r="AC28" s="1812">
        <v>1</v>
      </c>
    </row>
    <row r="29" spans="1:29" s="117" customFormat="1" ht="15">
      <c r="A29" s="648"/>
      <c r="B29" s="1385" t="s">
        <v>2640</v>
      </c>
      <c r="C29" s="2604">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351"/>
      <c r="Q29" s="1796" t="str">
        <f t="shared" ref="Q29" si="9">B29</f>
        <v>基础设施水平</v>
      </c>
      <c r="R29" s="769" t="s">
        <v>17</v>
      </c>
      <c r="S29" s="770">
        <f>F29</f>
        <v>100</v>
      </c>
      <c r="T29" s="769" t="s">
        <v>17</v>
      </c>
      <c r="U29" s="770">
        <f>H29</f>
        <v>100</v>
      </c>
      <c r="V29" s="769" t="s">
        <v>17</v>
      </c>
      <c r="W29" s="770">
        <f>J29</f>
        <v>100</v>
      </c>
      <c r="X29" s="771"/>
      <c r="Y29" s="3351"/>
      <c r="Z29" s="55" t="str">
        <f>Q29</f>
        <v>基础设施水平</v>
      </c>
      <c r="AA29" s="1812">
        <f>D29/F29</f>
        <v>1</v>
      </c>
      <c r="AB29" s="1812">
        <f>D29/H29</f>
        <v>1</v>
      </c>
      <c r="AC29" s="1812">
        <f>D29/J29</f>
        <v>1</v>
      </c>
    </row>
    <row r="30" spans="1:29" s="117" customFormat="1" ht="15">
      <c r="A30" s="648"/>
      <c r="B30" s="455"/>
      <c r="C30" s="2697"/>
      <c r="D30" s="447"/>
      <c r="E30" s="2698"/>
      <c r="F30" s="447"/>
      <c r="G30" s="2698"/>
      <c r="H30" s="447"/>
      <c r="I30" s="2698"/>
      <c r="J30" s="447"/>
      <c r="K30" s="671"/>
      <c r="L30" s="1133"/>
      <c r="M30" s="1134"/>
      <c r="N30" s="1134"/>
      <c r="O30" s="1135"/>
      <c r="P30" s="3351"/>
      <c r="Q30" s="1796"/>
      <c r="R30" s="769"/>
      <c r="S30" s="770"/>
      <c r="T30" s="769"/>
      <c r="U30" s="770"/>
      <c r="V30" s="769"/>
      <c r="W30" s="770"/>
      <c r="X30" s="771"/>
      <c r="Y30" s="3351"/>
      <c r="Z30" s="55"/>
      <c r="AA30" s="1812">
        <v>1</v>
      </c>
      <c r="AB30" s="1812">
        <v>1</v>
      </c>
      <c r="AC30" s="1812">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351"/>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351"/>
      <c r="Z31" s="1815" t="str">
        <f t="shared" ref="Z31:Z45" si="13">Q31</f>
        <v>临街状况</v>
      </c>
      <c r="AA31" s="1812">
        <f t="shared" si="3"/>
        <v>1</v>
      </c>
      <c r="AB31" s="1812">
        <f t="shared" si="4"/>
        <v>1</v>
      </c>
      <c r="AC31" s="1812">
        <f t="shared" si="5"/>
        <v>1</v>
      </c>
    </row>
    <row r="32" spans="1:29" ht="27">
      <c r="A32" s="427"/>
      <c r="B32" s="1385"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351"/>
      <c r="Q32" s="1811" t="str">
        <f t="shared" si="8"/>
        <v>毗邻道路的类型与等级</v>
      </c>
      <c r="R32" s="773" t="s">
        <v>17</v>
      </c>
      <c r="S32" s="774">
        <f t="shared" si="10"/>
        <v>100</v>
      </c>
      <c r="T32" s="773" t="s">
        <v>17</v>
      </c>
      <c r="U32" s="774">
        <f t="shared" si="11"/>
        <v>100</v>
      </c>
      <c r="V32" s="773" t="s">
        <v>17</v>
      </c>
      <c r="W32" s="774">
        <f t="shared" si="12"/>
        <v>100</v>
      </c>
      <c r="X32" s="1814"/>
      <c r="Y32" s="3351"/>
      <c r="Z32" s="1815" t="str">
        <f t="shared" si="13"/>
        <v>毗邻道路的类型与等级</v>
      </c>
      <c r="AA32" s="1812">
        <f t="shared" si="3"/>
        <v>1</v>
      </c>
      <c r="AB32" s="1812">
        <f t="shared" si="4"/>
        <v>1</v>
      </c>
      <c r="AC32" s="1812">
        <f t="shared" si="5"/>
        <v>1</v>
      </c>
    </row>
    <row r="33" spans="1:29" ht="15">
      <c r="A33" s="427"/>
      <c r="B33" s="455"/>
      <c r="C33" s="446"/>
      <c r="D33" s="447"/>
      <c r="E33" s="2608"/>
      <c r="F33" s="447"/>
      <c r="G33" s="2608"/>
      <c r="H33" s="447"/>
      <c r="I33" s="446"/>
      <c r="J33" s="447"/>
      <c r="K33" s="612"/>
      <c r="L33" s="1141"/>
      <c r="M33" s="1132"/>
      <c r="N33" s="1132"/>
      <c r="O33" s="1140"/>
      <c r="P33" s="3351"/>
      <c r="Q33" s="1811"/>
      <c r="R33" s="773"/>
      <c r="S33" s="774"/>
      <c r="T33" s="773"/>
      <c r="U33" s="774"/>
      <c r="V33" s="773"/>
      <c r="W33" s="774"/>
      <c r="X33" s="1814"/>
      <c r="Y33" s="3351"/>
      <c r="Z33" s="1815"/>
      <c r="AA33" s="1812">
        <v>1</v>
      </c>
      <c r="AB33" s="1812">
        <v>1</v>
      </c>
      <c r="AC33" s="1812">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351"/>
      <c r="Q34" s="1811" t="str">
        <f t="shared" si="8"/>
        <v>土地级别</v>
      </c>
      <c r="R34" s="773" t="s">
        <v>17</v>
      </c>
      <c r="S34" s="774">
        <f t="shared" si="10"/>
        <v>100</v>
      </c>
      <c r="T34" s="773" t="s">
        <v>17</v>
      </c>
      <c r="U34" s="774">
        <f t="shared" si="11"/>
        <v>100</v>
      </c>
      <c r="V34" s="773" t="s">
        <v>17</v>
      </c>
      <c r="W34" s="774">
        <f t="shared" si="12"/>
        <v>100</v>
      </c>
      <c r="X34" s="1814"/>
      <c r="Y34" s="3351"/>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351"/>
      <c r="Q35" s="1811">
        <f t="shared" si="8"/>
        <v>111</v>
      </c>
      <c r="R35" s="773" t="s">
        <v>17</v>
      </c>
      <c r="S35" s="774">
        <f t="shared" si="10"/>
        <v>100</v>
      </c>
      <c r="T35" s="773" t="s">
        <v>17</v>
      </c>
      <c r="U35" s="774">
        <f t="shared" si="11"/>
        <v>100</v>
      </c>
      <c r="V35" s="773" t="s">
        <v>17</v>
      </c>
      <c r="W35" s="774">
        <f t="shared" si="12"/>
        <v>100</v>
      </c>
      <c r="X35" s="1814"/>
      <c r="Y35" s="3351"/>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374" t="s">
        <v>2550</v>
      </c>
      <c r="Q36" s="1811">
        <f t="shared" si="8"/>
        <v>111</v>
      </c>
      <c r="R36" s="773" t="s">
        <v>17</v>
      </c>
      <c r="S36" s="774">
        <f t="shared" si="10"/>
        <v>100</v>
      </c>
      <c r="T36" s="773" t="s">
        <v>17</v>
      </c>
      <c r="U36" s="774">
        <f t="shared" si="11"/>
        <v>100</v>
      </c>
      <c r="V36" s="773" t="s">
        <v>17</v>
      </c>
      <c r="W36" s="774">
        <f t="shared" si="12"/>
        <v>100</v>
      </c>
      <c r="X36" s="1814"/>
      <c r="Y36" s="3355" t="s">
        <v>2550</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355"/>
      <c r="Q37" s="1811">
        <f t="shared" si="8"/>
        <v>111</v>
      </c>
      <c r="R37" s="776" t="s">
        <v>17</v>
      </c>
      <c r="S37" s="777">
        <f t="shared" si="10"/>
        <v>100</v>
      </c>
      <c r="T37" s="776" t="s">
        <v>17</v>
      </c>
      <c r="U37" s="777">
        <f t="shared" si="11"/>
        <v>100</v>
      </c>
      <c r="V37" s="776" t="s">
        <v>17</v>
      </c>
      <c r="W37" s="777">
        <f t="shared" si="12"/>
        <v>100</v>
      </c>
      <c r="X37" s="778"/>
      <c r="Y37" s="3355"/>
      <c r="Z37" s="779">
        <f t="shared" si="13"/>
        <v>111</v>
      </c>
      <c r="AA37" s="1812">
        <f t="shared" si="3"/>
        <v>1</v>
      </c>
      <c r="AB37" s="1812">
        <f t="shared" si="4"/>
        <v>1</v>
      </c>
      <c r="AC37" s="1812">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355"/>
      <c r="Q38" s="1811" t="str">
        <f>B38</f>
        <v>宗地面积</v>
      </c>
      <c r="R38" s="773" t="s">
        <v>17</v>
      </c>
      <c r="S38" s="774" t="e">
        <f t="shared" si="10"/>
        <v>#N/A</v>
      </c>
      <c r="T38" s="773" t="s">
        <v>17</v>
      </c>
      <c r="U38" s="774" t="e">
        <f t="shared" si="11"/>
        <v>#N/A</v>
      </c>
      <c r="V38" s="773" t="s">
        <v>17</v>
      </c>
      <c r="W38" s="774" t="e">
        <f t="shared" si="12"/>
        <v>#N/A</v>
      </c>
      <c r="X38" s="1814"/>
      <c r="Y38" s="3355"/>
      <c r="Z38" s="1815" t="str">
        <f t="shared" si="13"/>
        <v>宗地面积</v>
      </c>
      <c r="AA38" s="1812" t="e">
        <f t="shared" si="3"/>
        <v>#N/A</v>
      </c>
      <c r="AB38" s="1812" t="e">
        <f t="shared" si="4"/>
        <v>#N/A</v>
      </c>
      <c r="AC38" s="1812" t="e">
        <f t="shared" si="5"/>
        <v>#N/A</v>
      </c>
    </row>
    <row r="39" spans="1:29" ht="15">
      <c r="A39" s="471"/>
      <c r="B39" s="421" t="s">
        <v>2737</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41"/>
      <c r="M39" s="1132"/>
      <c r="N39" s="1132"/>
      <c r="O39" s="1140"/>
      <c r="P39" s="3355"/>
      <c r="Q39" s="1811" t="str">
        <f t="shared" ref="Q39:Q45" si="14">B39</f>
        <v>宗地形状</v>
      </c>
      <c r="R39" s="773" t="s">
        <v>17</v>
      </c>
      <c r="S39" s="774">
        <f t="shared" si="10"/>
        <v>100</v>
      </c>
      <c r="T39" s="773" t="s">
        <v>17</v>
      </c>
      <c r="U39" s="774">
        <f t="shared" si="11"/>
        <v>100</v>
      </c>
      <c r="V39" s="773" t="s">
        <v>17</v>
      </c>
      <c r="W39" s="774">
        <f t="shared" si="12"/>
        <v>100</v>
      </c>
      <c r="X39" s="1814"/>
      <c r="Y39" s="3355"/>
      <c r="Z39" s="1815" t="str">
        <f t="shared" si="13"/>
        <v>宗地形状</v>
      </c>
      <c r="AA39" s="1812">
        <f t="shared" si="3"/>
        <v>1</v>
      </c>
      <c r="AB39" s="1812">
        <f t="shared" si="4"/>
        <v>1</v>
      </c>
      <c r="AC39" s="1812">
        <f t="shared" si="5"/>
        <v>1</v>
      </c>
    </row>
    <row r="40" spans="1:29" ht="15">
      <c r="A40" s="471"/>
      <c r="B40" s="421" t="s">
        <v>2738</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41"/>
      <c r="M40" s="1132"/>
      <c r="N40" s="1132"/>
      <c r="O40" s="1140"/>
      <c r="P40" s="3355"/>
      <c r="Q40" s="1811" t="str">
        <f t="shared" si="14"/>
        <v>临街宽度及深度</v>
      </c>
      <c r="R40" s="773" t="s">
        <v>17</v>
      </c>
      <c r="S40" s="774">
        <f t="shared" si="10"/>
        <v>100</v>
      </c>
      <c r="T40" s="773" t="s">
        <v>17</v>
      </c>
      <c r="U40" s="774">
        <f t="shared" si="11"/>
        <v>100</v>
      </c>
      <c r="V40" s="773" t="s">
        <v>17</v>
      </c>
      <c r="W40" s="774">
        <f t="shared" si="12"/>
        <v>100</v>
      </c>
      <c r="X40" s="1814"/>
      <c r="Y40" s="3355"/>
      <c r="Z40" s="1815" t="str">
        <f t="shared" si="13"/>
        <v>临街宽度及深度</v>
      </c>
      <c r="AA40" s="1812">
        <f t="shared" si="3"/>
        <v>1</v>
      </c>
      <c r="AB40" s="1812">
        <f t="shared" si="4"/>
        <v>1</v>
      </c>
      <c r="AC40" s="1812">
        <f t="shared" si="5"/>
        <v>1</v>
      </c>
    </row>
    <row r="41" spans="1:29" s="117" customFormat="1" ht="15">
      <c r="A41" s="472"/>
      <c r="B41" s="421" t="s">
        <v>2739</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3"/>
      <c r="M41" s="1134"/>
      <c r="N41" s="1134"/>
      <c r="O41" s="1135"/>
      <c r="P41" s="3355"/>
      <c r="Q41" s="1811" t="str">
        <f t="shared" si="14"/>
        <v>宗地开发程度</v>
      </c>
      <c r="R41" s="769" t="s">
        <v>17</v>
      </c>
      <c r="S41" s="770">
        <f t="shared" si="10"/>
        <v>100</v>
      </c>
      <c r="T41" s="769" t="s">
        <v>17</v>
      </c>
      <c r="U41" s="770">
        <f t="shared" si="11"/>
        <v>100</v>
      </c>
      <c r="V41" s="769" t="s">
        <v>17</v>
      </c>
      <c r="W41" s="770">
        <f t="shared" si="12"/>
        <v>100</v>
      </c>
      <c r="X41" s="771"/>
      <c r="Y41" s="3355"/>
      <c r="Z41" s="55" t="str">
        <f t="shared" si="13"/>
        <v>宗地开发程度</v>
      </c>
      <c r="AA41" s="772">
        <f t="shared" si="3"/>
        <v>1</v>
      </c>
      <c r="AB41" s="772">
        <f t="shared" si="4"/>
        <v>1</v>
      </c>
      <c r="AC41" s="772">
        <f t="shared" si="5"/>
        <v>1</v>
      </c>
    </row>
    <row r="42" spans="1:29" ht="15">
      <c r="A42" s="471"/>
      <c r="B42" s="421" t="s">
        <v>2740</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41"/>
      <c r="M42" s="1132"/>
      <c r="N42" s="1132"/>
      <c r="O42" s="1140"/>
      <c r="P42" s="3355" t="s">
        <v>2550</v>
      </c>
      <c r="Q42" s="1811" t="str">
        <f t="shared" si="14"/>
        <v>工程地质条件</v>
      </c>
      <c r="R42" s="773" t="s">
        <v>17</v>
      </c>
      <c r="S42" s="774">
        <f t="shared" si="10"/>
        <v>100</v>
      </c>
      <c r="T42" s="773" t="s">
        <v>17</v>
      </c>
      <c r="U42" s="774">
        <f t="shared" si="11"/>
        <v>100</v>
      </c>
      <c r="V42" s="773" t="s">
        <v>17</v>
      </c>
      <c r="W42" s="774">
        <f t="shared" si="12"/>
        <v>100</v>
      </c>
      <c r="X42" s="1814"/>
      <c r="Y42" s="3355" t="s">
        <v>2550</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355"/>
      <c r="Q43" s="1811">
        <f t="shared" si="14"/>
        <v>111</v>
      </c>
      <c r="R43" s="773" t="s">
        <v>17</v>
      </c>
      <c r="S43" s="774">
        <f t="shared" si="10"/>
        <v>100</v>
      </c>
      <c r="T43" s="773" t="s">
        <v>17</v>
      </c>
      <c r="U43" s="774">
        <f t="shared" si="11"/>
        <v>100</v>
      </c>
      <c r="V43" s="773" t="s">
        <v>17</v>
      </c>
      <c r="W43" s="774">
        <f t="shared" si="12"/>
        <v>100</v>
      </c>
      <c r="X43" s="1814"/>
      <c r="Y43" s="3355"/>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355"/>
      <c r="Q44" s="1811">
        <f t="shared" si="14"/>
        <v>111</v>
      </c>
      <c r="R44" s="773" t="s">
        <v>17</v>
      </c>
      <c r="S44" s="774">
        <f t="shared" si="10"/>
        <v>100</v>
      </c>
      <c r="T44" s="773" t="s">
        <v>17</v>
      </c>
      <c r="U44" s="774">
        <f t="shared" si="11"/>
        <v>100</v>
      </c>
      <c r="V44" s="773" t="s">
        <v>17</v>
      </c>
      <c r="W44" s="774">
        <f t="shared" si="12"/>
        <v>100</v>
      </c>
      <c r="X44" s="1814"/>
      <c r="Y44" s="3355"/>
      <c r="Z44" s="1815">
        <f t="shared" si="13"/>
        <v>111</v>
      </c>
      <c r="AA44" s="1812">
        <f t="shared" si="3"/>
        <v>1</v>
      </c>
      <c r="AB44" s="1812">
        <f t="shared" si="4"/>
        <v>1</v>
      </c>
      <c r="AC44" s="1812">
        <f t="shared" si="5"/>
        <v>1</v>
      </c>
    </row>
    <row r="45" spans="1:29" s="470" customFormat="1" ht="15.75" thickBot="1">
      <c r="A45" s="467"/>
      <c r="B45" s="1388">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355"/>
      <c r="Q45" s="1811">
        <f t="shared" si="14"/>
        <v>111</v>
      </c>
      <c r="R45" s="776" t="s">
        <v>17</v>
      </c>
      <c r="S45" s="777">
        <f t="shared" si="10"/>
        <v>100</v>
      </c>
      <c r="T45" s="776" t="s">
        <v>17</v>
      </c>
      <c r="U45" s="777">
        <f t="shared" si="11"/>
        <v>100</v>
      </c>
      <c r="V45" s="776" t="s">
        <v>17</v>
      </c>
      <c r="W45" s="777">
        <f t="shared" si="12"/>
        <v>100</v>
      </c>
      <c r="X45" s="778"/>
      <c r="Y45" s="3355"/>
      <c r="Z45" s="779">
        <f t="shared" si="13"/>
        <v>111</v>
      </c>
      <c r="AA45" s="1812">
        <f t="shared" si="3"/>
        <v>1</v>
      </c>
      <c r="AB45" s="1812">
        <f t="shared" si="4"/>
        <v>1</v>
      </c>
      <c r="AC45" s="1812">
        <f t="shared" si="5"/>
        <v>1</v>
      </c>
    </row>
    <row r="46" spans="1:29" ht="15">
      <c r="A46" s="478" t="s">
        <v>2705</v>
      </c>
      <c r="B46" s="2701" t="s">
        <v>2741</v>
      </c>
      <c r="C46" s="681" t="s">
        <v>1</v>
      </c>
      <c r="D46" s="480"/>
      <c r="E46" s="481"/>
      <c r="F46" s="482"/>
      <c r="G46" s="483"/>
      <c r="H46" s="484"/>
      <c r="I46" s="481"/>
      <c r="J46" s="484"/>
      <c r="K46" s="782"/>
      <c r="L46" s="1144"/>
      <c r="M46" s="1145"/>
      <c r="N46" s="1132"/>
      <c r="O46" s="1145"/>
      <c r="P46" s="3348" t="str">
        <f>A46</f>
        <v>成交单价</v>
      </c>
      <c r="Q46" s="3348"/>
      <c r="R46" s="3343">
        <f>E46</f>
        <v>0</v>
      </c>
      <c r="S46" s="3343"/>
      <c r="T46" s="3343">
        <f>G46</f>
        <v>0</v>
      </c>
      <c r="U46" s="3343"/>
      <c r="V46" s="3343">
        <f>I46</f>
        <v>0</v>
      </c>
      <c r="W46" s="3343"/>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4"/>
      <c r="M47" s="1145"/>
      <c r="N47" s="1145"/>
      <c r="O47" s="1145"/>
      <c r="P47" s="3348" t="str">
        <f>A47</f>
        <v>比较价值（元/平方米）</v>
      </c>
      <c r="Q47" s="3348"/>
      <c r="R47" s="3375" t="e">
        <f>ROUND(PRODUCT(R46,AA7:AA45),0)</f>
        <v>#DIV/0!</v>
      </c>
      <c r="S47" s="3375"/>
      <c r="T47" s="3375" t="e">
        <f>ROUND(PRODUCT(T46,AB7:AB45),0)</f>
        <v>#DIV/0!</v>
      </c>
      <c r="U47" s="3375"/>
      <c r="V47" s="3375" t="e">
        <f>ROUND(PRODUCT(V46,AC7:AC45),0)</f>
        <v>#DIV/0!</v>
      </c>
      <c r="W47" s="3375"/>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4"/>
      <c r="M48" s="1145"/>
      <c r="N48" s="1145"/>
      <c r="O48" s="1145"/>
      <c r="P48" s="3345" t="str">
        <f>A48</f>
        <v>估价对象XX用房的比较价值（楼面单价，元/平方米）</v>
      </c>
      <c r="Q48" s="3346"/>
      <c r="R48" s="3376" t="e">
        <f>ROUND(AVERAGE(R47:V47),0)</f>
        <v>#DIV/0!</v>
      </c>
      <c r="S48" s="3376"/>
      <c r="T48" s="3376"/>
      <c r="U48" s="3376"/>
      <c r="V48" s="3376"/>
      <c r="W48" s="3376"/>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2743</v>
      </c>
      <c r="B55" s="684" t="s">
        <v>2744</v>
      </c>
      <c r="C55" s="2702" t="s">
        <v>2745</v>
      </c>
      <c r="D55" s="2703" t="s">
        <v>2746</v>
      </c>
      <c r="E55" s="685" t="s">
        <v>2747</v>
      </c>
      <c r="F55" s="1108" t="s">
        <v>2748</v>
      </c>
      <c r="G55" s="3331" t="s">
        <v>2749</v>
      </c>
      <c r="H55" s="3377"/>
      <c r="I55" s="143" t="s">
        <v>2750</v>
      </c>
      <c r="J55" s="2704">
        <f>项目基本情况!F35</f>
        <v>0</v>
      </c>
      <c r="K55" s="2705" t="s">
        <v>2751</v>
      </c>
      <c r="L55" s="1107"/>
      <c r="M55" s="1145"/>
      <c r="N55" s="1145"/>
      <c r="O55" s="1145"/>
    </row>
    <row r="56" spans="1:15" s="691" customFormat="1">
      <c r="A56" s="687" t="s">
        <v>2752</v>
      </c>
      <c r="B56" s="688" t="e">
        <f>C48</f>
        <v>#DIV/0!</v>
      </c>
      <c r="C56" s="689">
        <v>1</v>
      </c>
      <c r="D56" s="1164">
        <v>1</v>
      </c>
      <c r="E56" s="689">
        <f>'数据-汇总表'!E8+'数据-汇总表'!E9</f>
        <v>5755.45</v>
      </c>
      <c r="F56" s="1104" t="e">
        <f t="shared" ref="F56:F65" si="15">ROUND(B56*E56/10000,0)</f>
        <v>#DIV/0!</v>
      </c>
      <c r="G56" s="3330"/>
      <c r="H56" s="3348"/>
      <c r="I56" s="1109">
        <v>1</v>
      </c>
      <c r="J56" s="1112">
        <v>1</v>
      </c>
      <c r="K56" s="1146"/>
      <c r="L56" s="943"/>
      <c r="M56" s="943"/>
      <c r="N56" s="943"/>
      <c r="O56" s="943"/>
    </row>
    <row r="57" spans="1:15" s="691" customFormat="1">
      <c r="A57" s="692" t="s">
        <v>2753</v>
      </c>
      <c r="B57" s="261" t="e">
        <f>ROUND($C$48*C57*D57,0)</f>
        <v>#DIV/0!</v>
      </c>
      <c r="C57" s="199">
        <f t="shared" ref="C57:C65" si="16">IF($C$55="北京市系数",I57,J57)</f>
        <v>0</v>
      </c>
      <c r="D57" s="1165">
        <v>0.25</v>
      </c>
      <c r="E57" s="693"/>
      <c r="F57" s="1104" t="e">
        <f t="shared" si="15"/>
        <v>#DIV/0!</v>
      </c>
      <c r="G57" s="3378" t="s">
        <v>2754</v>
      </c>
      <c r="H57" s="1105">
        <f>项目基本情况!B37</f>
        <v>0</v>
      </c>
      <c r="I57" s="1109">
        <f>SUMIF(修正!A45:A56,H57,修正!B45:B56)</f>
        <v>0</v>
      </c>
      <c r="J57" s="1113"/>
      <c r="K57" s="1145"/>
      <c r="L57" s="943"/>
      <c r="M57" s="943"/>
      <c r="N57" s="943"/>
      <c r="O57" s="943"/>
    </row>
    <row r="58" spans="1:15" s="691" customFormat="1">
      <c r="A58" s="692" t="s">
        <v>2755</v>
      </c>
      <c r="B58" s="261" t="e">
        <f t="shared" ref="B58:B65" si="17">ROUND($C$48*C58*D58,0)</f>
        <v>#DIV/0!</v>
      </c>
      <c r="C58" s="199">
        <f t="shared" si="16"/>
        <v>0</v>
      </c>
      <c r="D58" s="1165">
        <v>0.25</v>
      </c>
      <c r="E58" s="693"/>
      <c r="F58" s="1104" t="e">
        <f t="shared" si="15"/>
        <v>#DIV/0!</v>
      </c>
      <c r="G58" s="3378"/>
      <c r="H58" s="1105">
        <f>项目基本情况!B37</f>
        <v>0</v>
      </c>
      <c r="I58" s="1109">
        <f>SUMIF(修正!A45:A56,H58,修正!C45:C56)</f>
        <v>0</v>
      </c>
      <c r="J58" s="1113"/>
      <c r="K58" s="1146"/>
      <c r="L58" s="943"/>
      <c r="M58" s="943"/>
      <c r="N58" s="943"/>
      <c r="O58" s="943"/>
    </row>
    <row r="59" spans="1:15" s="691" customFormat="1">
      <c r="A59" s="692" t="s">
        <v>2756</v>
      </c>
      <c r="B59" s="261" t="e">
        <f t="shared" si="17"/>
        <v>#DIV/0!</v>
      </c>
      <c r="C59" s="199">
        <f t="shared" si="16"/>
        <v>0</v>
      </c>
      <c r="D59" s="1165">
        <v>0.25</v>
      </c>
      <c r="E59" s="693"/>
      <c r="F59" s="1104" t="e">
        <f t="shared" si="15"/>
        <v>#DIV/0!</v>
      </c>
      <c r="G59" s="3378"/>
      <c r="H59" s="1105">
        <f>项目基本情况!B37</f>
        <v>0</v>
      </c>
      <c r="I59" s="1109">
        <f>SUMIF(修正!A45:A56,H59,修正!D45:D56)</f>
        <v>0</v>
      </c>
      <c r="J59" s="1113"/>
      <c r="K59" s="1145"/>
      <c r="L59" s="943"/>
      <c r="M59" s="943"/>
      <c r="N59" s="943"/>
      <c r="O59" s="943"/>
    </row>
    <row r="60" spans="1:15" s="691" customFormat="1">
      <c r="A60" s="692" t="s">
        <v>2757</v>
      </c>
      <c r="B60" s="261" t="e">
        <f t="shared" si="17"/>
        <v>#DIV/0!</v>
      </c>
      <c r="C60" s="199">
        <f t="shared" si="16"/>
        <v>0</v>
      </c>
      <c r="D60" s="1165">
        <v>0.25</v>
      </c>
      <c r="E60" s="693"/>
      <c r="F60" s="1104" t="e">
        <f t="shared" si="15"/>
        <v>#DIV/0!</v>
      </c>
      <c r="G60" s="3378"/>
      <c r="H60" s="1105">
        <f>项目基本情况!B37</f>
        <v>0</v>
      </c>
      <c r="I60" s="1109">
        <f>SUMIF(修正!A45:A56,H60,修正!E45:E56)</f>
        <v>0</v>
      </c>
      <c r="J60" s="1113"/>
      <c r="K60" s="1146"/>
      <c r="L60" s="943"/>
      <c r="M60" s="943"/>
      <c r="N60" s="943"/>
      <c r="O60" s="943"/>
    </row>
    <row r="61" spans="1:15" s="691" customFormat="1">
      <c r="A61" s="692" t="s">
        <v>2758</v>
      </c>
      <c r="B61" s="261" t="e">
        <f t="shared" si="17"/>
        <v>#DIV/0!</v>
      </c>
      <c r="C61" s="199">
        <f t="shared" si="16"/>
        <v>0</v>
      </c>
      <c r="D61" s="1165">
        <v>0.25</v>
      </c>
      <c r="E61" s="260">
        <f>'数据-汇总表'!E11</f>
        <v>0</v>
      </c>
      <c r="F61" s="1104" t="e">
        <f t="shared" si="15"/>
        <v>#DIV/0!</v>
      </c>
      <c r="G61" s="2706" t="s">
        <v>2759</v>
      </c>
      <c r="H61" s="1105">
        <f>项目基本情况!C37</f>
        <v>0</v>
      </c>
      <c r="I61" s="1109">
        <f>SUMIF(修正!A45:A56,H61,修正!F45:F56)</f>
        <v>0</v>
      </c>
      <c r="J61" s="1113"/>
      <c r="K61" s="1145"/>
      <c r="L61" s="943"/>
      <c r="M61" s="943"/>
      <c r="N61" s="943"/>
      <c r="O61" s="943"/>
    </row>
    <row r="62" spans="1:15" s="691" customFormat="1">
      <c r="A62" s="692" t="s">
        <v>2760</v>
      </c>
      <c r="B62" s="261" t="e">
        <f t="shared" si="17"/>
        <v>#DIV/0!</v>
      </c>
      <c r="C62" s="199">
        <f t="shared" si="16"/>
        <v>0</v>
      </c>
      <c r="D62" s="1165">
        <v>0.25</v>
      </c>
      <c r="E62" s="260">
        <f>'数据-汇总表'!E12</f>
        <v>0</v>
      </c>
      <c r="F62" s="1104" t="e">
        <f t="shared" si="15"/>
        <v>#DIV/0!</v>
      </c>
      <c r="G62" s="1110" t="s">
        <v>2761</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2762</v>
      </c>
      <c r="B63" s="261" t="e">
        <f t="shared" si="17"/>
        <v>#DIV/0!</v>
      </c>
      <c r="C63" s="199">
        <f t="shared" si="16"/>
        <v>0</v>
      </c>
      <c r="D63" s="1165">
        <v>0.25</v>
      </c>
      <c r="E63" s="260">
        <f>'数据-汇总表'!E13</f>
        <v>0</v>
      </c>
      <c r="F63" s="1104" t="e">
        <f t="shared" si="15"/>
        <v>#DIV/0!</v>
      </c>
      <c r="G63" s="1110" t="s">
        <v>2763</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2764</v>
      </c>
      <c r="B64" s="261" t="e">
        <f t="shared" si="17"/>
        <v>#DIV/0!</v>
      </c>
      <c r="C64" s="199">
        <f t="shared" si="16"/>
        <v>0</v>
      </c>
      <c r="D64" s="1165">
        <v>0.25</v>
      </c>
      <c r="E64" s="260">
        <f>'数据-汇总表'!E14</f>
        <v>0</v>
      </c>
      <c r="F64" s="1104" t="e">
        <f t="shared" si="15"/>
        <v>#DIV/0!</v>
      </c>
      <c r="G64" s="2706" t="s">
        <v>2754</v>
      </c>
      <c r="H64" s="1105">
        <f>项目基本情况!B37</f>
        <v>0</v>
      </c>
      <c r="I64" s="1109">
        <f>SUMIF(修正!A45:A56,H64,修正!H45:H56)</f>
        <v>0</v>
      </c>
      <c r="J64" s="1113"/>
      <c r="K64" s="1146"/>
      <c r="L64" s="943"/>
      <c r="M64" s="943"/>
      <c r="N64" s="943"/>
      <c r="O64" s="943"/>
    </row>
    <row r="65" spans="1:17" s="691" customFormat="1" ht="15" thickBot="1">
      <c r="A65" s="692" t="s">
        <v>2765</v>
      </c>
      <c r="B65" s="261" t="e">
        <f t="shared" si="17"/>
        <v>#DIV/0!</v>
      </c>
      <c r="C65" s="199">
        <f t="shared" si="16"/>
        <v>0</v>
      </c>
      <c r="D65" s="1165">
        <v>0.25</v>
      </c>
      <c r="E65" s="260">
        <f>'数据-汇总表'!E15</f>
        <v>0</v>
      </c>
      <c r="F65" s="1104" t="e">
        <f t="shared" si="15"/>
        <v>#DIV/0!</v>
      </c>
      <c r="G65" s="2707" t="s">
        <v>2759</v>
      </c>
      <c r="H65" s="1115">
        <f>项目基本情况!C37</f>
        <v>0</v>
      </c>
      <c r="I65" s="1111">
        <f>SUMIF(修正!A45:A56,H65,修正!H45:H56)</f>
        <v>0</v>
      </c>
      <c r="J65" s="1114"/>
      <c r="K65" s="1145"/>
      <c r="L65" s="943"/>
      <c r="M65" s="943"/>
      <c r="N65" s="943"/>
      <c r="O65" s="943"/>
    </row>
    <row r="66" spans="1:17" s="691" customFormat="1" ht="13.5" thickBot="1">
      <c r="A66" s="694" t="s">
        <v>2766</v>
      </c>
      <c r="B66" s="695" t="s">
        <v>28</v>
      </c>
      <c r="C66" s="695" t="s">
        <v>29</v>
      </c>
      <c r="D66" s="695" t="s">
        <v>1029</v>
      </c>
      <c r="E66" s="695">
        <f>IF(B46="楼面地价",SUM(E56:E65),'数据-汇总表'!D3)</f>
        <v>5755.45</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2659</v>
      </c>
      <c r="B69" s="758"/>
      <c r="C69" s="763"/>
      <c r="D69" s="763"/>
      <c r="E69" s="763"/>
      <c r="F69" s="764"/>
      <c r="G69" s="764"/>
      <c r="H69" s="763"/>
      <c r="I69" s="763"/>
      <c r="J69" s="1160"/>
      <c r="K69" s="1161"/>
      <c r="L69" s="1162"/>
      <c r="M69" s="1160"/>
      <c r="N69" s="1160"/>
      <c r="O69" s="1160"/>
      <c r="P69" s="502"/>
      <c r="Q69" s="503"/>
    </row>
    <row r="70" spans="1:17" s="507" customFormat="1" ht="15">
      <c r="A70" s="2708" t="s">
        <v>2767</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09"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2570</v>
      </c>
      <c r="B72" s="515"/>
      <c r="C72" s="516"/>
      <c r="D72" s="517"/>
      <c r="E72" s="517"/>
      <c r="F72" s="517"/>
      <c r="G72" s="517"/>
      <c r="H72" s="517"/>
      <c r="I72" s="517"/>
      <c r="J72" s="517"/>
      <c r="K72" s="517"/>
      <c r="L72" s="517"/>
      <c r="M72" s="518"/>
      <c r="N72" s="517"/>
      <c r="O72" s="1163"/>
      <c r="P72" s="503"/>
      <c r="Q72" s="503"/>
    </row>
    <row r="73" spans="1:17" s="117" customFormat="1" ht="15">
      <c r="A73" s="520" t="s">
        <v>2535</v>
      </c>
      <c r="B73" s="509"/>
      <c r="C73" s="521" t="s">
        <v>2637</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2573</v>
      </c>
      <c r="B75" s="527" t="s">
        <v>2539</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2542</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2676</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2735</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2777</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2778</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2779</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2780</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1319</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2292</v>
      </c>
      <c r="C3" s="246" t="s">
        <v>2731</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2630</v>
      </c>
      <c r="B4" s="401"/>
      <c r="C4" s="3331" t="s">
        <v>2631</v>
      </c>
      <c r="D4" s="3332"/>
      <c r="E4" s="3333" t="s">
        <v>2632</v>
      </c>
      <c r="F4" s="3334"/>
      <c r="G4" s="3331" t="s">
        <v>2633</v>
      </c>
      <c r="H4" s="3332"/>
      <c r="I4" s="3331" t="s">
        <v>2634</v>
      </c>
      <c r="J4" s="3332"/>
      <c r="K4" s="609" t="s">
        <v>2635</v>
      </c>
      <c r="L4" s="1131"/>
      <c r="M4" s="1132"/>
      <c r="N4" s="1132"/>
      <c r="O4" s="1132"/>
      <c r="P4" s="3335" t="s">
        <v>2636</v>
      </c>
      <c r="Q4" s="3336"/>
      <c r="R4" s="3318" t="s">
        <v>2632</v>
      </c>
      <c r="S4" s="3319"/>
      <c r="T4" s="3318" t="s">
        <v>2633</v>
      </c>
      <c r="U4" s="3319"/>
      <c r="V4" s="3343" t="s">
        <v>2634</v>
      </c>
      <c r="W4" s="3343"/>
      <c r="X4" s="1814"/>
      <c r="Y4" s="3318" t="s">
        <v>2636</v>
      </c>
      <c r="Z4" s="3319"/>
      <c r="AA4" s="3313" t="s">
        <v>2632</v>
      </c>
      <c r="AB4" s="3314" t="s">
        <v>2633</v>
      </c>
      <c r="AC4" s="3313" t="s">
        <v>2634</v>
      </c>
    </row>
    <row r="5" spans="1:29" ht="29.25" customHeight="1">
      <c r="A5" s="403"/>
      <c r="B5" s="404"/>
      <c r="C5" s="3324" t="s">
        <v>2527</v>
      </c>
      <c r="D5" s="3325"/>
      <c r="E5" s="3379" t="s">
        <v>3241</v>
      </c>
      <c r="F5" s="3323"/>
      <c r="G5" s="3382" t="s">
        <v>3242</v>
      </c>
      <c r="H5" s="3325"/>
      <c r="I5" s="3382" t="s">
        <v>3243</v>
      </c>
      <c r="J5" s="3325"/>
      <c r="K5" s="609"/>
      <c r="L5" s="1131"/>
      <c r="M5" s="1132"/>
      <c r="N5" s="1132"/>
      <c r="O5" s="1132"/>
      <c r="P5" s="3337"/>
      <c r="Q5" s="3338"/>
      <c r="R5" s="3320"/>
      <c r="S5" s="3321"/>
      <c r="T5" s="3320"/>
      <c r="U5" s="3321"/>
      <c r="V5" s="3343"/>
      <c r="W5" s="3343"/>
      <c r="X5" s="1814"/>
      <c r="Y5" s="3320"/>
      <c r="Z5" s="3321"/>
      <c r="AA5" s="3314"/>
      <c r="AB5" s="3314"/>
      <c r="AC5" s="3314"/>
    </row>
    <row r="6" spans="1:29" ht="15.75" thickBot="1">
      <c r="A6" s="405"/>
      <c r="B6" s="406"/>
      <c r="C6" s="3380" t="s">
        <v>2782</v>
      </c>
      <c r="D6" s="3381"/>
      <c r="E6" s="3383" t="s">
        <v>2782</v>
      </c>
      <c r="F6" s="3384"/>
      <c r="G6" s="3380" t="s">
        <v>2782</v>
      </c>
      <c r="H6" s="3381"/>
      <c r="I6" s="3380" t="s">
        <v>2782</v>
      </c>
      <c r="J6" s="3381"/>
      <c r="K6" s="609" t="s">
        <v>2532</v>
      </c>
      <c r="L6" s="1131"/>
      <c r="M6" s="1132"/>
      <c r="N6" s="1132"/>
      <c r="O6" s="1132"/>
      <c r="P6" s="3339"/>
      <c r="Q6" s="3340"/>
      <c r="R6" s="3320"/>
      <c r="S6" s="3321"/>
      <c r="T6" s="3341"/>
      <c r="U6" s="3342"/>
      <c r="V6" s="3343"/>
      <c r="W6" s="3343"/>
      <c r="X6" s="1814"/>
      <c r="Y6" s="3341"/>
      <c r="Z6" s="3342"/>
      <c r="AA6" s="3315"/>
      <c r="AB6" s="3315"/>
      <c r="AC6" s="3315"/>
    </row>
    <row r="7" spans="1:29" s="117" customFormat="1" ht="15.75" thickBot="1">
      <c r="A7" s="407" t="s">
        <v>2533</v>
      </c>
      <c r="B7" s="408"/>
      <c r="C7" s="409">
        <f>'数据-取费表'!B2</f>
        <v>43138</v>
      </c>
      <c r="D7" s="410">
        <v>100</v>
      </c>
      <c r="E7" s="411">
        <v>43094</v>
      </c>
      <c r="F7" s="412">
        <f>SUMIF(65:65,YEAR(E7)&amp;"-"&amp;INT((MONTH(E7)+2)/3),66:66)</f>
        <v>99.5</v>
      </c>
      <c r="G7" s="2693">
        <v>42668</v>
      </c>
      <c r="H7" s="410">
        <f>SUMIF(65:65,YEAR(G7)&amp;"-"&amp;INT((MONTH(G7)+2)/3),66:66)</f>
        <v>97.5</v>
      </c>
      <c r="I7" s="2693">
        <v>42079</v>
      </c>
      <c r="J7" s="410">
        <f>SUMIF(65:65,YEAR(I7)&amp;"-"&amp;INT((MONTH(I7)+2)/3),66:66)</f>
        <v>94</v>
      </c>
      <c r="K7" s="610"/>
      <c r="L7" s="1133"/>
      <c r="M7" s="1134"/>
      <c r="N7" s="1134"/>
      <c r="O7" s="1134"/>
      <c r="P7" s="3316" t="s">
        <v>2534</v>
      </c>
      <c r="Q7" s="3344"/>
      <c r="R7" s="769" t="s">
        <v>17</v>
      </c>
      <c r="S7" s="770">
        <f t="shared" ref="S7:S15" si="0">F7</f>
        <v>99.5</v>
      </c>
      <c r="T7" s="769" t="s">
        <v>17</v>
      </c>
      <c r="U7" s="770">
        <f t="shared" ref="U7:U15" si="1">H7</f>
        <v>97.5</v>
      </c>
      <c r="V7" s="769" t="s">
        <v>17</v>
      </c>
      <c r="W7" s="770">
        <f t="shared" ref="W7:W15" si="2">J7</f>
        <v>94</v>
      </c>
      <c r="X7" s="771"/>
      <c r="Y7" s="3316" t="s">
        <v>2534</v>
      </c>
      <c r="Z7" s="3317"/>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3"/>
      <c r="M8" s="1134"/>
      <c r="N8" s="1134"/>
      <c r="O8" s="1134"/>
      <c r="P8" s="3316" t="s">
        <v>2537</v>
      </c>
      <c r="Q8" s="3317"/>
      <c r="R8" s="769" t="s">
        <v>17</v>
      </c>
      <c r="S8" s="770">
        <f t="shared" si="0"/>
        <v>100</v>
      </c>
      <c r="T8" s="769" t="s">
        <v>17</v>
      </c>
      <c r="U8" s="770">
        <f t="shared" si="1"/>
        <v>100</v>
      </c>
      <c r="V8" s="769" t="s">
        <v>17</v>
      </c>
      <c r="W8" s="770">
        <f t="shared" si="2"/>
        <v>100</v>
      </c>
      <c r="X8" s="771"/>
      <c r="Y8" s="3316" t="s">
        <v>2537</v>
      </c>
      <c r="Z8" s="3317"/>
      <c r="AA8" s="772">
        <f t="shared" ref="AA8:AA40" si="3">D8/F8</f>
        <v>1</v>
      </c>
      <c r="AB8" s="772">
        <f t="shared" ref="AB8:AB40" si="4">D8/H8</f>
        <v>1</v>
      </c>
      <c r="AC8" s="772">
        <f t="shared" ref="AC8:AC40" si="5">D8/J8</f>
        <v>1</v>
      </c>
    </row>
    <row r="9" spans="1:29" s="117" customFormat="1">
      <c r="A9" s="414" t="s">
        <v>2538</v>
      </c>
      <c r="B9" s="71" t="s">
        <v>2539</v>
      </c>
      <c r="C9" s="3043" t="s">
        <v>3244</v>
      </c>
      <c r="D9" s="134">
        <v>100</v>
      </c>
      <c r="E9" s="3043" t="s">
        <v>3244</v>
      </c>
      <c r="F9" s="134">
        <f>SUMIF(70:70,E9,71:71)-SUMIF(70:70,C9,71:71)+100</f>
        <v>100</v>
      </c>
      <c r="G9" s="3043" t="s">
        <v>3244</v>
      </c>
      <c r="H9" s="134">
        <f>SUMIF(70:70,G9,71:71)-SUMIF(70:70,C9,71:71)+100</f>
        <v>100</v>
      </c>
      <c r="I9" s="3043" t="s">
        <v>3244</v>
      </c>
      <c r="J9" s="134">
        <f>SUMIF(70:70,I9,71:71)-SUMIF(70:70,C9,71:71)+100</f>
        <v>100</v>
      </c>
      <c r="K9" s="610"/>
      <c r="L9" s="1133"/>
      <c r="M9" s="1134"/>
      <c r="N9" s="1134"/>
      <c r="O9" s="1135"/>
      <c r="P9" s="3348" t="s">
        <v>2540</v>
      </c>
      <c r="Q9" s="1796" t="str">
        <f t="shared" ref="Q9:Q15" si="6">B9</f>
        <v>用途</v>
      </c>
      <c r="R9" s="769" t="s">
        <v>17</v>
      </c>
      <c r="S9" s="770">
        <f t="shared" si="0"/>
        <v>100</v>
      </c>
      <c r="T9" s="769" t="s">
        <v>17</v>
      </c>
      <c r="U9" s="770">
        <f t="shared" si="1"/>
        <v>100</v>
      </c>
      <c r="V9" s="769" t="s">
        <v>17</v>
      </c>
      <c r="W9" s="770">
        <f t="shared" si="2"/>
        <v>100</v>
      </c>
      <c r="X9" s="771"/>
      <c r="Y9" s="3143" t="s">
        <v>2541</v>
      </c>
      <c r="Z9" s="55" t="str">
        <f t="shared" ref="Z9:Z15" si="7">Q9</f>
        <v>用途</v>
      </c>
      <c r="AA9" s="772">
        <f t="shared" si="3"/>
        <v>1</v>
      </c>
      <c r="AB9" s="772">
        <f t="shared" si="4"/>
        <v>1</v>
      </c>
      <c r="AC9" s="772">
        <f t="shared" si="5"/>
        <v>1</v>
      </c>
    </row>
    <row r="10" spans="1:29" s="426" customFormat="1" ht="27">
      <c r="A10" s="420"/>
      <c r="B10" s="421" t="s">
        <v>2542</v>
      </c>
      <c r="C10" s="431">
        <f>'数据-取费表'!F6</f>
        <v>50</v>
      </c>
      <c r="D10" s="135">
        <v>100</v>
      </c>
      <c r="E10" s="431">
        <v>50</v>
      </c>
      <c r="F10" s="135">
        <f>ROUND(100/'数据-取费表'!G16,0)</f>
        <v>100</v>
      </c>
      <c r="G10" s="431">
        <v>50</v>
      </c>
      <c r="H10" s="135">
        <f>ROUND(100/'数据-取费表'!G16,0)</f>
        <v>100</v>
      </c>
      <c r="I10" s="431">
        <v>50</v>
      </c>
      <c r="J10" s="135">
        <f>ROUND(100/'数据-取费表'!G16,0)</f>
        <v>100</v>
      </c>
      <c r="K10" s="671"/>
      <c r="L10" s="1136"/>
      <c r="M10" s="1137"/>
      <c r="N10" s="1137"/>
      <c r="O10" s="1138"/>
      <c r="P10" s="3348"/>
      <c r="Q10" s="1796" t="str">
        <f t="shared" si="6"/>
        <v>土地使用年限（年）</v>
      </c>
      <c r="R10" s="769" t="s">
        <v>17</v>
      </c>
      <c r="S10" s="770">
        <f t="shared" si="0"/>
        <v>100</v>
      </c>
      <c r="T10" s="769" t="s">
        <v>17</v>
      </c>
      <c r="U10" s="770">
        <f t="shared" si="1"/>
        <v>100</v>
      </c>
      <c r="V10" s="769" t="s">
        <v>17</v>
      </c>
      <c r="W10" s="770">
        <f t="shared" si="2"/>
        <v>100</v>
      </c>
      <c r="X10" s="771"/>
      <c r="Y10" s="3143"/>
      <c r="Z10" s="55" t="str">
        <f t="shared" si="7"/>
        <v>土地使用年限（年）</v>
      </c>
      <c r="AA10" s="772">
        <f t="shared" si="3"/>
        <v>1</v>
      </c>
      <c r="AB10" s="772">
        <f t="shared" si="4"/>
        <v>1</v>
      </c>
      <c r="AC10" s="772">
        <f t="shared" si="5"/>
        <v>1</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39"/>
      <c r="M11" s="1132"/>
      <c r="N11" s="1132"/>
      <c r="O11" s="1140"/>
      <c r="P11" s="3348"/>
      <c r="Q11" s="1796" t="str">
        <f t="shared" si="6"/>
        <v>容积率</v>
      </c>
      <c r="R11" s="769" t="s">
        <v>17</v>
      </c>
      <c r="S11" s="770">
        <f t="shared" si="0"/>
        <v>99</v>
      </c>
      <c r="T11" s="769" t="s">
        <v>17</v>
      </c>
      <c r="U11" s="770">
        <f t="shared" si="1"/>
        <v>99</v>
      </c>
      <c r="V11" s="769" t="s">
        <v>17</v>
      </c>
      <c r="W11" s="770">
        <f t="shared" si="2"/>
        <v>99</v>
      </c>
      <c r="X11" s="771"/>
      <c r="Y11" s="3143"/>
      <c r="Z11" s="55" t="str">
        <f t="shared" si="7"/>
        <v>容积率</v>
      </c>
      <c r="AA11" s="772">
        <f t="shared" si="3"/>
        <v>1.0101010101010102</v>
      </c>
      <c r="AB11" s="772">
        <f t="shared" si="4"/>
        <v>1.0101010101010102</v>
      </c>
      <c r="AC11" s="772">
        <f t="shared" si="5"/>
        <v>1.0101010101010102</v>
      </c>
    </row>
    <row r="12" spans="1:29" s="117" customFormat="1" ht="15" hidden="1">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348"/>
      <c r="Q12" s="1796">
        <f t="shared" si="6"/>
        <v>111</v>
      </c>
      <c r="R12" s="769" t="s">
        <v>17</v>
      </c>
      <c r="S12" s="770">
        <f t="shared" si="0"/>
        <v>100</v>
      </c>
      <c r="T12" s="769" t="s">
        <v>17</v>
      </c>
      <c r="U12" s="770">
        <f t="shared" si="1"/>
        <v>100</v>
      </c>
      <c r="V12" s="769" t="s">
        <v>17</v>
      </c>
      <c r="W12" s="770">
        <f t="shared" si="2"/>
        <v>100</v>
      </c>
      <c r="X12" s="771"/>
      <c r="Y12" s="3143"/>
      <c r="Z12" s="55">
        <f t="shared" si="7"/>
        <v>111</v>
      </c>
      <c r="AA12" s="772">
        <f>D12/F12</f>
        <v>1</v>
      </c>
      <c r="AB12" s="772">
        <f>D12/H12</f>
        <v>1</v>
      </c>
      <c r="AC12" s="772">
        <f>D12/J12</f>
        <v>1</v>
      </c>
    </row>
    <row r="13" spans="1:29" ht="15" hidden="1">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348"/>
      <c r="Q13" s="1796">
        <f t="shared" si="6"/>
        <v>111</v>
      </c>
      <c r="R13" s="769" t="s">
        <v>17</v>
      </c>
      <c r="S13" s="770">
        <f t="shared" si="0"/>
        <v>100</v>
      </c>
      <c r="T13" s="769" t="s">
        <v>17</v>
      </c>
      <c r="U13" s="770">
        <f t="shared" si="1"/>
        <v>100</v>
      </c>
      <c r="V13" s="769" t="s">
        <v>17</v>
      </c>
      <c r="W13" s="770">
        <f t="shared" si="2"/>
        <v>100</v>
      </c>
      <c r="X13" s="771"/>
      <c r="Y13" s="3143"/>
      <c r="Z13" s="55">
        <f t="shared" si="7"/>
        <v>111</v>
      </c>
      <c r="AA13" s="772">
        <f t="shared" si="3"/>
        <v>1</v>
      </c>
      <c r="AB13" s="772">
        <f t="shared" si="4"/>
        <v>1</v>
      </c>
      <c r="AC13" s="772">
        <f t="shared" si="5"/>
        <v>1</v>
      </c>
    </row>
    <row r="14" spans="1:29" ht="15.75" hidden="1"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348"/>
      <c r="Q14" s="1796">
        <f t="shared" si="6"/>
        <v>111</v>
      </c>
      <c r="R14" s="769" t="s">
        <v>17</v>
      </c>
      <c r="S14" s="770">
        <f t="shared" si="0"/>
        <v>100</v>
      </c>
      <c r="T14" s="769" t="s">
        <v>17</v>
      </c>
      <c r="U14" s="770">
        <f t="shared" si="1"/>
        <v>100</v>
      </c>
      <c r="V14" s="769" t="s">
        <v>17</v>
      </c>
      <c r="W14" s="770">
        <f t="shared" si="2"/>
        <v>100</v>
      </c>
      <c r="X14" s="771"/>
      <c r="Y14" s="3143"/>
      <c r="Z14" s="55">
        <f t="shared" si="7"/>
        <v>111</v>
      </c>
      <c r="AA14" s="772">
        <f t="shared" si="3"/>
        <v>1</v>
      </c>
      <c r="AB14" s="772">
        <f t="shared" si="4"/>
        <v>1</v>
      </c>
      <c r="AC14" s="772">
        <f t="shared" si="5"/>
        <v>1</v>
      </c>
    </row>
    <row r="15" spans="1:29" ht="15">
      <c r="A15" s="439" t="s">
        <v>2544</v>
      </c>
      <c r="B15" s="628" t="s">
        <v>2783</v>
      </c>
      <c r="C15" s="2690"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1"/>
      <c r="M15" s="1132"/>
      <c r="N15" s="1132"/>
      <c r="O15" s="1140"/>
      <c r="P15" s="3350" t="s">
        <v>2545</v>
      </c>
      <c r="Q15" s="1811" t="str">
        <f t="shared" si="6"/>
        <v>产业集聚程度</v>
      </c>
      <c r="R15" s="773" t="s">
        <v>17</v>
      </c>
      <c r="S15" s="774">
        <f t="shared" si="0"/>
        <v>98</v>
      </c>
      <c r="T15" s="773" t="s">
        <v>17</v>
      </c>
      <c r="U15" s="774">
        <f t="shared" si="1"/>
        <v>98</v>
      </c>
      <c r="V15" s="773" t="s">
        <v>17</v>
      </c>
      <c r="W15" s="774">
        <f t="shared" si="2"/>
        <v>98</v>
      </c>
      <c r="X15" s="1814"/>
      <c r="Y15" s="3350" t="s">
        <v>2545</v>
      </c>
      <c r="Z15" s="1815" t="str">
        <f t="shared" si="7"/>
        <v>产业集聚程度</v>
      </c>
      <c r="AA15" s="1812">
        <f t="shared" si="3"/>
        <v>1.0204081632653061</v>
      </c>
      <c r="AB15" s="1812">
        <f t="shared" si="4"/>
        <v>1.0204081632653061</v>
      </c>
      <c r="AC15" s="1812">
        <f t="shared" si="5"/>
        <v>1.0204081632653061</v>
      </c>
    </row>
    <row r="16" spans="1:29" ht="15">
      <c r="A16" s="427"/>
      <c r="B16" s="629"/>
      <c r="C16" s="446" t="s">
        <v>3229</v>
      </c>
      <c r="D16" s="447"/>
      <c r="E16" s="446" t="s">
        <v>3230</v>
      </c>
      <c r="F16" s="447"/>
      <c r="G16" s="446" t="s">
        <v>3230</v>
      </c>
      <c r="H16" s="449"/>
      <c r="I16" s="446" t="s">
        <v>3230</v>
      </c>
      <c r="J16" s="447"/>
      <c r="K16" s="671"/>
      <c r="L16" s="1141"/>
      <c r="M16" s="1132"/>
      <c r="N16" s="1132"/>
      <c r="O16" s="1140"/>
      <c r="P16" s="3351"/>
      <c r="Q16" s="1811"/>
      <c r="R16" s="773"/>
      <c r="S16" s="774"/>
      <c r="T16" s="773"/>
      <c r="U16" s="774"/>
      <c r="V16" s="773"/>
      <c r="W16" s="774"/>
      <c r="X16" s="1814"/>
      <c r="Y16" s="3351"/>
      <c r="Z16" s="1815"/>
      <c r="AA16" s="1812">
        <v>1</v>
      </c>
      <c r="AB16" s="1812">
        <v>1</v>
      </c>
      <c r="AC16" s="1812">
        <v>1</v>
      </c>
    </row>
    <row r="17" spans="1:29" ht="15">
      <c r="A17" s="427"/>
      <c r="B17" s="630" t="s">
        <v>2694</v>
      </c>
      <c r="C17" s="2604"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1"/>
      <c r="M17" s="1132"/>
      <c r="N17" s="1132"/>
      <c r="O17" s="1140"/>
      <c r="P17" s="3351"/>
      <c r="Q17" s="1811" t="str">
        <f>B17</f>
        <v>交通便捷度</v>
      </c>
      <c r="R17" s="773" t="s">
        <v>17</v>
      </c>
      <c r="S17" s="774">
        <f>F17</f>
        <v>98</v>
      </c>
      <c r="T17" s="773" t="s">
        <v>17</v>
      </c>
      <c r="U17" s="774">
        <f>H17</f>
        <v>98</v>
      </c>
      <c r="V17" s="773" t="s">
        <v>17</v>
      </c>
      <c r="W17" s="774">
        <f>J17</f>
        <v>98</v>
      </c>
      <c r="X17" s="1814"/>
      <c r="Y17" s="3351"/>
      <c r="Z17" s="1815" t="str">
        <f>Q17</f>
        <v>交通便捷度</v>
      </c>
      <c r="AA17" s="1812">
        <f t="shared" si="3"/>
        <v>1.0204081632653061</v>
      </c>
      <c r="AB17" s="1812">
        <f t="shared" si="4"/>
        <v>1.0204081632653061</v>
      </c>
      <c r="AC17" s="1812">
        <f t="shared" si="5"/>
        <v>1.0204081632653061</v>
      </c>
    </row>
    <row r="18" spans="1:29" ht="15">
      <c r="A18" s="427"/>
      <c r="B18" s="631"/>
      <c r="C18" s="446" t="s">
        <v>3229</v>
      </c>
      <c r="D18" s="447"/>
      <c r="E18" s="446" t="s">
        <v>3230</v>
      </c>
      <c r="F18" s="447"/>
      <c r="G18" s="446" t="s">
        <v>3230</v>
      </c>
      <c r="H18" s="447"/>
      <c r="I18" s="446" t="s">
        <v>3230</v>
      </c>
      <c r="J18" s="447"/>
      <c r="K18" s="671"/>
      <c r="L18" s="1141"/>
      <c r="M18" s="1132"/>
      <c r="N18" s="1132"/>
      <c r="O18" s="1140"/>
      <c r="P18" s="3351"/>
      <c r="Q18" s="1811"/>
      <c r="R18" s="773"/>
      <c r="S18" s="774"/>
      <c r="T18" s="773"/>
      <c r="U18" s="774"/>
      <c r="V18" s="773"/>
      <c r="W18" s="774"/>
      <c r="X18" s="1814"/>
      <c r="Y18" s="3351"/>
      <c r="Z18" s="1815"/>
      <c r="AA18" s="1812">
        <v>1</v>
      </c>
      <c r="AB18" s="1812">
        <v>1</v>
      </c>
      <c r="AC18" s="1812">
        <v>1</v>
      </c>
    </row>
    <row r="19" spans="1:29" ht="15">
      <c r="A19" s="427"/>
      <c r="B19" s="630" t="s">
        <v>2733</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351"/>
      <c r="Q19" s="1811" t="str">
        <f t="shared" ref="Q19:Q33" si="8">B19</f>
        <v>区域土地利用方向</v>
      </c>
      <c r="R19" s="773" t="s">
        <v>17</v>
      </c>
      <c r="S19" s="774">
        <f>F19</f>
        <v>100</v>
      </c>
      <c r="T19" s="773" t="s">
        <v>17</v>
      </c>
      <c r="U19" s="774">
        <f>H19</f>
        <v>100</v>
      </c>
      <c r="V19" s="773" t="s">
        <v>17</v>
      </c>
      <c r="W19" s="774">
        <f>J19</f>
        <v>100</v>
      </c>
      <c r="X19" s="1814"/>
      <c r="Y19" s="3351"/>
      <c r="Z19" s="1815" t="str">
        <f>Q19</f>
        <v>区域土地利用方向</v>
      </c>
      <c r="AA19" s="1812">
        <f t="shared" si="3"/>
        <v>1</v>
      </c>
      <c r="AB19" s="1812">
        <f t="shared" si="4"/>
        <v>1</v>
      </c>
      <c r="AC19" s="1812">
        <f t="shared" si="5"/>
        <v>1</v>
      </c>
    </row>
    <row r="20" spans="1:29" ht="15">
      <c r="A20" s="403"/>
      <c r="B20" s="631"/>
      <c r="C20" s="446" t="s">
        <v>3229</v>
      </c>
      <c r="D20" s="447"/>
      <c r="E20" s="446" t="s">
        <v>3229</v>
      </c>
      <c r="F20" s="447"/>
      <c r="G20" s="446" t="s">
        <v>3229</v>
      </c>
      <c r="H20" s="447"/>
      <c r="I20" s="446" t="s">
        <v>3229</v>
      </c>
      <c r="J20" s="447"/>
      <c r="K20" s="811"/>
      <c r="L20" s="1141"/>
      <c r="M20" s="1132"/>
      <c r="N20" s="1132"/>
      <c r="O20" s="1140"/>
      <c r="P20" s="3351"/>
      <c r="Q20" s="1811"/>
      <c r="R20" s="773"/>
      <c r="S20" s="774"/>
      <c r="T20" s="773"/>
      <c r="U20" s="774"/>
      <c r="V20" s="773"/>
      <c r="W20" s="774"/>
      <c r="X20" s="1814"/>
      <c r="Y20" s="3351"/>
      <c r="Z20" s="1815"/>
      <c r="AA20" s="1812"/>
      <c r="AB20" s="1812"/>
      <c r="AC20" s="1812"/>
    </row>
    <row r="21" spans="1:29" ht="15">
      <c r="A21" s="403"/>
      <c r="B21" s="630" t="s">
        <v>2784</v>
      </c>
      <c r="C21" s="2604"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1"/>
      <c r="M21" s="1132"/>
      <c r="N21" s="1132"/>
      <c r="O21" s="1140"/>
      <c r="P21" s="3351"/>
      <c r="Q21" s="1811" t="str">
        <f t="shared" si="8"/>
        <v>环境状况</v>
      </c>
      <c r="R21" s="773" t="s">
        <v>17</v>
      </c>
      <c r="S21" s="774">
        <f>F21</f>
        <v>100</v>
      </c>
      <c r="T21" s="773" t="s">
        <v>17</v>
      </c>
      <c r="U21" s="774">
        <f>H21</f>
        <v>100</v>
      </c>
      <c r="V21" s="773" t="s">
        <v>17</v>
      </c>
      <c r="W21" s="774">
        <f>J21</f>
        <v>100</v>
      </c>
      <c r="X21" s="1814"/>
      <c r="Y21" s="3351"/>
      <c r="Z21" s="1815" t="str">
        <f>Q21</f>
        <v>环境状况</v>
      </c>
      <c r="AA21" s="1812">
        <f t="shared" si="3"/>
        <v>1</v>
      </c>
      <c r="AB21" s="1812">
        <f t="shared" si="4"/>
        <v>1</v>
      </c>
      <c r="AC21" s="1812">
        <f t="shared" si="5"/>
        <v>1</v>
      </c>
    </row>
    <row r="22" spans="1:29" ht="15">
      <c r="A22" s="403"/>
      <c r="B22" s="631"/>
      <c r="C22" s="446" t="s">
        <v>3230</v>
      </c>
      <c r="D22" s="447"/>
      <c r="E22" s="446" t="s">
        <v>3230</v>
      </c>
      <c r="F22" s="447"/>
      <c r="G22" s="446" t="s">
        <v>3230</v>
      </c>
      <c r="H22" s="447"/>
      <c r="I22" s="446" t="s">
        <v>3230</v>
      </c>
      <c r="J22" s="447"/>
      <c r="K22" s="671"/>
      <c r="L22" s="1141"/>
      <c r="M22" s="1132"/>
      <c r="N22" s="1132"/>
      <c r="O22" s="1140"/>
      <c r="P22" s="3351"/>
      <c r="Q22" s="1811"/>
      <c r="R22" s="773"/>
      <c r="S22" s="774"/>
      <c r="T22" s="773"/>
      <c r="U22" s="774"/>
      <c r="V22" s="773"/>
      <c r="W22" s="774"/>
      <c r="X22" s="1814"/>
      <c r="Y22" s="3351"/>
      <c r="Z22" s="1815"/>
      <c r="AA22" s="1812">
        <v>1</v>
      </c>
      <c r="AB22" s="1812">
        <v>1</v>
      </c>
      <c r="AC22" s="1812">
        <v>1</v>
      </c>
    </row>
    <row r="23" spans="1:29" s="117" customFormat="1" ht="15">
      <c r="A23" s="648"/>
      <c r="B23" s="632" t="s">
        <v>2639</v>
      </c>
      <c r="C23" s="2604"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3"/>
      <c r="M23" s="1134"/>
      <c r="N23" s="1134"/>
      <c r="O23" s="1135"/>
      <c r="P23" s="3351"/>
      <c r="Q23" s="1796" t="str">
        <f t="shared" si="8"/>
        <v>公共配套设施</v>
      </c>
      <c r="R23" s="769" t="s">
        <v>17</v>
      </c>
      <c r="S23" s="770">
        <f>F23</f>
        <v>98</v>
      </c>
      <c r="T23" s="769" t="s">
        <v>17</v>
      </c>
      <c r="U23" s="770">
        <f>H23</f>
        <v>98</v>
      </c>
      <c r="V23" s="769" t="s">
        <v>17</v>
      </c>
      <c r="W23" s="770">
        <f>J23</f>
        <v>98</v>
      </c>
      <c r="X23" s="771"/>
      <c r="Y23" s="3351"/>
      <c r="Z23" s="55" t="str">
        <f>Q23</f>
        <v>公共配套设施</v>
      </c>
      <c r="AA23" s="1812">
        <f>D23/F23</f>
        <v>1.0204081632653061</v>
      </c>
      <c r="AB23" s="1812">
        <f>D23/H23</f>
        <v>1.0204081632653061</v>
      </c>
      <c r="AC23" s="1812">
        <f>D23/J23</f>
        <v>1.0204081632653061</v>
      </c>
    </row>
    <row r="24" spans="1:29" s="117" customFormat="1" ht="15">
      <c r="A24" s="648"/>
      <c r="B24" s="631"/>
      <c r="C24" s="2697" t="s">
        <v>3229</v>
      </c>
      <c r="D24" s="447"/>
      <c r="E24" s="2697" t="s">
        <v>3230</v>
      </c>
      <c r="F24" s="447"/>
      <c r="G24" s="2697" t="s">
        <v>3230</v>
      </c>
      <c r="H24" s="447"/>
      <c r="I24" s="2697" t="s">
        <v>3230</v>
      </c>
      <c r="J24" s="447"/>
      <c r="K24" s="671"/>
      <c r="L24" s="1133"/>
      <c r="M24" s="1134"/>
      <c r="N24" s="1134"/>
      <c r="O24" s="1135"/>
      <c r="P24" s="3351"/>
      <c r="Q24" s="1796"/>
      <c r="R24" s="769"/>
      <c r="S24" s="770"/>
      <c r="T24" s="769"/>
      <c r="U24" s="770"/>
      <c r="V24" s="769"/>
      <c r="W24" s="770"/>
      <c r="X24" s="771"/>
      <c r="Y24" s="3351"/>
      <c r="Z24" s="55"/>
      <c r="AA24" s="772">
        <v>1</v>
      </c>
      <c r="AB24" s="772">
        <v>1</v>
      </c>
      <c r="AC24" s="772">
        <v>1</v>
      </c>
    </row>
    <row r="25" spans="1:29" s="117" customFormat="1" ht="15">
      <c r="A25" s="648"/>
      <c r="B25" s="632" t="s">
        <v>2640</v>
      </c>
      <c r="C25" s="2604"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3"/>
      <c r="M25" s="1134"/>
      <c r="N25" s="1134"/>
      <c r="O25" s="1135"/>
      <c r="P25" s="3351"/>
      <c r="Q25" s="1796" t="str">
        <f t="shared" ref="Q25" si="9">B25</f>
        <v>基础设施水平</v>
      </c>
      <c r="R25" s="769" t="s">
        <v>17</v>
      </c>
      <c r="S25" s="770">
        <f>F25</f>
        <v>100</v>
      </c>
      <c r="T25" s="769" t="s">
        <v>17</v>
      </c>
      <c r="U25" s="770">
        <f>H25</f>
        <v>100</v>
      </c>
      <c r="V25" s="769" t="s">
        <v>17</v>
      </c>
      <c r="W25" s="770">
        <f>J25</f>
        <v>100</v>
      </c>
      <c r="X25" s="771"/>
      <c r="Y25" s="3351"/>
      <c r="Z25" s="55" t="str">
        <f>Q25</f>
        <v>基础设施水平</v>
      </c>
      <c r="AA25" s="1812">
        <f>D25/F25</f>
        <v>1</v>
      </c>
      <c r="AB25" s="1812">
        <f>D25/H25</f>
        <v>1</v>
      </c>
      <c r="AC25" s="1812">
        <f>D25/J25</f>
        <v>1</v>
      </c>
    </row>
    <row r="26" spans="1:29" s="117" customFormat="1" ht="15">
      <c r="A26" s="648"/>
      <c r="B26" s="631"/>
      <c r="C26" s="2697" t="s">
        <v>3245</v>
      </c>
      <c r="D26" s="447"/>
      <c r="E26" s="2697" t="s">
        <v>3245</v>
      </c>
      <c r="F26" s="447"/>
      <c r="G26" s="2697" t="s">
        <v>3245</v>
      </c>
      <c r="H26" s="447"/>
      <c r="I26" s="2697" t="s">
        <v>3245</v>
      </c>
      <c r="J26" s="447"/>
      <c r="K26" s="671"/>
      <c r="L26" s="1133"/>
      <c r="M26" s="1134"/>
      <c r="N26" s="1134"/>
      <c r="O26" s="1135"/>
      <c r="P26" s="3351"/>
      <c r="Q26" s="1796"/>
      <c r="R26" s="769"/>
      <c r="S26" s="770"/>
      <c r="T26" s="769"/>
      <c r="U26" s="770"/>
      <c r="V26" s="769"/>
      <c r="W26" s="770"/>
      <c r="X26" s="771"/>
      <c r="Y26" s="3351"/>
      <c r="Z26" s="55"/>
      <c r="AA26" s="772">
        <v>1</v>
      </c>
      <c r="AB26" s="772">
        <v>1</v>
      </c>
      <c r="AC26" s="772">
        <v>1</v>
      </c>
    </row>
    <row r="27" spans="1:29" ht="15">
      <c r="A27" s="427"/>
      <c r="B27" s="631" t="s">
        <v>2641</v>
      </c>
      <c r="C27" s="615" t="s">
        <v>3262</v>
      </c>
      <c r="D27" s="434">
        <v>100</v>
      </c>
      <c r="E27" s="615" t="s">
        <v>3263</v>
      </c>
      <c r="F27" s="434">
        <f>SUMIF(95:95,E27,96:96)-SUMIF(95:95,C27,96:96)+100</f>
        <v>96</v>
      </c>
      <c r="G27" s="615" t="s">
        <v>3264</v>
      </c>
      <c r="H27" s="434">
        <f>SUMIF(95:95,G27,96:96)-SUMIF(95:95,C27,96:96)+100</f>
        <v>98</v>
      </c>
      <c r="I27" s="615" t="s">
        <v>3262</v>
      </c>
      <c r="J27" s="434">
        <f>SUMIF(95:95,I27,96:96)-SUMIF(95:95,C27,96:96)+100</f>
        <v>100</v>
      </c>
      <c r="K27" s="672">
        <v>2</v>
      </c>
      <c r="L27" s="1141"/>
      <c r="M27" s="1132"/>
      <c r="N27" s="1132"/>
      <c r="O27" s="1140"/>
      <c r="P27" s="3351"/>
      <c r="Q27" s="1811" t="str">
        <f t="shared" si="8"/>
        <v>临街状况</v>
      </c>
      <c r="R27" s="773" t="s">
        <v>17</v>
      </c>
      <c r="S27" s="774">
        <f t="shared" ref="S27:S40" si="10">F27</f>
        <v>96</v>
      </c>
      <c r="T27" s="773" t="s">
        <v>17</v>
      </c>
      <c r="U27" s="774">
        <f t="shared" ref="U27:U40" si="11">H27</f>
        <v>98</v>
      </c>
      <c r="V27" s="773" t="s">
        <v>17</v>
      </c>
      <c r="W27" s="774">
        <f t="shared" ref="W27:W40" si="12">J27</f>
        <v>100</v>
      </c>
      <c r="X27" s="1814"/>
      <c r="Y27" s="3351"/>
      <c r="Z27" s="1815" t="str">
        <f t="shared" ref="Z27:Z40" si="13">Q27</f>
        <v>临街状况</v>
      </c>
      <c r="AA27" s="1812">
        <f t="shared" si="3"/>
        <v>1.0416666666666667</v>
      </c>
      <c r="AB27" s="1812">
        <f t="shared" si="4"/>
        <v>1.0204081632653061</v>
      </c>
      <c r="AC27" s="1812">
        <f t="shared" si="5"/>
        <v>1</v>
      </c>
    </row>
    <row r="28" spans="1:29" ht="27">
      <c r="A28" s="427"/>
      <c r="B28" s="632" t="s">
        <v>2676</v>
      </c>
      <c r="C28" s="2710">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1"/>
      <c r="M28" s="1132"/>
      <c r="N28" s="1132"/>
      <c r="O28" s="1140"/>
      <c r="P28" s="3351"/>
      <c r="Q28" s="1811" t="str">
        <f t="shared" si="8"/>
        <v>毗邻道路的类型与等级</v>
      </c>
      <c r="R28" s="773" t="s">
        <v>17</v>
      </c>
      <c r="S28" s="774">
        <f t="shared" si="10"/>
        <v>92</v>
      </c>
      <c r="T28" s="773" t="s">
        <v>17</v>
      </c>
      <c r="U28" s="774">
        <f t="shared" si="11"/>
        <v>92</v>
      </c>
      <c r="V28" s="773" t="s">
        <v>17</v>
      </c>
      <c r="W28" s="774">
        <f t="shared" si="12"/>
        <v>92</v>
      </c>
      <c r="X28" s="1814"/>
      <c r="Y28" s="3351"/>
      <c r="Z28" s="1815" t="str">
        <f t="shared" si="13"/>
        <v>毗邻道路的类型与等级</v>
      </c>
      <c r="AA28" s="1812">
        <f t="shared" si="3"/>
        <v>1.0869565217391304</v>
      </c>
      <c r="AB28" s="1812">
        <f t="shared" si="4"/>
        <v>1.0869565217391304</v>
      </c>
      <c r="AC28" s="1812">
        <f t="shared" si="5"/>
        <v>1.0869565217391304</v>
      </c>
    </row>
    <row r="29" spans="1:29" ht="15.75" thickBot="1">
      <c r="A29" s="427"/>
      <c r="B29" s="631"/>
      <c r="C29" s="446" t="s">
        <v>3250</v>
      </c>
      <c r="D29" s="447"/>
      <c r="E29" s="446" t="s">
        <v>3255</v>
      </c>
      <c r="F29" s="447"/>
      <c r="G29" s="446" t="s">
        <v>3255</v>
      </c>
      <c r="H29" s="447"/>
      <c r="I29" s="446" t="s">
        <v>3255</v>
      </c>
      <c r="J29" s="447"/>
      <c r="K29" s="612"/>
      <c r="L29" s="1141"/>
      <c r="M29" s="1132"/>
      <c r="N29" s="1132"/>
      <c r="O29" s="1140"/>
      <c r="P29" s="3351"/>
      <c r="Q29" s="1811"/>
      <c r="R29" s="773"/>
      <c r="S29" s="774"/>
      <c r="T29" s="773"/>
      <c r="U29" s="774"/>
      <c r="V29" s="773"/>
      <c r="W29" s="774"/>
      <c r="X29" s="1814"/>
      <c r="Y29" s="3351"/>
      <c r="Z29" s="1815"/>
      <c r="AA29" s="1812">
        <v>1</v>
      </c>
      <c r="AB29" s="1812">
        <v>1</v>
      </c>
      <c r="AC29" s="1812">
        <v>1</v>
      </c>
    </row>
    <row r="30" spans="1:29" ht="15" hidden="1">
      <c r="A30" s="427"/>
      <c r="B30" s="653" t="s">
        <v>2735</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351"/>
      <c r="Q30" s="1811" t="str">
        <f t="shared" si="8"/>
        <v>土地级别</v>
      </c>
      <c r="R30" s="773" t="s">
        <v>17</v>
      </c>
      <c r="S30" s="774">
        <f t="shared" si="10"/>
        <v>100</v>
      </c>
      <c r="T30" s="773" t="s">
        <v>17</v>
      </c>
      <c r="U30" s="774">
        <f t="shared" si="11"/>
        <v>100</v>
      </c>
      <c r="V30" s="773" t="s">
        <v>17</v>
      </c>
      <c r="W30" s="774">
        <f t="shared" si="12"/>
        <v>100</v>
      </c>
      <c r="X30" s="1814"/>
      <c r="Y30" s="3351"/>
      <c r="Z30" s="1815" t="str">
        <f t="shared" si="13"/>
        <v>土地级别</v>
      </c>
      <c r="AA30" s="1812">
        <f t="shared" si="3"/>
        <v>1</v>
      </c>
      <c r="AB30" s="1812">
        <f t="shared" si="4"/>
        <v>1</v>
      </c>
      <c r="AC30" s="1812">
        <f t="shared" si="5"/>
        <v>1</v>
      </c>
    </row>
    <row r="31" spans="1:29" ht="15" hidden="1">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351"/>
      <c r="Q31" s="1811">
        <f t="shared" si="8"/>
        <v>111</v>
      </c>
      <c r="R31" s="773" t="s">
        <v>17</v>
      </c>
      <c r="S31" s="774">
        <f t="shared" si="10"/>
        <v>100</v>
      </c>
      <c r="T31" s="773" t="s">
        <v>17</v>
      </c>
      <c r="U31" s="774">
        <f t="shared" si="11"/>
        <v>100</v>
      </c>
      <c r="V31" s="773" t="s">
        <v>17</v>
      </c>
      <c r="W31" s="774">
        <f t="shared" si="12"/>
        <v>100</v>
      </c>
      <c r="X31" s="1814"/>
      <c r="Y31" s="3351"/>
      <c r="Z31" s="1815">
        <f t="shared" si="13"/>
        <v>111</v>
      </c>
      <c r="AA31" s="1812">
        <f t="shared" si="3"/>
        <v>1</v>
      </c>
      <c r="AB31" s="1812">
        <f t="shared" si="4"/>
        <v>1</v>
      </c>
      <c r="AC31" s="1812">
        <f t="shared" si="5"/>
        <v>1</v>
      </c>
    </row>
    <row r="32" spans="1:29" ht="15" hidden="1">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374" t="s">
        <v>2550</v>
      </c>
      <c r="Q32" s="1811">
        <f t="shared" si="8"/>
        <v>111</v>
      </c>
      <c r="R32" s="773" t="s">
        <v>17</v>
      </c>
      <c r="S32" s="774">
        <f t="shared" si="10"/>
        <v>100</v>
      </c>
      <c r="T32" s="773" t="s">
        <v>17</v>
      </c>
      <c r="U32" s="774">
        <f t="shared" si="11"/>
        <v>100</v>
      </c>
      <c r="V32" s="773" t="s">
        <v>17</v>
      </c>
      <c r="W32" s="774">
        <f t="shared" si="12"/>
        <v>100</v>
      </c>
      <c r="X32" s="1814"/>
      <c r="Y32" s="3355" t="s">
        <v>2550</v>
      </c>
      <c r="Z32" s="1815">
        <f t="shared" si="13"/>
        <v>111</v>
      </c>
      <c r="AA32" s="1812">
        <f t="shared" si="3"/>
        <v>1</v>
      </c>
      <c r="AB32" s="1812">
        <f t="shared" si="4"/>
        <v>1</v>
      </c>
      <c r="AC32" s="1812">
        <f t="shared" si="5"/>
        <v>1</v>
      </c>
    </row>
    <row r="33" spans="1:29" s="470" customFormat="1" ht="15.75" hidden="1"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355"/>
      <c r="Q33" s="1811">
        <f t="shared" si="8"/>
        <v>111</v>
      </c>
      <c r="R33" s="776" t="s">
        <v>17</v>
      </c>
      <c r="S33" s="777">
        <f t="shared" si="10"/>
        <v>100</v>
      </c>
      <c r="T33" s="776" t="s">
        <v>17</v>
      </c>
      <c r="U33" s="777">
        <f t="shared" si="11"/>
        <v>100</v>
      </c>
      <c r="V33" s="776" t="s">
        <v>17</v>
      </c>
      <c r="W33" s="777">
        <f t="shared" si="12"/>
        <v>100</v>
      </c>
      <c r="X33" s="778"/>
      <c r="Y33" s="3355"/>
      <c r="Z33" s="779">
        <f t="shared" si="13"/>
        <v>111</v>
      </c>
      <c r="AA33" s="1812">
        <f t="shared" si="3"/>
        <v>1</v>
      </c>
      <c r="AB33" s="1812">
        <f t="shared" si="4"/>
        <v>1</v>
      </c>
      <c r="AC33" s="1812">
        <f t="shared" si="5"/>
        <v>1</v>
      </c>
    </row>
    <row r="34" spans="1:29" ht="15">
      <c r="A34" s="439" t="s">
        <v>2548</v>
      </c>
      <c r="B34" s="455" t="s">
        <v>2736</v>
      </c>
      <c r="C34" s="678">
        <f>'数据-汇总表'!D3</f>
        <v>8089.25</v>
      </c>
      <c r="D34" s="466">
        <v>100</v>
      </c>
      <c r="E34" s="678">
        <v>4280.58</v>
      </c>
      <c r="F34" s="466">
        <f>LOOKUP(E34,108:108,109:109)-LOOKUP(C34,108:108,109:109)+100</f>
        <v>100</v>
      </c>
      <c r="G34" s="678">
        <v>11912.8</v>
      </c>
      <c r="H34" s="466">
        <f>LOOKUP(G34,108:108,109:109)-LOOKUP(C34,108:108,109:109)+100</f>
        <v>101</v>
      </c>
      <c r="I34" s="529">
        <v>71328.36</v>
      </c>
      <c r="J34" s="466">
        <f>LOOKUP(I34,108:108,109:109)-LOOKUP(C34,108:108,109:109)+100</f>
        <v>102</v>
      </c>
      <c r="K34" s="612"/>
      <c r="L34" s="1141"/>
      <c r="M34" s="1132"/>
      <c r="N34" s="1132"/>
      <c r="O34" s="1140"/>
      <c r="P34" s="3355"/>
      <c r="Q34" s="1811" t="str">
        <f>B34</f>
        <v>宗地面积</v>
      </c>
      <c r="R34" s="773" t="s">
        <v>17</v>
      </c>
      <c r="S34" s="774">
        <f t="shared" si="10"/>
        <v>100</v>
      </c>
      <c r="T34" s="773" t="s">
        <v>17</v>
      </c>
      <c r="U34" s="774">
        <f t="shared" si="11"/>
        <v>101</v>
      </c>
      <c r="V34" s="773" t="s">
        <v>17</v>
      </c>
      <c r="W34" s="774">
        <f t="shared" si="12"/>
        <v>102</v>
      </c>
      <c r="X34" s="1814"/>
      <c r="Y34" s="3355"/>
      <c r="Z34" s="1815" t="str">
        <f t="shared" si="13"/>
        <v>宗地面积</v>
      </c>
      <c r="AA34" s="1812">
        <f t="shared" si="3"/>
        <v>1</v>
      </c>
      <c r="AB34" s="1812">
        <f t="shared" si="4"/>
        <v>0.99009900990099009</v>
      </c>
      <c r="AC34" s="1812">
        <f t="shared" si="5"/>
        <v>0.98039215686274506</v>
      </c>
    </row>
    <row r="35" spans="1:29" ht="15">
      <c r="A35" s="471"/>
      <c r="B35" s="421" t="s">
        <v>2737</v>
      </c>
      <c r="C35" s="3044" t="s">
        <v>3260</v>
      </c>
      <c r="D35" s="434">
        <v>100</v>
      </c>
      <c r="E35" s="3044" t="s">
        <v>3246</v>
      </c>
      <c r="F35" s="434">
        <f>SUMIF(110:110,E35,111:111)-SUMIF(110:110,C35,111:111)+100</f>
        <v>106</v>
      </c>
      <c r="G35" s="3044" t="s">
        <v>3246</v>
      </c>
      <c r="H35" s="434">
        <f>SUMIF(110:110,G35,111:111)-SUMIF(110:110,C35,111:111)+100</f>
        <v>106</v>
      </c>
      <c r="I35" s="3044" t="s">
        <v>3246</v>
      </c>
      <c r="J35" s="434">
        <f>SUMIF(110:110,I35,111:111)-SUMIF(110:110,C35,111:111)+100</f>
        <v>106</v>
      </c>
      <c r="K35" s="611">
        <v>2</v>
      </c>
      <c r="L35" s="1141"/>
      <c r="M35" s="1132"/>
      <c r="N35" s="1132"/>
      <c r="O35" s="1140"/>
      <c r="P35" s="3355"/>
      <c r="Q35" s="1811" t="str">
        <f t="shared" ref="Q35:Q40" si="14">B35</f>
        <v>宗地形状</v>
      </c>
      <c r="R35" s="773" t="s">
        <v>17</v>
      </c>
      <c r="S35" s="774">
        <f t="shared" si="10"/>
        <v>106</v>
      </c>
      <c r="T35" s="773" t="s">
        <v>17</v>
      </c>
      <c r="U35" s="774">
        <f t="shared" si="11"/>
        <v>106</v>
      </c>
      <c r="V35" s="773" t="s">
        <v>17</v>
      </c>
      <c r="W35" s="774">
        <f t="shared" si="12"/>
        <v>106</v>
      </c>
      <c r="X35" s="1814"/>
      <c r="Y35" s="3355"/>
      <c r="Z35" s="1815" t="str">
        <f t="shared" si="13"/>
        <v>宗地形状</v>
      </c>
      <c r="AA35" s="1812">
        <f t="shared" si="3"/>
        <v>0.94339622641509435</v>
      </c>
      <c r="AB35" s="1812">
        <f t="shared" si="4"/>
        <v>0.94339622641509435</v>
      </c>
      <c r="AC35" s="1812">
        <f t="shared" si="5"/>
        <v>0.94339622641509435</v>
      </c>
    </row>
    <row r="36" spans="1:29" s="117" customFormat="1" ht="15">
      <c r="A36" s="472"/>
      <c r="B36" s="421" t="s">
        <v>2739</v>
      </c>
      <c r="C36" s="3045" t="s">
        <v>3247</v>
      </c>
      <c r="D36" s="135">
        <v>100</v>
      </c>
      <c r="E36" s="3045" t="s">
        <v>3247</v>
      </c>
      <c r="F36" s="434">
        <f>SUMIF(112:112,E36,113:113)-SUMIF(112:112,C36,113:113)+100</f>
        <v>100</v>
      </c>
      <c r="G36" s="3045" t="s">
        <v>3247</v>
      </c>
      <c r="H36" s="434">
        <f>SUMIF(112:112,G36,113:113)-SUMIF(112:112,C36,113:113)+100</f>
        <v>100</v>
      </c>
      <c r="I36" s="3045" t="s">
        <v>3247</v>
      </c>
      <c r="J36" s="434">
        <f>SUMIF(112:112,I36,113:113)-SUMIF(112:112,C36,113:113)+100</f>
        <v>100</v>
      </c>
      <c r="K36" s="611">
        <v>1</v>
      </c>
      <c r="L36" s="1133"/>
      <c r="M36" s="1134"/>
      <c r="N36" s="1134"/>
      <c r="O36" s="1135"/>
      <c r="P36" s="3355"/>
      <c r="Q36" s="1811" t="str">
        <f t="shared" si="14"/>
        <v>宗地开发程度</v>
      </c>
      <c r="R36" s="769" t="s">
        <v>17</v>
      </c>
      <c r="S36" s="770">
        <f t="shared" si="10"/>
        <v>100</v>
      </c>
      <c r="T36" s="769" t="s">
        <v>17</v>
      </c>
      <c r="U36" s="770">
        <f t="shared" si="11"/>
        <v>100</v>
      </c>
      <c r="V36" s="769" t="s">
        <v>17</v>
      </c>
      <c r="W36" s="770">
        <f t="shared" si="12"/>
        <v>100</v>
      </c>
      <c r="X36" s="771"/>
      <c r="Y36" s="3355"/>
      <c r="Z36" s="55" t="str">
        <f t="shared" si="13"/>
        <v>宗地开发程度</v>
      </c>
      <c r="AA36" s="772">
        <f t="shared" si="3"/>
        <v>1</v>
      </c>
      <c r="AB36" s="772">
        <f t="shared" si="4"/>
        <v>1</v>
      </c>
      <c r="AC36" s="772">
        <f t="shared" si="5"/>
        <v>1</v>
      </c>
    </row>
    <row r="37" spans="1:29" ht="15.75" thickBot="1">
      <c r="A37" s="471"/>
      <c r="B37" s="421" t="s">
        <v>2740</v>
      </c>
      <c r="C37" s="3044" t="s">
        <v>3248</v>
      </c>
      <c r="D37" s="434">
        <v>100</v>
      </c>
      <c r="E37" s="3044" t="s">
        <v>3248</v>
      </c>
      <c r="F37" s="434">
        <f>SUMIF(114:114,E37,115:115)-SUMIF(114:114,C37,115:115)+100</f>
        <v>100</v>
      </c>
      <c r="G37" s="3044" t="s">
        <v>3248</v>
      </c>
      <c r="H37" s="434">
        <f>SUMIF(114:114,G37,115:115)-SUMIF(114:114,C37,115:115)+100</f>
        <v>100</v>
      </c>
      <c r="I37" s="3044" t="s">
        <v>3248</v>
      </c>
      <c r="J37" s="434">
        <f>SUMIF(114:114,I37,115:115)-SUMIF(114:114,C37,115:115)+100</f>
        <v>100</v>
      </c>
      <c r="K37" s="611">
        <v>2</v>
      </c>
      <c r="L37" s="1141"/>
      <c r="M37" s="1132"/>
      <c r="N37" s="1132"/>
      <c r="O37" s="1140"/>
      <c r="P37" s="3355" t="s">
        <v>2550</v>
      </c>
      <c r="Q37" s="1811" t="str">
        <f t="shared" si="14"/>
        <v>工程地质条件</v>
      </c>
      <c r="R37" s="773" t="s">
        <v>17</v>
      </c>
      <c r="S37" s="774">
        <f t="shared" si="10"/>
        <v>100</v>
      </c>
      <c r="T37" s="773" t="s">
        <v>17</v>
      </c>
      <c r="U37" s="774">
        <f t="shared" si="11"/>
        <v>100</v>
      </c>
      <c r="V37" s="773" t="s">
        <v>17</v>
      </c>
      <c r="W37" s="774">
        <f t="shared" si="12"/>
        <v>100</v>
      </c>
      <c r="X37" s="1814"/>
      <c r="Y37" s="3355" t="s">
        <v>2550</v>
      </c>
      <c r="Z37" s="1815" t="str">
        <f t="shared" si="13"/>
        <v>工程地质条件</v>
      </c>
      <c r="AA37" s="1812">
        <f t="shared" si="3"/>
        <v>1</v>
      </c>
      <c r="AB37" s="1812">
        <f t="shared" si="4"/>
        <v>1</v>
      </c>
      <c r="AC37" s="1812">
        <f t="shared" si="5"/>
        <v>1</v>
      </c>
    </row>
    <row r="38" spans="1:29" ht="15" hidden="1">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355"/>
      <c r="Q38" s="1811">
        <f t="shared" si="14"/>
        <v>111</v>
      </c>
      <c r="R38" s="773" t="s">
        <v>17</v>
      </c>
      <c r="S38" s="774">
        <f t="shared" si="10"/>
        <v>100</v>
      </c>
      <c r="T38" s="773" t="s">
        <v>17</v>
      </c>
      <c r="U38" s="774">
        <f t="shared" si="11"/>
        <v>100</v>
      </c>
      <c r="V38" s="773" t="s">
        <v>17</v>
      </c>
      <c r="W38" s="774">
        <f t="shared" si="12"/>
        <v>100</v>
      </c>
      <c r="X38" s="1814"/>
      <c r="Y38" s="3355"/>
      <c r="Z38" s="1815">
        <f t="shared" si="13"/>
        <v>111</v>
      </c>
      <c r="AA38" s="1812">
        <f t="shared" si="3"/>
        <v>1</v>
      </c>
      <c r="AB38" s="1812">
        <f t="shared" si="4"/>
        <v>1</v>
      </c>
      <c r="AC38" s="1812">
        <f t="shared" si="5"/>
        <v>1</v>
      </c>
    </row>
    <row r="39" spans="1:29" ht="15" hidden="1">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355"/>
      <c r="Q39" s="1811">
        <f t="shared" si="14"/>
        <v>111</v>
      </c>
      <c r="R39" s="773" t="s">
        <v>17</v>
      </c>
      <c r="S39" s="774">
        <f t="shared" si="10"/>
        <v>100</v>
      </c>
      <c r="T39" s="773" t="s">
        <v>17</v>
      </c>
      <c r="U39" s="774">
        <f t="shared" si="11"/>
        <v>100</v>
      </c>
      <c r="V39" s="773" t="s">
        <v>17</v>
      </c>
      <c r="W39" s="774">
        <f t="shared" si="12"/>
        <v>100</v>
      </c>
      <c r="X39" s="1814"/>
      <c r="Y39" s="3355"/>
      <c r="Z39" s="1815">
        <f t="shared" si="13"/>
        <v>111</v>
      </c>
      <c r="AA39" s="1812">
        <f t="shared" si="3"/>
        <v>1</v>
      </c>
      <c r="AB39" s="1812">
        <f t="shared" si="4"/>
        <v>1</v>
      </c>
      <c r="AC39" s="1812">
        <f t="shared" si="5"/>
        <v>1</v>
      </c>
    </row>
    <row r="40" spans="1:29" s="470" customFormat="1" ht="15.75" hidden="1" thickBot="1">
      <c r="A40" s="467"/>
      <c r="B40" s="1388">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355"/>
      <c r="Q40" s="1811">
        <f t="shared" si="14"/>
        <v>111</v>
      </c>
      <c r="R40" s="776" t="s">
        <v>17</v>
      </c>
      <c r="S40" s="777">
        <f t="shared" si="10"/>
        <v>100</v>
      </c>
      <c r="T40" s="776" t="s">
        <v>17</v>
      </c>
      <c r="U40" s="777">
        <f t="shared" si="11"/>
        <v>100</v>
      </c>
      <c r="V40" s="776" t="s">
        <v>17</v>
      </c>
      <c r="W40" s="777">
        <f t="shared" si="12"/>
        <v>100</v>
      </c>
      <c r="X40" s="778"/>
      <c r="Y40" s="3355"/>
      <c r="Z40" s="779">
        <f t="shared" si="13"/>
        <v>111</v>
      </c>
      <c r="AA40" s="1812">
        <f t="shared" si="3"/>
        <v>1</v>
      </c>
      <c r="AB40" s="1812">
        <f t="shared" si="4"/>
        <v>1</v>
      </c>
      <c r="AC40" s="1812">
        <f t="shared" si="5"/>
        <v>1</v>
      </c>
    </row>
    <row r="41" spans="1:29" ht="15">
      <c r="A41" s="478" t="s">
        <v>2705</v>
      </c>
      <c r="B41" s="2701" t="s">
        <v>3249</v>
      </c>
      <c r="C41" s="681" t="s">
        <v>1</v>
      </c>
      <c r="D41" s="480"/>
      <c r="E41" s="481">
        <v>1500</v>
      </c>
      <c r="F41" s="482"/>
      <c r="G41" s="483">
        <v>1509</v>
      </c>
      <c r="H41" s="484"/>
      <c r="I41" s="481">
        <v>1257</v>
      </c>
      <c r="J41" s="484"/>
      <c r="K41" s="782"/>
      <c r="L41" s="1144"/>
      <c r="M41" s="1132"/>
      <c r="N41" s="1132"/>
      <c r="O41" s="1145"/>
      <c r="P41" s="3348" t="str">
        <f>A41</f>
        <v>成交单价</v>
      </c>
      <c r="Q41" s="3348"/>
      <c r="R41" s="3343">
        <f>E41</f>
        <v>1500</v>
      </c>
      <c r="S41" s="3343"/>
      <c r="T41" s="3343">
        <f>G41</f>
        <v>1509</v>
      </c>
      <c r="U41" s="3343"/>
      <c r="V41" s="3343">
        <f>I41</f>
        <v>1257</v>
      </c>
      <c r="W41" s="3343"/>
      <c r="X41" s="758"/>
      <c r="Y41" s="780"/>
      <c r="Z41" s="758"/>
      <c r="AA41" s="758"/>
      <c r="AB41" s="758"/>
      <c r="AC41" s="758"/>
    </row>
    <row r="42" spans="1:29" ht="15.75" thickBot="1">
      <c r="A42" s="485" t="s">
        <v>2654</v>
      </c>
      <c r="B42" s="682"/>
      <c r="C42" s="489">
        <f>R43</f>
        <v>1631</v>
      </c>
      <c r="D42" s="488"/>
      <c r="E42" s="489">
        <f>R42</f>
        <v>1728</v>
      </c>
      <c r="F42" s="490"/>
      <c r="G42" s="487">
        <f>T42</f>
        <v>1721</v>
      </c>
      <c r="H42" s="488"/>
      <c r="I42" s="489">
        <f>V42</f>
        <v>1443</v>
      </c>
      <c r="J42" s="488"/>
      <c r="K42" s="783"/>
      <c r="L42" s="1144"/>
      <c r="M42" s="1132"/>
      <c r="N42" s="1132"/>
      <c r="O42" s="1145"/>
      <c r="P42" s="3348" t="str">
        <f>A42</f>
        <v>比较价值（元/平方米）</v>
      </c>
      <c r="Q42" s="3348"/>
      <c r="R42" s="3375">
        <f>ROUND(PRODUCT(R41,AA7:AA40),0)</f>
        <v>1728</v>
      </c>
      <c r="S42" s="3375"/>
      <c r="T42" s="3375">
        <f>ROUND(PRODUCT(T41,AB7:AB40),0)</f>
        <v>1721</v>
      </c>
      <c r="U42" s="3375"/>
      <c r="V42" s="3375">
        <f>ROUND(PRODUCT(V41,AC7:AC40),0)</f>
        <v>1443</v>
      </c>
      <c r="W42" s="3375"/>
      <c r="X42" s="758"/>
      <c r="Y42" s="758"/>
      <c r="Z42" s="758"/>
      <c r="AA42" s="758"/>
      <c r="AB42" s="758"/>
      <c r="AC42" s="758"/>
    </row>
    <row r="43" spans="1:29" ht="15.75" thickBot="1">
      <c r="A43" s="491" t="s">
        <v>2655</v>
      </c>
      <c r="B43" s="492"/>
      <c r="C43" s="493">
        <f>R43</f>
        <v>1631</v>
      </c>
      <c r="D43" s="493"/>
      <c r="E43" s="493"/>
      <c r="F43" s="493"/>
      <c r="G43" s="493"/>
      <c r="H43" s="493"/>
      <c r="I43" s="493"/>
      <c r="J43" s="493"/>
      <c r="K43" s="784"/>
      <c r="L43" s="1144"/>
      <c r="M43" s="1132"/>
      <c r="N43" s="1132"/>
      <c r="O43" s="1145"/>
      <c r="P43" s="3345" t="str">
        <f>A43</f>
        <v>估价对象XX用房的比较价值（楼面单价，元/平方米）</v>
      </c>
      <c r="Q43" s="3346"/>
      <c r="R43" s="3376">
        <f>ROUND(AVERAGE(R42:V42),0)</f>
        <v>1631</v>
      </c>
      <c r="S43" s="3376"/>
      <c r="T43" s="3376"/>
      <c r="U43" s="3376"/>
      <c r="V43" s="3376"/>
      <c r="W43" s="3376"/>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2656</v>
      </c>
      <c r="D46" s="497"/>
      <c r="E46" s="498">
        <f>IF(E41&lt;E42,E42/E41-1,E41/E42-1)</f>
        <v>0.15199999999999991</v>
      </c>
      <c r="F46" s="499" t="str">
        <f>IF(OR(E46&gt;=0.3,E46&lt;=-0.3),"超过30%","")</f>
        <v/>
      </c>
      <c r="G46" s="498">
        <f>IF(G41&lt;G42,G42/G41-1,G41/G42-1)</f>
        <v>0.1404903909874089</v>
      </c>
      <c r="H46" s="499" t="str">
        <f>IF(OR(G46&gt;=0.3,G46&lt;=-0.3),"超过30%","")</f>
        <v/>
      </c>
      <c r="I46" s="498">
        <f>IF(I41&lt;I42,I42/I41-1,I41/I42-1)</f>
        <v>0.14797136038186154</v>
      </c>
      <c r="J46" s="499" t="str">
        <f>IF(OR(I46&gt;=0.3,I46&lt;=-0.3),"超过30%","")</f>
        <v/>
      </c>
      <c r="K46" s="1106"/>
      <c r="L46" s="1107"/>
      <c r="M46" s="1132"/>
      <c r="N46" s="1132"/>
      <c r="O46" s="1145"/>
    </row>
    <row r="47" spans="1:29" ht="13.5" customHeight="1">
      <c r="A47" s="1145"/>
      <c r="B47" s="1145"/>
      <c r="C47" s="496" t="s">
        <v>2657</v>
      </c>
      <c r="D47" s="500"/>
      <c r="E47" s="498">
        <f>IF(E42&lt;G42,G42/E42-1,E42/G42-1)</f>
        <v>4.0674026728646506E-3</v>
      </c>
      <c r="F47" s="499" t="str">
        <f>IF(OR(E47&gt;=0.2,E47&lt;=-0.2),"超过20%","")</f>
        <v/>
      </c>
      <c r="G47" s="498">
        <f>IF(G42&lt;I42,I42/G42-1,G42/I42-1)</f>
        <v>0.1926541926541927</v>
      </c>
      <c r="H47" s="499" t="str">
        <f>IF(OR(G47&gt;=0.2,G47&lt;=-0.2),"超过20%","")</f>
        <v/>
      </c>
      <c r="I47" s="498">
        <f>IF(I42&lt;E42,E42/I42-1,I42/E42-1)</f>
        <v>0.19750519750519757</v>
      </c>
      <c r="J47" s="499" t="str">
        <f>IF(OR(I47&gt;=0.2,I47&lt;=-0.2),"超过20%","")</f>
        <v/>
      </c>
      <c r="K47" s="1106"/>
      <c r="L47" s="1107"/>
      <c r="M47" s="1145"/>
      <c r="N47" s="1145"/>
      <c r="O47" s="1145"/>
    </row>
    <row r="48" spans="1:29" s="501" customFormat="1" ht="13.5" customHeight="1">
      <c r="A48" s="1146"/>
      <c r="B48" s="1146"/>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2743</v>
      </c>
      <c r="B50" s="684" t="s">
        <v>2744</v>
      </c>
      <c r="C50" s="2702" t="s">
        <v>2745</v>
      </c>
      <c r="D50" s="2703" t="s">
        <v>2746</v>
      </c>
      <c r="E50" s="685" t="s">
        <v>2747</v>
      </c>
      <c r="F50" s="686" t="s">
        <v>2748</v>
      </c>
      <c r="G50" s="3331" t="s">
        <v>2749</v>
      </c>
      <c r="H50" s="3377"/>
      <c r="I50" s="1815" t="s">
        <v>2785</v>
      </c>
      <c r="J50" s="1815">
        <f>项目基本情况!F35</f>
        <v>0</v>
      </c>
      <c r="K50" s="2705" t="s">
        <v>2751</v>
      </c>
      <c r="L50" s="1107"/>
      <c r="M50" s="1145"/>
      <c r="N50" s="1145"/>
      <c r="O50" s="1145"/>
    </row>
    <row r="51" spans="1:17" s="691" customFormat="1">
      <c r="A51" s="687" t="s">
        <v>2752</v>
      </c>
      <c r="B51" s="688">
        <f>C43</f>
        <v>1631</v>
      </c>
      <c r="C51" s="689">
        <v>1</v>
      </c>
      <c r="D51" s="1164">
        <v>1</v>
      </c>
      <c r="E51" s="689">
        <f>'数据-汇总表'!E8+'数据-汇总表'!E9</f>
        <v>5755.45</v>
      </c>
      <c r="F51" s="690">
        <f t="shared" ref="F51:F60" si="15">ROUND(B51*E51/10000,0)</f>
        <v>939</v>
      </c>
      <c r="G51" s="3330"/>
      <c r="H51" s="3348"/>
      <c r="I51" s="944">
        <v>1</v>
      </c>
      <c r="J51" s="944">
        <v>1</v>
      </c>
      <c r="K51" s="1146"/>
      <c r="L51" s="943"/>
      <c r="M51" s="943"/>
      <c r="N51" s="943"/>
      <c r="O51" s="943"/>
    </row>
    <row r="52" spans="1:17" s="691" customFormat="1">
      <c r="A52" s="692" t="s">
        <v>2753</v>
      </c>
      <c r="B52" s="261">
        <f>ROUND($C$43*C52*D52,0)</f>
        <v>0</v>
      </c>
      <c r="C52" s="199">
        <f t="shared" ref="C52:C60" si="16">IF($C$50="北京市系数",I52,J52)</f>
        <v>0</v>
      </c>
      <c r="D52" s="1165">
        <v>0.25</v>
      </c>
      <c r="E52" s="693"/>
      <c r="F52" s="690">
        <f t="shared" si="15"/>
        <v>0</v>
      </c>
      <c r="G52" s="3378" t="s">
        <v>2754</v>
      </c>
      <c r="H52" s="1105">
        <f>项目基本情况!B37</f>
        <v>0</v>
      </c>
      <c r="I52" s="944">
        <f>SUMIF(修正!A45:A56,H52,修正!B45:B56)</f>
        <v>0</v>
      </c>
      <c r="J52" s="945"/>
      <c r="K52" s="1145"/>
      <c r="L52" s="943"/>
      <c r="M52" s="943"/>
      <c r="N52" s="943"/>
      <c r="O52" s="943"/>
    </row>
    <row r="53" spans="1:17" s="691" customFormat="1">
      <c r="A53" s="692" t="s">
        <v>2755</v>
      </c>
      <c r="B53" s="261">
        <f t="shared" ref="B53:B60" si="17">ROUND($C$43*C53*D53,0)</f>
        <v>0</v>
      </c>
      <c r="C53" s="199">
        <f t="shared" si="16"/>
        <v>0</v>
      </c>
      <c r="D53" s="1165">
        <v>0.25</v>
      </c>
      <c r="E53" s="693"/>
      <c r="F53" s="690">
        <f t="shared" si="15"/>
        <v>0</v>
      </c>
      <c r="G53" s="3378"/>
      <c r="H53" s="1105">
        <f>项目基本情况!B37</f>
        <v>0</v>
      </c>
      <c r="I53" s="944">
        <f>SUMIF(修正!A45:A56,H53,修正!C45:C56)</f>
        <v>0</v>
      </c>
      <c r="J53" s="945"/>
      <c r="K53" s="1146"/>
      <c r="L53" s="943"/>
      <c r="M53" s="943"/>
      <c r="N53" s="943"/>
      <c r="O53" s="943"/>
    </row>
    <row r="54" spans="1:17" s="691" customFormat="1">
      <c r="A54" s="692" t="s">
        <v>2756</v>
      </c>
      <c r="B54" s="261">
        <f t="shared" si="17"/>
        <v>0</v>
      </c>
      <c r="C54" s="199">
        <f t="shared" si="16"/>
        <v>0</v>
      </c>
      <c r="D54" s="1165">
        <v>0.25</v>
      </c>
      <c r="E54" s="693"/>
      <c r="F54" s="690">
        <f t="shared" si="15"/>
        <v>0</v>
      </c>
      <c r="G54" s="3378"/>
      <c r="H54" s="1105">
        <f>项目基本情况!B37</f>
        <v>0</v>
      </c>
      <c r="I54" s="944">
        <f>SUMIF(修正!A45:A56,H54,修正!D45:D56)</f>
        <v>0</v>
      </c>
      <c r="J54" s="945"/>
      <c r="K54" s="1145"/>
      <c r="L54" s="943"/>
      <c r="M54" s="943"/>
      <c r="N54" s="943"/>
      <c r="O54" s="943"/>
    </row>
    <row r="55" spans="1:17" s="691" customFormat="1">
      <c r="A55" s="692" t="s">
        <v>2757</v>
      </c>
      <c r="B55" s="261">
        <f t="shared" si="17"/>
        <v>0</v>
      </c>
      <c r="C55" s="199">
        <f t="shared" si="16"/>
        <v>0</v>
      </c>
      <c r="D55" s="1165">
        <v>0.25</v>
      </c>
      <c r="E55" s="693"/>
      <c r="F55" s="690">
        <f t="shared" si="15"/>
        <v>0</v>
      </c>
      <c r="G55" s="3378"/>
      <c r="H55" s="1105">
        <f>项目基本情况!B37</f>
        <v>0</v>
      </c>
      <c r="I55" s="944">
        <f>SUMIF(修正!A45:A56,H55,修正!E45:E56)</f>
        <v>0</v>
      </c>
      <c r="J55" s="945"/>
      <c r="K55" s="1146"/>
      <c r="L55" s="943"/>
      <c r="M55" s="943"/>
      <c r="N55" s="943"/>
      <c r="O55" s="943"/>
    </row>
    <row r="56" spans="1:17" s="691" customFormat="1">
      <c r="A56" s="692" t="s">
        <v>2758</v>
      </c>
      <c r="B56" s="261">
        <f t="shared" si="17"/>
        <v>0</v>
      </c>
      <c r="C56" s="199">
        <f t="shared" si="16"/>
        <v>0</v>
      </c>
      <c r="D56" s="1165">
        <v>0.25</v>
      </c>
      <c r="E56" s="260">
        <f>'数据-汇总表'!E11</f>
        <v>0</v>
      </c>
      <c r="F56" s="690">
        <f t="shared" si="15"/>
        <v>0</v>
      </c>
      <c r="G56" s="2706" t="s">
        <v>2759</v>
      </c>
      <c r="H56" s="1105">
        <f>项目基本情况!C37</f>
        <v>0</v>
      </c>
      <c r="I56" s="944">
        <f>SUMIF(修正!A45:A56,H56,修正!F45:F56)</f>
        <v>0</v>
      </c>
      <c r="J56" s="945"/>
      <c r="K56" s="1145"/>
      <c r="L56" s="943"/>
      <c r="M56" s="943"/>
      <c r="N56" s="943"/>
      <c r="O56" s="943"/>
    </row>
    <row r="57" spans="1:17" s="691" customFormat="1">
      <c r="A57" s="692" t="s">
        <v>2760</v>
      </c>
      <c r="B57" s="261">
        <f t="shared" si="17"/>
        <v>0</v>
      </c>
      <c r="C57" s="199">
        <f t="shared" si="16"/>
        <v>0</v>
      </c>
      <c r="D57" s="1165">
        <v>0.25</v>
      </c>
      <c r="E57" s="260">
        <f>'数据-汇总表'!E12</f>
        <v>0</v>
      </c>
      <c r="F57" s="690">
        <f t="shared" si="15"/>
        <v>0</v>
      </c>
      <c r="G57" s="1110" t="s">
        <v>2761</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2762</v>
      </c>
      <c r="B58" s="261">
        <f t="shared" si="17"/>
        <v>0</v>
      </c>
      <c r="C58" s="199">
        <f t="shared" si="16"/>
        <v>0</v>
      </c>
      <c r="D58" s="1165">
        <v>0.25</v>
      </c>
      <c r="E58" s="260">
        <f>'数据-汇总表'!E13</f>
        <v>0</v>
      </c>
      <c r="F58" s="690">
        <f t="shared" si="15"/>
        <v>0</v>
      </c>
      <c r="G58" s="1110" t="s">
        <v>2763</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2764</v>
      </c>
      <c r="B59" s="261">
        <f t="shared" si="17"/>
        <v>0</v>
      </c>
      <c r="C59" s="199">
        <f t="shared" si="16"/>
        <v>0</v>
      </c>
      <c r="D59" s="1165">
        <v>0.25</v>
      </c>
      <c r="E59" s="260">
        <f>'数据-汇总表'!E14</f>
        <v>0</v>
      </c>
      <c r="F59" s="690">
        <f t="shared" si="15"/>
        <v>0</v>
      </c>
      <c r="G59" s="2706" t="s">
        <v>2754</v>
      </c>
      <c r="H59" s="1105">
        <f>项目基本情况!B37</f>
        <v>0</v>
      </c>
      <c r="I59" s="944">
        <f>SUMIF(修正!A45:A56,H59,修正!H45:H56)</f>
        <v>0</v>
      </c>
      <c r="J59" s="945"/>
      <c r="K59" s="1146"/>
      <c r="L59" s="943"/>
      <c r="M59" s="943"/>
      <c r="N59" s="943"/>
      <c r="O59" s="943"/>
    </row>
    <row r="60" spans="1:17" s="691" customFormat="1" ht="15" thickBot="1">
      <c r="A60" s="692" t="s">
        <v>2765</v>
      </c>
      <c r="B60" s="261">
        <f t="shared" si="17"/>
        <v>0</v>
      </c>
      <c r="C60" s="199">
        <f t="shared" si="16"/>
        <v>0</v>
      </c>
      <c r="D60" s="1165">
        <v>0.25</v>
      </c>
      <c r="E60" s="260">
        <f>'数据-汇总表'!E15</f>
        <v>0</v>
      </c>
      <c r="F60" s="690">
        <f t="shared" si="15"/>
        <v>0</v>
      </c>
      <c r="G60" s="2707" t="s">
        <v>2759</v>
      </c>
      <c r="H60" s="1115">
        <f>项目基本情况!C37</f>
        <v>0</v>
      </c>
      <c r="I60" s="944">
        <f>SUMIF(修正!A45:A56,H60,修正!H45:H56)</f>
        <v>0</v>
      </c>
      <c r="J60" s="945"/>
      <c r="K60" s="1145"/>
      <c r="L60" s="943"/>
      <c r="M60" s="943"/>
      <c r="N60" s="943"/>
      <c r="O60" s="943"/>
    </row>
    <row r="61" spans="1:17" s="691" customFormat="1" ht="15" thickBot="1">
      <c r="A61" s="694" t="s">
        <v>2766</v>
      </c>
      <c r="B61" s="695" t="s">
        <v>28</v>
      </c>
      <c r="C61" s="695" t="s">
        <v>29</v>
      </c>
      <c r="D61" s="695" t="s">
        <v>1029</v>
      </c>
      <c r="E61" s="695">
        <f>IF(B41="楼面地价",SUM(E51:E60),'数据-汇总表'!D3)</f>
        <v>8089.25</v>
      </c>
      <c r="F61" s="696">
        <f>IF(B41="楼面地价",SUM(F51:F60),ROUND(C43*E61/10000,0))</f>
        <v>1319</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2659</v>
      </c>
      <c r="B64" s="758"/>
      <c r="C64" s="763"/>
      <c r="D64" s="763"/>
      <c r="E64" s="763"/>
      <c r="F64" s="764"/>
      <c r="G64" s="764"/>
      <c r="H64" s="763"/>
      <c r="I64" s="763"/>
      <c r="J64" s="763"/>
      <c r="K64" s="765"/>
      <c r="L64" s="766"/>
      <c r="M64" s="763"/>
      <c r="N64" s="763"/>
      <c r="O64" s="1160"/>
      <c r="P64" s="502"/>
      <c r="Q64" s="503"/>
    </row>
    <row r="65" spans="1:17" s="507" customFormat="1" ht="15">
      <c r="A65" s="2708" t="s">
        <v>2767</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3"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2573</v>
      </c>
      <c r="B70" s="527" t="s">
        <v>2539</v>
      </c>
      <c r="C70" s="3046" t="s">
        <v>3244</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2542</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4"/>
      <c r="O74" s="1154"/>
      <c r="P74" s="45"/>
      <c r="Q74" s="503"/>
    </row>
    <row r="75" spans="1:17" ht="15">
      <c r="A75" s="533"/>
      <c r="B75" s="547"/>
      <c r="C75" s="548">
        <v>0</v>
      </c>
      <c r="D75" s="548">
        <v>1</v>
      </c>
      <c r="E75" s="548">
        <v>2</v>
      </c>
      <c r="F75" s="548">
        <v>3</v>
      </c>
      <c r="G75" s="548"/>
      <c r="H75" s="548"/>
      <c r="I75" s="548"/>
      <c r="J75" s="548"/>
      <c r="K75" s="549"/>
      <c r="L75" s="550"/>
      <c r="M75" s="551"/>
      <c r="N75" s="1153"/>
      <c r="O75" s="1153"/>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2"/>
      <c r="O87" s="1152"/>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2"/>
      <c r="O89" s="1152"/>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3"/>
      <c r="O95" s="1153"/>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4"/>
      <c r="O96" s="1154"/>
      <c r="P96" s="45"/>
      <c r="Q96" s="503"/>
    </row>
    <row r="97" spans="1:17" ht="27.75" thickTop="1">
      <c r="A97" s="533"/>
      <c r="B97" s="537" t="s">
        <v>2676</v>
      </c>
      <c r="C97" s="3047" t="s">
        <v>3251</v>
      </c>
      <c r="D97" s="3047" t="s">
        <v>3252</v>
      </c>
      <c r="E97" s="3047" t="s">
        <v>3253</v>
      </c>
      <c r="F97" s="3047" t="s">
        <v>3254</v>
      </c>
      <c r="G97" s="3047" t="s">
        <v>3256</v>
      </c>
      <c r="H97" s="582"/>
      <c r="I97" s="582"/>
      <c r="J97" s="582"/>
      <c r="K97" s="583"/>
      <c r="L97" s="584"/>
      <c r="M97" s="585"/>
      <c r="N97" s="1153"/>
      <c r="O97" s="1153"/>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4"/>
      <c r="O98" s="1154"/>
      <c r="P98" s="45"/>
      <c r="Q98" s="503"/>
    </row>
    <row r="99" spans="1:17" ht="15.75" thickTop="1">
      <c r="A99" s="533"/>
      <c r="B99" s="537" t="s">
        <v>2735</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7" t="str">
        <f t="shared" si="26"/>
        <v>(含)-</v>
      </c>
      <c r="L107" s="1767" t="str">
        <f t="shared" si="26"/>
        <v>(含)-</v>
      </c>
      <c r="M107" s="1768" t="str">
        <f>M108&amp;"(含)"&amp;"-"&amp;P108</f>
        <v>(含)-</v>
      </c>
      <c r="N107" s="1153"/>
      <c r="O107" s="1153"/>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3"/>
      <c r="O108" s="1153"/>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4"/>
      <c r="O109" s="1154"/>
      <c r="P109" s="45"/>
      <c r="Q109" s="503"/>
    </row>
    <row r="110" spans="1:17" ht="15" thickTop="1">
      <c r="A110" s="598"/>
      <c r="B110" s="537" t="s">
        <v>2777</v>
      </c>
      <c r="C110" s="3048" t="s">
        <v>3257</v>
      </c>
      <c r="D110" s="3048" t="s">
        <v>3246</v>
      </c>
      <c r="E110" s="3048" t="s">
        <v>3258</v>
      </c>
      <c r="F110" s="3048" t="s">
        <v>3259</v>
      </c>
      <c r="G110" s="3048" t="s">
        <v>3261</v>
      </c>
      <c r="H110" s="582"/>
      <c r="I110" s="582"/>
      <c r="J110" s="582"/>
      <c r="K110" s="583"/>
      <c r="L110" s="584"/>
      <c r="M110" s="585"/>
      <c r="N110" s="1153"/>
      <c r="O110" s="1153"/>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4"/>
      <c r="O111" s="1154"/>
      <c r="P111" s="45"/>
      <c r="Q111" s="503"/>
    </row>
    <row r="112" spans="1:17" s="470" customFormat="1" ht="15" thickTop="1">
      <c r="A112" s="592"/>
      <c r="B112" s="537" t="s">
        <v>2779</v>
      </c>
      <c r="C112" s="3047" t="str">
        <f>C93</f>
        <v>七通</v>
      </c>
      <c r="D112" s="3047" t="str">
        <f t="shared" ref="D112:G112" si="29">D93</f>
        <v>六通</v>
      </c>
      <c r="E112" s="3047" t="str">
        <f t="shared" si="29"/>
        <v>五通</v>
      </c>
      <c r="F112" s="3047" t="str">
        <f t="shared" si="29"/>
        <v>四通</v>
      </c>
      <c r="G112" s="3047" t="str">
        <f t="shared" si="29"/>
        <v>三通</v>
      </c>
      <c r="H112" s="582"/>
      <c r="I112" s="582"/>
      <c r="J112" s="582"/>
      <c r="K112" s="583"/>
      <c r="L112" s="584"/>
      <c r="M112" s="585"/>
      <c r="N112" s="1155"/>
      <c r="O112" s="1155"/>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5"/>
      <c r="O113" s="1155"/>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3"/>
      <c r="O114" s="1153"/>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85" t="s">
        <v>183</v>
      </c>
      <c r="B18" s="881" t="s">
        <v>560</v>
      </c>
      <c r="C18" s="882" t="s">
        <v>561</v>
      </c>
      <c r="D18" s="883"/>
      <c r="E18" s="881">
        <v>1</v>
      </c>
      <c r="F18" s="884" t="s">
        <v>562</v>
      </c>
      <c r="G18" s="885"/>
      <c r="H18" s="877"/>
      <c r="I18" s="877"/>
    </row>
    <row r="19" spans="1:9" s="886" customFormat="1" ht="19.5" customHeight="1">
      <c r="A19" s="3385"/>
      <c r="B19" s="3385" t="s">
        <v>563</v>
      </c>
      <c r="C19" s="882" t="s">
        <v>564</v>
      </c>
      <c r="D19" s="883"/>
      <c r="E19" s="881">
        <v>0.9</v>
      </c>
      <c r="F19" s="884" t="s">
        <v>565</v>
      </c>
      <c r="G19" s="885"/>
      <c r="H19" s="877"/>
      <c r="I19" s="877"/>
    </row>
    <row r="20" spans="1:9" s="886" customFormat="1" ht="19.5" customHeight="1">
      <c r="A20" s="3385"/>
      <c r="B20" s="3385"/>
      <c r="C20" s="882" t="s">
        <v>566</v>
      </c>
      <c r="D20" s="883"/>
      <c r="E20" s="881">
        <v>1.1000000000000001</v>
      </c>
      <c r="F20" s="884" t="s">
        <v>567</v>
      </c>
      <c r="G20" s="885"/>
      <c r="H20" s="877"/>
      <c r="I20" s="877"/>
    </row>
    <row r="21" spans="1:9" s="886" customFormat="1" ht="19.5" customHeight="1">
      <c r="A21" s="3385"/>
      <c r="B21" s="3385"/>
      <c r="C21" s="882" t="s">
        <v>568</v>
      </c>
      <c r="D21" s="883"/>
      <c r="E21" s="881">
        <v>0.8</v>
      </c>
      <c r="F21" s="884" t="s">
        <v>569</v>
      </c>
      <c r="G21" s="885"/>
      <c r="H21" s="877"/>
      <c r="I21" s="877"/>
    </row>
    <row r="22" spans="1:9" s="886" customFormat="1" ht="19.5" customHeight="1">
      <c r="A22" s="3385"/>
      <c r="B22" s="3385"/>
      <c r="C22" s="882" t="s">
        <v>570</v>
      </c>
      <c r="D22" s="883"/>
      <c r="E22" s="881">
        <v>0.5</v>
      </c>
      <c r="F22" s="884"/>
      <c r="G22" s="885"/>
      <c r="H22" s="877"/>
      <c r="I22" s="877"/>
    </row>
    <row r="23" spans="1:9" s="886" customFormat="1" ht="19.5" customHeight="1">
      <c r="A23" s="3385" t="s">
        <v>184</v>
      </c>
      <c r="B23" s="881" t="s">
        <v>560</v>
      </c>
      <c r="C23" s="882" t="s">
        <v>571</v>
      </c>
      <c r="D23" s="883"/>
      <c r="E23" s="881">
        <v>1</v>
      </c>
      <c r="F23" s="884" t="s">
        <v>572</v>
      </c>
      <c r="G23" s="885"/>
      <c r="H23" s="877"/>
      <c r="I23" s="877"/>
    </row>
    <row r="24" spans="1:9" s="886" customFormat="1" ht="19.5" customHeight="1">
      <c r="A24" s="3385"/>
      <c r="B24" s="3385" t="s">
        <v>563</v>
      </c>
      <c r="C24" s="882" t="s">
        <v>573</v>
      </c>
      <c r="D24" s="883"/>
      <c r="E24" s="881">
        <v>0.5</v>
      </c>
      <c r="F24" s="884"/>
      <c r="G24" s="885"/>
      <c r="H24" s="877"/>
      <c r="I24" s="877"/>
    </row>
    <row r="25" spans="1:9" s="886" customFormat="1" ht="19.5" customHeight="1">
      <c r="A25" s="3385"/>
      <c r="B25" s="3385"/>
      <c r="C25" s="882" t="s">
        <v>574</v>
      </c>
      <c r="D25" s="883"/>
      <c r="E25" s="881">
        <v>1.1000000000000001</v>
      </c>
      <c r="F25" s="884"/>
      <c r="G25" s="885"/>
      <c r="H25" s="877"/>
      <c r="I25" s="877"/>
    </row>
    <row r="26" spans="1:9" s="886" customFormat="1" ht="19.5" customHeight="1">
      <c r="A26" s="3385"/>
      <c r="B26" s="3385"/>
      <c r="C26" s="882" t="s">
        <v>575</v>
      </c>
      <c r="D26" s="883"/>
      <c r="E26" s="881">
        <v>1.1000000000000001</v>
      </c>
      <c r="F26" s="884"/>
      <c r="G26" s="885"/>
      <c r="H26" s="877"/>
      <c r="I26" s="877"/>
    </row>
    <row r="27" spans="1:9" s="886" customFormat="1" ht="19.5" customHeight="1">
      <c r="A27" s="3385"/>
      <c r="B27" s="3385"/>
      <c r="C27" s="882" t="s">
        <v>576</v>
      </c>
      <c r="D27" s="883"/>
      <c r="E27" s="881">
        <v>0.9</v>
      </c>
      <c r="F27" s="884" t="s">
        <v>577</v>
      </c>
      <c r="G27" s="885"/>
      <c r="H27" s="877"/>
      <c r="I27" s="877"/>
    </row>
    <row r="28" spans="1:9" s="886" customFormat="1" ht="19.5" customHeight="1">
      <c r="A28" s="3385"/>
      <c r="B28" s="3385"/>
      <c r="C28" s="882" t="s">
        <v>578</v>
      </c>
      <c r="D28" s="883"/>
      <c r="E28" s="881">
        <v>0.9</v>
      </c>
      <c r="F28" s="884" t="s">
        <v>579</v>
      </c>
      <c r="G28" s="885"/>
      <c r="H28" s="877"/>
      <c r="I28" s="877"/>
    </row>
    <row r="29" spans="1:9" s="886" customFormat="1" ht="19.5" customHeight="1">
      <c r="A29" s="3385"/>
      <c r="B29" s="3385"/>
      <c r="C29" s="882" t="s">
        <v>580</v>
      </c>
      <c r="D29" s="883"/>
      <c r="E29" s="881">
        <v>0.9</v>
      </c>
      <c r="F29" s="884" t="s">
        <v>581</v>
      </c>
      <c r="G29" s="885"/>
      <c r="H29" s="877"/>
      <c r="I29" s="877"/>
    </row>
    <row r="30" spans="1:9" s="886" customFormat="1" ht="19.5" customHeight="1">
      <c r="A30" s="3385"/>
      <c r="B30" s="3385"/>
      <c r="C30" s="882" t="s">
        <v>582</v>
      </c>
      <c r="D30" s="883"/>
      <c r="E30" s="881">
        <v>0.9</v>
      </c>
      <c r="F30" s="884" t="s">
        <v>583</v>
      </c>
      <c r="G30" s="885"/>
      <c r="H30" s="877"/>
      <c r="I30" s="877"/>
    </row>
    <row r="31" spans="1:9" s="886" customFormat="1" ht="19.5" customHeight="1">
      <c r="A31" s="3385"/>
      <c r="B31" s="3385"/>
      <c r="C31" s="882" t="s">
        <v>584</v>
      </c>
      <c r="D31" s="883"/>
      <c r="E31" s="881">
        <v>0.8</v>
      </c>
      <c r="F31" s="884" t="s">
        <v>585</v>
      </c>
      <c r="G31" s="885"/>
      <c r="H31" s="877"/>
      <c r="I31" s="877"/>
    </row>
    <row r="32" spans="1:9" s="886" customFormat="1" ht="19.5" customHeight="1">
      <c r="A32" s="3385"/>
      <c r="B32" s="3385"/>
      <c r="C32" s="882" t="s">
        <v>586</v>
      </c>
      <c r="D32" s="883"/>
      <c r="E32" s="881">
        <v>0.8</v>
      </c>
      <c r="F32" s="884" t="s">
        <v>587</v>
      </c>
      <c r="G32" s="885"/>
      <c r="H32" s="877"/>
      <c r="I32" s="877"/>
    </row>
    <row r="33" spans="1:9" s="886" customFormat="1" ht="19.5" customHeight="1">
      <c r="A33" s="3385" t="s">
        <v>185</v>
      </c>
      <c r="B33" s="881" t="s">
        <v>560</v>
      </c>
      <c r="C33" s="882" t="s">
        <v>588</v>
      </c>
      <c r="D33" s="883"/>
      <c r="E33" s="881">
        <v>1</v>
      </c>
      <c r="F33" s="884" t="s">
        <v>589</v>
      </c>
      <c r="G33" s="885"/>
      <c r="H33" s="877"/>
      <c r="I33" s="877"/>
    </row>
    <row r="34" spans="1:9" s="886" customFormat="1" ht="19.5" customHeight="1">
      <c r="A34" s="3385"/>
      <c r="B34" s="881" t="s">
        <v>563</v>
      </c>
      <c r="C34" s="882" t="s">
        <v>590</v>
      </c>
      <c r="D34" s="883"/>
      <c r="E34" s="881">
        <v>1.5</v>
      </c>
      <c r="F34" s="884" t="s">
        <v>591</v>
      </c>
      <c r="G34" s="885"/>
      <c r="H34" s="877"/>
      <c r="I34" s="877"/>
    </row>
    <row r="35" spans="1:9" s="886" customFormat="1" ht="19.5" customHeight="1">
      <c r="A35" s="3385" t="s">
        <v>186</v>
      </c>
      <c r="B35" s="881" t="s">
        <v>560</v>
      </c>
      <c r="C35" s="882" t="s">
        <v>592</v>
      </c>
      <c r="D35" s="883"/>
      <c r="E35" s="881">
        <v>1</v>
      </c>
      <c r="F35" s="884" t="s">
        <v>593</v>
      </c>
      <c r="G35" s="885"/>
      <c r="H35" s="877"/>
      <c r="I35" s="877"/>
    </row>
    <row r="36" spans="1:9" s="886" customFormat="1" ht="19.5" customHeight="1">
      <c r="A36" s="3385"/>
      <c r="B36" s="3385" t="s">
        <v>563</v>
      </c>
      <c r="C36" s="882" t="s">
        <v>594</v>
      </c>
      <c r="D36" s="883"/>
      <c r="E36" s="881">
        <v>1</v>
      </c>
      <c r="F36" s="884" t="s">
        <v>595</v>
      </c>
      <c r="G36" s="885"/>
      <c r="H36" s="877"/>
      <c r="I36" s="877"/>
    </row>
    <row r="37" spans="1:9" s="886" customFormat="1" ht="19.5" customHeight="1">
      <c r="A37" s="3385"/>
      <c r="B37" s="3385"/>
      <c r="C37" s="882" t="s">
        <v>596</v>
      </c>
      <c r="D37" s="883"/>
      <c r="E37" s="881">
        <v>1.5</v>
      </c>
      <c r="F37" s="884" t="s">
        <v>597</v>
      </c>
      <c r="G37" s="885"/>
      <c r="H37" s="877"/>
      <c r="I37" s="877"/>
    </row>
    <row r="38" spans="1:9" s="886" customFormat="1" ht="19.5" customHeight="1">
      <c r="A38" s="3385"/>
      <c r="B38" s="3385"/>
      <c r="C38" s="882" t="s">
        <v>598</v>
      </c>
      <c r="D38" s="883"/>
      <c r="E38" s="881">
        <v>1</v>
      </c>
      <c r="F38" s="884" t="s">
        <v>599</v>
      </c>
      <c r="G38" s="885"/>
      <c r="H38" s="877"/>
      <c r="I38" s="877"/>
    </row>
    <row r="39" spans="1:9" s="886" customFormat="1" ht="19.5" customHeight="1">
      <c r="A39" s="3385"/>
      <c r="B39" s="33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85" t="s">
        <v>614</v>
      </c>
      <c r="C61" s="817" t="s">
        <v>615</v>
      </c>
      <c r="D61" s="817" t="s">
        <v>616</v>
      </c>
      <c r="E61" s="894">
        <v>0.5</v>
      </c>
      <c r="F61" s="881">
        <v>80</v>
      </c>
    </row>
    <row r="62" spans="1:8" s="877" customFormat="1" ht="24">
      <c r="A62" s="881">
        <v>2</v>
      </c>
      <c r="B62" s="3385"/>
      <c r="C62" s="817" t="s">
        <v>617</v>
      </c>
      <c r="D62" s="817" t="s">
        <v>618</v>
      </c>
      <c r="E62" s="894">
        <v>0.5</v>
      </c>
      <c r="F62" s="881">
        <v>80</v>
      </c>
    </row>
    <row r="63" spans="1:8" s="877" customFormat="1" ht="36">
      <c r="A63" s="881">
        <v>3</v>
      </c>
      <c r="B63" s="3385"/>
      <c r="C63" s="817" t="s">
        <v>619</v>
      </c>
      <c r="D63" s="817" t="s">
        <v>620</v>
      </c>
      <c r="E63" s="894">
        <v>0.5</v>
      </c>
      <c r="F63" s="881">
        <v>80</v>
      </c>
    </row>
    <row r="64" spans="1:8" s="877" customFormat="1" ht="36">
      <c r="A64" s="881">
        <v>4</v>
      </c>
      <c r="B64" s="3385"/>
      <c r="C64" s="817" t="s">
        <v>621</v>
      </c>
      <c r="D64" s="817" t="s">
        <v>622</v>
      </c>
      <c r="E64" s="894">
        <v>0.4</v>
      </c>
      <c r="F64" s="881">
        <v>60</v>
      </c>
    </row>
    <row r="65" spans="1:6" s="877" customFormat="1" ht="36">
      <c r="A65" s="881">
        <v>5</v>
      </c>
      <c r="B65" s="3385"/>
      <c r="C65" s="817" t="s">
        <v>623</v>
      </c>
      <c r="D65" s="817" t="s">
        <v>624</v>
      </c>
      <c r="E65" s="894">
        <v>0.2</v>
      </c>
      <c r="F65" s="881">
        <v>30</v>
      </c>
    </row>
    <row r="66" spans="1:6" s="877" customFormat="1" ht="36">
      <c r="A66" s="881">
        <v>6</v>
      </c>
      <c r="B66" s="3385"/>
      <c r="C66" s="817" t="s">
        <v>625</v>
      </c>
      <c r="D66" s="817" t="s">
        <v>626</v>
      </c>
      <c r="E66" s="894">
        <v>0.3</v>
      </c>
      <c r="F66" s="881">
        <v>50</v>
      </c>
    </row>
    <row r="67" spans="1:6" s="877" customFormat="1" ht="36">
      <c r="A67" s="881">
        <v>7</v>
      </c>
      <c r="B67" s="3385"/>
      <c r="C67" s="817" t="s">
        <v>627</v>
      </c>
      <c r="D67" s="817" t="s">
        <v>628</v>
      </c>
      <c r="E67" s="894">
        <v>0.2</v>
      </c>
      <c r="F67" s="881">
        <v>30</v>
      </c>
    </row>
    <row r="68" spans="1:6" s="877" customFormat="1" ht="36">
      <c r="A68" s="881">
        <v>8</v>
      </c>
      <c r="B68" s="3385"/>
      <c r="C68" s="817" t="s">
        <v>629</v>
      </c>
      <c r="D68" s="817" t="s">
        <v>630</v>
      </c>
      <c r="E68" s="894">
        <v>0.2</v>
      </c>
      <c r="F68" s="881">
        <v>30</v>
      </c>
    </row>
    <row r="69" spans="1:6" s="877" customFormat="1" ht="36">
      <c r="A69" s="881">
        <v>9</v>
      </c>
      <c r="B69" s="3385"/>
      <c r="C69" s="817" t="s">
        <v>631</v>
      </c>
      <c r="D69" s="817" t="s">
        <v>632</v>
      </c>
      <c r="E69" s="894">
        <v>0.2</v>
      </c>
      <c r="F69" s="881">
        <v>30</v>
      </c>
    </row>
    <row r="70" spans="1:6" s="877" customFormat="1" ht="48">
      <c r="A70" s="881">
        <v>10</v>
      </c>
      <c r="B70" s="3385"/>
      <c r="C70" s="817" t="s">
        <v>633</v>
      </c>
      <c r="D70" s="817" t="s">
        <v>634</v>
      </c>
      <c r="E70" s="894">
        <v>0.2</v>
      </c>
      <c r="F70" s="881">
        <v>30</v>
      </c>
    </row>
    <row r="71" spans="1:6" s="877" customFormat="1" ht="48">
      <c r="A71" s="881">
        <v>11</v>
      </c>
      <c r="B71" s="3385"/>
      <c r="C71" s="817" t="s">
        <v>635</v>
      </c>
      <c r="D71" s="817" t="s">
        <v>636</v>
      </c>
      <c r="E71" s="894">
        <v>0.2</v>
      </c>
      <c r="F71" s="881">
        <v>30</v>
      </c>
    </row>
    <row r="72" spans="1:6" s="877" customFormat="1" ht="36">
      <c r="A72" s="881">
        <v>12</v>
      </c>
      <c r="B72" s="3385"/>
      <c r="C72" s="817" t="s">
        <v>637</v>
      </c>
      <c r="D72" s="817" t="s">
        <v>638</v>
      </c>
      <c r="E72" s="894">
        <v>0.5</v>
      </c>
      <c r="F72" s="881">
        <v>80</v>
      </c>
    </row>
    <row r="73" spans="1:6" s="877" customFormat="1" ht="24">
      <c r="A73" s="881">
        <v>13</v>
      </c>
      <c r="B73" s="3385"/>
      <c r="C73" s="817" t="s">
        <v>639</v>
      </c>
      <c r="D73" s="817" t="s">
        <v>640</v>
      </c>
      <c r="E73" s="894">
        <v>0.4</v>
      </c>
      <c r="F73" s="881">
        <v>60</v>
      </c>
    </row>
    <row r="74" spans="1:6" s="877" customFormat="1" ht="24">
      <c r="A74" s="881">
        <v>14</v>
      </c>
      <c r="B74" s="3385"/>
      <c r="C74" s="817" t="s">
        <v>641</v>
      </c>
      <c r="D74" s="817" t="s">
        <v>642</v>
      </c>
      <c r="E74" s="894">
        <v>0.2</v>
      </c>
      <c r="F74" s="881">
        <v>30</v>
      </c>
    </row>
    <row r="75" spans="1:6" s="877" customFormat="1" ht="24">
      <c r="A75" s="881">
        <v>15</v>
      </c>
      <c r="B75" s="3385"/>
      <c r="C75" s="817" t="s">
        <v>643</v>
      </c>
      <c r="D75" s="817" t="s">
        <v>644</v>
      </c>
      <c r="E75" s="894">
        <v>0.2</v>
      </c>
      <c r="F75" s="881">
        <v>30</v>
      </c>
    </row>
    <row r="76" spans="1:6" s="877" customFormat="1" ht="24">
      <c r="A76" s="881">
        <v>16</v>
      </c>
      <c r="B76" s="3385" t="s">
        <v>645</v>
      </c>
      <c r="C76" s="817" t="s">
        <v>646</v>
      </c>
      <c r="D76" s="817" t="s">
        <v>647</v>
      </c>
      <c r="E76" s="894">
        <v>0.5</v>
      </c>
      <c r="F76" s="881">
        <v>80</v>
      </c>
    </row>
    <row r="77" spans="1:6" s="877" customFormat="1" ht="24">
      <c r="A77" s="881">
        <v>17</v>
      </c>
      <c r="B77" s="3385"/>
      <c r="C77" s="817" t="s">
        <v>648</v>
      </c>
      <c r="D77" s="817" t="s">
        <v>649</v>
      </c>
      <c r="E77" s="894">
        <v>0.5</v>
      </c>
      <c r="F77" s="881">
        <v>80</v>
      </c>
    </row>
    <row r="78" spans="1:6" s="877" customFormat="1" ht="24">
      <c r="A78" s="881">
        <v>18</v>
      </c>
      <c r="B78" s="3385"/>
      <c r="C78" s="817" t="s">
        <v>650</v>
      </c>
      <c r="D78" s="817" t="s">
        <v>651</v>
      </c>
      <c r="E78" s="894">
        <v>0.2</v>
      </c>
      <c r="F78" s="881">
        <v>30</v>
      </c>
    </row>
    <row r="79" spans="1:6" s="877" customFormat="1" ht="24">
      <c r="A79" s="881">
        <v>19</v>
      </c>
      <c r="B79" s="3385"/>
      <c r="C79" s="817" t="s">
        <v>652</v>
      </c>
      <c r="D79" s="817" t="s">
        <v>653</v>
      </c>
      <c r="E79" s="894">
        <v>0.5</v>
      </c>
      <c r="F79" s="881">
        <v>80</v>
      </c>
    </row>
    <row r="80" spans="1:6" s="877" customFormat="1" ht="36">
      <c r="A80" s="881">
        <v>20</v>
      </c>
      <c r="B80" s="3385"/>
      <c r="C80" s="817" t="s">
        <v>654</v>
      </c>
      <c r="D80" s="817" t="s">
        <v>655</v>
      </c>
      <c r="E80" s="894">
        <v>0.2</v>
      </c>
      <c r="F80" s="881">
        <v>30</v>
      </c>
    </row>
    <row r="81" spans="1:6" s="877" customFormat="1" ht="36">
      <c r="A81" s="881">
        <v>21</v>
      </c>
      <c r="B81" s="3385"/>
      <c r="C81" s="817" t="s">
        <v>656</v>
      </c>
      <c r="D81" s="817" t="s">
        <v>657</v>
      </c>
      <c r="E81" s="894">
        <v>0.2</v>
      </c>
      <c r="F81" s="881">
        <v>30</v>
      </c>
    </row>
    <row r="82" spans="1:6" s="877" customFormat="1" ht="48">
      <c r="A82" s="881">
        <v>22</v>
      </c>
      <c r="B82" s="3385"/>
      <c r="C82" s="817" t="s">
        <v>658</v>
      </c>
      <c r="D82" s="817" t="s">
        <v>659</v>
      </c>
      <c r="E82" s="894">
        <v>0.2</v>
      </c>
      <c r="F82" s="881">
        <v>30</v>
      </c>
    </row>
    <row r="83" spans="1:6" s="877" customFormat="1" ht="48">
      <c r="A83" s="881">
        <v>23</v>
      </c>
      <c r="B83" s="3385"/>
      <c r="C83" s="817" t="s">
        <v>660</v>
      </c>
      <c r="D83" s="817" t="s">
        <v>661</v>
      </c>
      <c r="E83" s="894">
        <v>0.2</v>
      </c>
      <c r="F83" s="881">
        <v>30</v>
      </c>
    </row>
    <row r="84" spans="1:6" s="877" customFormat="1" ht="36">
      <c r="A84" s="881">
        <v>24</v>
      </c>
      <c r="B84" s="3385"/>
      <c r="C84" s="817" t="s">
        <v>662</v>
      </c>
      <c r="D84" s="817" t="s">
        <v>663</v>
      </c>
      <c r="E84" s="894">
        <v>0.2</v>
      </c>
      <c r="F84" s="881">
        <v>30</v>
      </c>
    </row>
    <row r="85" spans="1:6" s="877" customFormat="1" ht="36">
      <c r="A85" s="881">
        <v>25</v>
      </c>
      <c r="B85" s="3385"/>
      <c r="C85" s="817" t="s">
        <v>664</v>
      </c>
      <c r="D85" s="817" t="s">
        <v>665</v>
      </c>
      <c r="E85" s="894">
        <v>0.5</v>
      </c>
      <c r="F85" s="881">
        <v>80</v>
      </c>
    </row>
    <row r="86" spans="1:6" s="877" customFormat="1" ht="36">
      <c r="A86" s="881">
        <v>26</v>
      </c>
      <c r="B86" s="3385"/>
      <c r="C86" s="817" t="s">
        <v>666</v>
      </c>
      <c r="D86" s="817" t="s">
        <v>667</v>
      </c>
      <c r="E86" s="894">
        <v>0.2</v>
      </c>
      <c r="F86" s="881">
        <v>30</v>
      </c>
    </row>
    <row r="87" spans="1:6" s="877" customFormat="1" ht="36">
      <c r="A87" s="881">
        <v>27</v>
      </c>
      <c r="B87" s="3385"/>
      <c r="C87" s="817" t="s">
        <v>668</v>
      </c>
      <c r="D87" s="817" t="s">
        <v>669</v>
      </c>
      <c r="E87" s="894">
        <v>0.2</v>
      </c>
      <c r="F87" s="881">
        <v>30</v>
      </c>
    </row>
    <row r="88" spans="1:6" s="877" customFormat="1" ht="36">
      <c r="A88" s="881">
        <v>28</v>
      </c>
      <c r="B88" s="3385"/>
      <c r="C88" s="817" t="s">
        <v>670</v>
      </c>
      <c r="D88" s="817" t="s">
        <v>671</v>
      </c>
      <c r="E88" s="894">
        <v>0.2</v>
      </c>
      <c r="F88" s="881">
        <v>30</v>
      </c>
    </row>
    <row r="89" spans="1:6" s="877" customFormat="1" ht="24">
      <c r="A89" s="881">
        <v>29</v>
      </c>
      <c r="B89" s="3385"/>
      <c r="C89" s="817" t="s">
        <v>672</v>
      </c>
      <c r="D89" s="817" t="s">
        <v>673</v>
      </c>
      <c r="E89" s="894">
        <v>0.2</v>
      </c>
      <c r="F89" s="881">
        <v>30</v>
      </c>
    </row>
    <row r="90" spans="1:6" s="877" customFormat="1" ht="24">
      <c r="A90" s="881">
        <v>30</v>
      </c>
      <c r="B90" s="3385"/>
      <c r="C90" s="817" t="s">
        <v>674</v>
      </c>
      <c r="D90" s="817" t="s">
        <v>675</v>
      </c>
      <c r="E90" s="894">
        <v>0.2</v>
      </c>
      <c r="F90" s="881">
        <v>30</v>
      </c>
    </row>
    <row r="91" spans="1:6" s="877" customFormat="1" ht="36">
      <c r="A91" s="881">
        <v>31</v>
      </c>
      <c r="B91" s="3385"/>
      <c r="C91" s="817" t="s">
        <v>676</v>
      </c>
      <c r="D91" s="817" t="s">
        <v>677</v>
      </c>
      <c r="E91" s="894">
        <v>0.2</v>
      </c>
      <c r="F91" s="881">
        <v>30</v>
      </c>
    </row>
    <row r="92" spans="1:6" s="877" customFormat="1" ht="24">
      <c r="A92" s="881">
        <v>32</v>
      </c>
      <c r="B92" s="3385" t="s">
        <v>678</v>
      </c>
      <c r="C92" s="881" t="s">
        <v>679</v>
      </c>
      <c r="D92" s="817" t="s">
        <v>680</v>
      </c>
      <c r="E92" s="894">
        <v>0.2</v>
      </c>
      <c r="F92" s="881">
        <v>30</v>
      </c>
    </row>
    <row r="93" spans="1:6" s="877" customFormat="1" ht="36">
      <c r="A93" s="881">
        <v>33</v>
      </c>
      <c r="B93" s="3385"/>
      <c r="C93" s="881" t="s">
        <v>681</v>
      </c>
      <c r="D93" s="817" t="s">
        <v>682</v>
      </c>
      <c r="E93" s="894">
        <v>0.2</v>
      </c>
      <c r="F93" s="881">
        <v>30</v>
      </c>
    </row>
    <row r="94" spans="1:6" s="877" customFormat="1" ht="48">
      <c r="A94" s="881">
        <v>34</v>
      </c>
      <c r="B94" s="3385"/>
      <c r="C94" s="881" t="s">
        <v>683</v>
      </c>
      <c r="D94" s="817" t="s">
        <v>684</v>
      </c>
      <c r="E94" s="894">
        <v>0.2</v>
      </c>
      <c r="F94" s="881">
        <v>30</v>
      </c>
    </row>
    <row r="95" spans="1:6" s="877" customFormat="1" ht="36">
      <c r="A95" s="881">
        <v>35</v>
      </c>
      <c r="B95" s="3385"/>
      <c r="C95" s="881" t="s">
        <v>685</v>
      </c>
      <c r="D95" s="817" t="s">
        <v>686</v>
      </c>
      <c r="E95" s="894">
        <v>0.2</v>
      </c>
      <c r="F95" s="881">
        <v>30</v>
      </c>
    </row>
    <row r="96" spans="1:6" s="877" customFormat="1" ht="48">
      <c r="A96" s="881">
        <v>36</v>
      </c>
      <c r="B96" s="3385"/>
      <c r="C96" s="817" t="s">
        <v>687</v>
      </c>
      <c r="D96" s="817" t="s">
        <v>688</v>
      </c>
      <c r="E96" s="894">
        <v>0.2</v>
      </c>
      <c r="F96" s="881">
        <v>30</v>
      </c>
    </row>
    <row r="97" spans="1:6" s="877" customFormat="1" ht="36">
      <c r="A97" s="881">
        <v>37</v>
      </c>
      <c r="B97" s="3385"/>
      <c r="C97" s="881" t="s">
        <v>689</v>
      </c>
      <c r="D97" s="817" t="s">
        <v>690</v>
      </c>
      <c r="E97" s="894">
        <v>0.2</v>
      </c>
      <c r="F97" s="881">
        <v>30</v>
      </c>
    </row>
    <row r="98" spans="1:6" s="877" customFormat="1" ht="36">
      <c r="A98" s="881">
        <v>38</v>
      </c>
      <c r="B98" s="3385"/>
      <c r="C98" s="881" t="s">
        <v>691</v>
      </c>
      <c r="D98" s="817" t="s">
        <v>692</v>
      </c>
      <c r="E98" s="894">
        <v>0.2</v>
      </c>
      <c r="F98" s="881">
        <v>30</v>
      </c>
    </row>
    <row r="99" spans="1:6" s="877" customFormat="1" ht="36">
      <c r="A99" s="881">
        <v>39</v>
      </c>
      <c r="B99" s="3385" t="s">
        <v>693</v>
      </c>
      <c r="C99" s="881" t="s">
        <v>694</v>
      </c>
      <c r="D99" s="817" t="s">
        <v>695</v>
      </c>
      <c r="E99" s="894">
        <v>0.3</v>
      </c>
      <c r="F99" s="881">
        <v>50</v>
      </c>
    </row>
    <row r="100" spans="1:6" s="877" customFormat="1" ht="24">
      <c r="A100" s="881">
        <v>40</v>
      </c>
      <c r="B100" s="3385"/>
      <c r="C100" s="881" t="s">
        <v>696</v>
      </c>
      <c r="D100" s="817" t="s">
        <v>697</v>
      </c>
      <c r="E100" s="894">
        <v>0.2</v>
      </c>
      <c r="F100" s="881">
        <v>30</v>
      </c>
    </row>
    <row r="101" spans="1:6" s="877" customFormat="1" ht="36">
      <c r="A101" s="881">
        <v>41</v>
      </c>
      <c r="B101" s="33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85" t="s">
        <v>708</v>
      </c>
      <c r="C105" s="881" t="s">
        <v>709</v>
      </c>
      <c r="D105" s="817" t="s">
        <v>710</v>
      </c>
      <c r="E105" s="894">
        <v>0.2</v>
      </c>
      <c r="F105" s="881">
        <v>30</v>
      </c>
    </row>
    <row r="106" spans="1:6" s="877" customFormat="1" ht="36">
      <c r="A106" s="881">
        <v>46</v>
      </c>
      <c r="B106" s="3385"/>
      <c r="C106" s="881" t="s">
        <v>711</v>
      </c>
      <c r="D106" s="817" t="s">
        <v>712</v>
      </c>
      <c r="E106" s="894">
        <v>0.2</v>
      </c>
      <c r="F106" s="881">
        <v>30</v>
      </c>
    </row>
    <row r="107" spans="1:6" s="877" customFormat="1" ht="36">
      <c r="A107" s="881">
        <v>47</v>
      </c>
      <c r="B107" s="3385" t="s">
        <v>713</v>
      </c>
      <c r="C107" s="881" t="s">
        <v>714</v>
      </c>
      <c r="D107" s="817" t="s">
        <v>715</v>
      </c>
      <c r="E107" s="894">
        <v>0.3</v>
      </c>
      <c r="F107" s="881">
        <v>50</v>
      </c>
    </row>
    <row r="108" spans="1:6" s="877" customFormat="1" ht="36">
      <c r="A108" s="881">
        <v>48</v>
      </c>
      <c r="B108" s="33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85" t="s">
        <v>724</v>
      </c>
      <c r="C111" s="881" t="s">
        <v>725</v>
      </c>
      <c r="D111" s="817" t="s">
        <v>726</v>
      </c>
      <c r="E111" s="894">
        <v>0.2</v>
      </c>
      <c r="F111" s="881">
        <v>30</v>
      </c>
    </row>
    <row r="112" spans="1:6" s="877" customFormat="1" ht="24">
      <c r="A112" s="881">
        <v>52</v>
      </c>
      <c r="B112" s="3385"/>
      <c r="C112" s="881" t="s">
        <v>727</v>
      </c>
      <c r="D112" s="817" t="s">
        <v>728</v>
      </c>
      <c r="E112" s="894">
        <v>0.2</v>
      </c>
      <c r="F112" s="881">
        <v>30</v>
      </c>
    </row>
    <row r="113" spans="1:6" s="877" customFormat="1" ht="24">
      <c r="A113" s="881">
        <v>53</v>
      </c>
      <c r="B113" s="33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85" t="s">
        <v>737</v>
      </c>
      <c r="C116" s="881" t="s">
        <v>738</v>
      </c>
      <c r="D116" s="817" t="s">
        <v>739</v>
      </c>
      <c r="E116" s="894">
        <v>0.2</v>
      </c>
      <c r="F116" s="881">
        <v>30</v>
      </c>
    </row>
    <row r="117" spans="1:6" ht="36">
      <c r="A117" s="881">
        <v>57</v>
      </c>
      <c r="B117" s="33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1.8267</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2986</v>
      </c>
    </row>
    <row r="2" spans="1:5" ht="15.75">
      <c r="A2" s="2906" t="s">
        <v>2978</v>
      </c>
      <c r="B2" s="2907">
        <f ca="1">SUMIF(B6:B13,"&lt;&gt;#ref!",B6:B13)</f>
        <v>1656</v>
      </c>
      <c r="C2" s="2906" t="s">
        <v>2979</v>
      </c>
      <c r="D2" s="2906" t="s">
        <v>2980</v>
      </c>
      <c r="E2" s="2907" t="e">
        <f ca="1">SUM(E6:E13)</f>
        <v>#REF!</v>
      </c>
    </row>
    <row r="3" spans="1:5" ht="15.75">
      <c r="A3" s="2906" t="s">
        <v>2981</v>
      </c>
      <c r="B3" s="2907" t="e">
        <f ca="1">ROUND(B2*10000/E2,0)</f>
        <v>#REF!</v>
      </c>
      <c r="C3" s="2906" t="s">
        <v>2987</v>
      </c>
      <c r="D3" s="2908"/>
      <c r="E3" s="2908"/>
    </row>
    <row r="4" spans="1:5" ht="15.75">
      <c r="A4" s="2909"/>
      <c r="B4" s="2908"/>
      <c r="C4" s="2908"/>
      <c r="D4" s="2908"/>
      <c r="E4" s="2908"/>
    </row>
    <row r="5" spans="1:5" ht="28.5">
      <c r="A5" s="2910" t="s">
        <v>2982</v>
      </c>
      <c r="B5" s="2906" t="s">
        <v>2983</v>
      </c>
      <c r="C5" s="2907"/>
      <c r="D5" s="2908"/>
      <c r="E5" s="2906" t="s">
        <v>2984</v>
      </c>
    </row>
    <row r="6" spans="1:5" ht="15.75">
      <c r="A6" s="2911" t="s">
        <v>2985</v>
      </c>
      <c r="B6" s="2907">
        <f ca="1">SUMIF(INDIRECT("'"&amp;A6&amp;"'"&amp;"!A:A"),"总价",INDIRECT("'"&amp;A6&amp;"'"&amp;"!B:B"))</f>
        <v>1656</v>
      </c>
      <c r="C6" s="2906" t="s">
        <v>2979</v>
      </c>
      <c r="D6" s="2908"/>
      <c r="E6" s="2572">
        <f ca="1">SUMIF(INDIRECT("'"&amp;A6&amp;"'"&amp;"!C:C"),"建筑面积",INDIRECT("'"&amp;A6&amp;"'"&amp;"!D:D"))</f>
        <v>11510.9</v>
      </c>
    </row>
    <row r="7" spans="1:5" ht="15.75">
      <c r="A7" s="2911"/>
      <c r="B7" s="2907" t="e">
        <f ca="1">SUMIF(INDIRECT("'"&amp;A7&amp;"'"&amp;"!A:A"),"总价",INDIRECT("'"&amp;A7&amp;"'"&amp;"!B:B"))</f>
        <v>#REF!</v>
      </c>
      <c r="C7" s="2906" t="s">
        <v>2979</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2979</v>
      </c>
      <c r="D8" s="2908"/>
      <c r="E8" s="2572" t="e">
        <f t="shared" ca="1" si="0"/>
        <v>#REF!</v>
      </c>
    </row>
    <row r="9" spans="1:5" ht="15.75">
      <c r="A9" s="2911"/>
      <c r="B9" s="2907" t="e">
        <f t="shared" ca="1" si="1"/>
        <v>#REF!</v>
      </c>
      <c r="C9" s="2906" t="s">
        <v>2979</v>
      </c>
      <c r="D9" s="2908"/>
      <c r="E9" s="2572" t="e">
        <f t="shared" ca="1" si="0"/>
        <v>#REF!</v>
      </c>
    </row>
    <row r="10" spans="1:5" ht="15.75">
      <c r="A10" s="2911"/>
      <c r="B10" s="2907" t="e">
        <f t="shared" ca="1" si="1"/>
        <v>#REF!</v>
      </c>
      <c r="C10" s="2906" t="s">
        <v>2979</v>
      </c>
      <c r="D10" s="2908"/>
      <c r="E10" s="2572" t="e">
        <f t="shared" ca="1" si="0"/>
        <v>#REF!</v>
      </c>
    </row>
    <row r="11" spans="1:5" ht="15.75">
      <c r="A11" s="2911"/>
      <c r="B11" s="2907" t="e">
        <f t="shared" ca="1" si="1"/>
        <v>#REF!</v>
      </c>
      <c r="C11" s="2906" t="s">
        <v>2979</v>
      </c>
      <c r="D11" s="2908"/>
      <c r="E11" s="2572" t="e">
        <f t="shared" ca="1" si="0"/>
        <v>#REF!</v>
      </c>
    </row>
    <row r="12" spans="1:5" ht="15.75">
      <c r="A12" s="2911"/>
      <c r="B12" s="2907" t="e">
        <f t="shared" ca="1" si="1"/>
        <v>#REF!</v>
      </c>
      <c r="C12" s="2906" t="s">
        <v>2979</v>
      </c>
      <c r="D12" s="2908"/>
      <c r="E12" s="2572" t="e">
        <f t="shared" ca="1" si="0"/>
        <v>#REF!</v>
      </c>
    </row>
    <row r="13" spans="1:5" ht="15.75">
      <c r="A13" s="2911"/>
      <c r="B13" s="2907" t="e">
        <f t="shared" ca="1" si="1"/>
        <v>#REF!</v>
      </c>
      <c r="C13" s="2906" t="s">
        <v>2979</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91" t="s">
        <v>1150</v>
      </c>
      <c r="C1" s="3391"/>
      <c r="D1" s="3391"/>
      <c r="E1" s="3391"/>
      <c r="F1" s="3391"/>
      <c r="G1" s="3387" t="s">
        <v>1151</v>
      </c>
      <c r="H1" s="3387"/>
      <c r="I1" s="3387"/>
      <c r="J1" s="3387"/>
      <c r="K1" s="3387"/>
      <c r="L1" s="3387"/>
      <c r="N1" s="3387" t="s">
        <v>1152</v>
      </c>
      <c r="O1" s="3387"/>
      <c r="P1" s="3387"/>
      <c r="Q1" s="3387"/>
      <c r="R1" s="1447"/>
      <c r="S1" s="3387" t="s">
        <v>1153</v>
      </c>
      <c r="T1" s="3387"/>
      <c r="U1" s="3387"/>
      <c r="V1" s="3387"/>
      <c r="X1" s="3386" t="s">
        <v>1154</v>
      </c>
      <c r="Y1" s="3387"/>
      <c r="Z1" s="3387"/>
      <c r="AA1" s="3387"/>
      <c r="AB1" s="3387"/>
      <c r="AD1" s="3386" t="s">
        <v>1155</v>
      </c>
      <c r="AE1" s="3387"/>
      <c r="AF1" s="3387"/>
      <c r="AG1" s="3387"/>
      <c r="AH1" s="3387"/>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5" customFormat="1" ht="14.25">
      <c r="A3" s="2934" t="s">
        <v>3025</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4" customFormat="1" ht="14.25">
      <c r="B4" s="1455"/>
      <c r="C4" s="1455"/>
      <c r="D4" s="1456"/>
      <c r="E4" s="1456"/>
      <c r="F4" s="1455"/>
      <c r="G4" s="1457"/>
      <c r="H4" s="1458"/>
      <c r="I4" s="2919"/>
      <c r="J4" s="2919"/>
      <c r="K4" s="2919"/>
      <c r="L4" s="2919"/>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3024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2">
        <v>2018</v>
      </c>
      <c r="H5" s="1731">
        <v>1</v>
      </c>
      <c r="I5" s="2920">
        <v>0</v>
      </c>
      <c r="J5" s="2920">
        <v>0</v>
      </c>
      <c r="K5" s="2920">
        <v>0</v>
      </c>
      <c r="L5" s="2920">
        <v>0</v>
      </c>
      <c r="N5" s="1468">
        <f t="shared" ref="N5:N10" si="7">I5/100</f>
        <v>0</v>
      </c>
      <c r="O5" s="1468">
        <f t="shared" ref="O5" si="8">J5/100</f>
        <v>0</v>
      </c>
      <c r="P5" s="1468">
        <f t="shared" ref="P5" si="9">K5/100</f>
        <v>0</v>
      </c>
      <c r="Q5" s="1468">
        <f t="shared" ref="Q5" si="10">L5/100</f>
        <v>0</v>
      </c>
      <c r="R5" s="1733"/>
      <c r="S5" s="1734"/>
      <c r="T5" s="1733"/>
      <c r="U5" s="1733"/>
      <c r="V5" s="1733"/>
      <c r="W5" s="2924" t="s">
        <v>3026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3021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2">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3022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8"/>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7"/>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8"/>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92">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89"/>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89"/>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90"/>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88">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89"/>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89"/>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90"/>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88">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89"/>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89"/>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90"/>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93">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94"/>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94"/>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95"/>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88">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89"/>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89"/>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90"/>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88">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89">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89">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90">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88">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89">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89">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90">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88">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89">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89">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90">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88">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89">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89">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90">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88">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89">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89">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90">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88">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89">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89">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90">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88">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89">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89">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90">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88">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89">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89">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90">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88">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89">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89">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90">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88">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89">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89">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90">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2988</v>
      </c>
      <c r="C1" s="3397" t="s">
        <v>2989</v>
      </c>
      <c r="D1" s="3398"/>
      <c r="E1" s="3398"/>
      <c r="F1" s="3398"/>
      <c r="G1" s="3398"/>
      <c r="H1" s="3398"/>
      <c r="I1" s="3398"/>
      <c r="J1" s="3398"/>
      <c r="K1" s="3398"/>
      <c r="L1" s="3398"/>
      <c r="M1" s="3398"/>
      <c r="N1" s="3398"/>
      <c r="O1" s="3398"/>
      <c r="P1" s="3398"/>
      <c r="Q1" s="3398"/>
      <c r="R1" s="3398"/>
      <c r="S1" s="3399"/>
      <c r="T1" s="1205" t="s">
        <v>2990</v>
      </c>
    </row>
    <row r="2" spans="1:45" s="706" customFormat="1">
      <c r="A2" s="1206"/>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0" t="s">
        <v>2992</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1" t="s">
        <v>2993</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1" t="s">
        <v>2994</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0" t="s">
        <v>2995</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0" t="s">
        <v>2996</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0" t="s">
        <v>2997</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2998</v>
      </c>
      <c r="B17" s="2913" t="s">
        <v>2999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4" t="s">
        <v>3000</v>
      </c>
      <c r="E19" s="1793"/>
      <c r="F19" s="1793"/>
      <c r="G19" s="1793"/>
      <c r="H19" s="1281"/>
      <c r="I19" s="167"/>
      <c r="J19" s="167"/>
      <c r="K19" s="167"/>
      <c r="L19" s="167"/>
      <c r="M19" s="167"/>
      <c r="N19" s="167"/>
      <c r="O19" s="167"/>
      <c r="P19" s="167"/>
      <c r="Q19" s="167"/>
      <c r="R19" s="787"/>
      <c r="S19" s="137"/>
    </row>
    <row r="20" spans="1:45" ht="16.5" thickBot="1">
      <c r="A20" s="714" t="s">
        <v>3001</v>
      </c>
      <c r="B20" s="337" t="e">
        <f ca="1">IF(D20="——",S22,S22-F20)</f>
        <v>#REF!</v>
      </c>
      <c r="C20" s="167"/>
      <c r="D20" s="2915" t="s">
        <v>3002</v>
      </c>
      <c r="E20" s="1794"/>
      <c r="F20" s="1205" t="e">
        <f ca="1">SUMIF(INDIRECT("'"&amp;H20&amp;"'"&amp;"!A:A"),"承租人权益价值",INDIRECT("'"&amp;H20&amp;"'"&amp;"!c:c"))</f>
        <v>#REF!</v>
      </c>
      <c r="G20" s="1205" t="s">
        <v>3003</v>
      </c>
      <c r="H20" s="2916"/>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178" t="s">
        <v>33</v>
      </c>
      <c r="D22" s="3179"/>
      <c r="E22" s="3179"/>
      <c r="F22" s="3179"/>
      <c r="G22" s="3179"/>
      <c r="H22" s="3179"/>
      <c r="I22" s="3179"/>
      <c r="J22" s="3179"/>
      <c r="K22" s="3179"/>
      <c r="L22" s="3179"/>
      <c r="M22" s="3179"/>
      <c r="N22" s="3179"/>
      <c r="O22" s="3179"/>
      <c r="P22" s="3179"/>
      <c r="Q22" s="3396"/>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962"/>
      <c r="B4" s="3081" t="s">
        <v>1629</v>
      </c>
      <c r="C4" s="3081"/>
      <c r="D4" s="3081"/>
      <c r="E4" s="1962"/>
    </row>
    <row r="5" spans="1:5" ht="16.5" thickTop="1">
      <c r="A5" s="1960"/>
      <c r="B5" s="3079" t="s">
        <v>1621</v>
      </c>
      <c r="C5" s="1963" t="s">
        <v>1622</v>
      </c>
      <c r="D5" s="1041">
        <f ca="1">结果表!H101</f>
        <v>3368</v>
      </c>
      <c r="E5" s="1960"/>
    </row>
    <row r="6" spans="1:5" ht="15.75">
      <c r="A6" s="1960"/>
      <c r="B6" s="3079"/>
      <c r="C6" s="1963" t="s">
        <v>1623</v>
      </c>
      <c r="D6" s="1041" t="str">
        <f ca="1">NUMBERSTRING(INT(D5*10000),2)&amp;"元整"</f>
        <v>叁仟叁佰陆拾捌万元整</v>
      </c>
      <c r="E6" s="1960"/>
    </row>
    <row r="7" spans="1:5" ht="15.75">
      <c r="A7" s="1960"/>
      <c r="B7" s="3084"/>
      <c r="C7" s="1964" t="s">
        <v>1624</v>
      </c>
      <c r="D7" s="1042">
        <f ca="1">结果表!H102</f>
        <v>5852</v>
      </c>
      <c r="E7" s="1960"/>
    </row>
    <row r="8" spans="1:5" ht="15.75">
      <c r="A8" s="1960"/>
      <c r="B8" s="3085" t="str">
        <f>结果表!E103</f>
        <v>2.估价师知悉的除抵押担保权以外的法定优先受偿款</v>
      </c>
      <c r="C8" s="1965" t="s">
        <v>1625</v>
      </c>
      <c r="D8" s="1042">
        <f ca="1">结果表!H103</f>
        <v>249</v>
      </c>
      <c r="E8" s="1960"/>
    </row>
    <row r="9" spans="1:5" ht="15.75">
      <c r="A9" s="1960"/>
      <c r="B9" s="3087"/>
      <c r="C9" s="1963" t="s">
        <v>1623</v>
      </c>
      <c r="D9" s="1041" t="str">
        <f ca="1">NUMBERSTRING(INT(D8*10000),2)&amp;"元整"</f>
        <v>贰佰肆拾玖万元整</v>
      </c>
      <c r="E9" s="1960"/>
    </row>
    <row r="10" spans="1:5" ht="15">
      <c r="A10" s="1960"/>
      <c r="B10" s="1966" t="s">
        <v>1628</v>
      </c>
      <c r="C10" s="1967" t="s">
        <v>1626</v>
      </c>
      <c r="D10" s="1043">
        <f>结果表!H104</f>
        <v>0</v>
      </c>
      <c r="E10" s="1960"/>
    </row>
    <row r="11" spans="1:5" ht="15">
      <c r="A11" s="1960"/>
      <c r="B11" s="1966" t="s">
        <v>1630</v>
      </c>
      <c r="C11" s="1967" t="s">
        <v>1631</v>
      </c>
      <c r="D11" s="1043">
        <f>结果表!H105</f>
        <v>0</v>
      </c>
      <c r="E11" s="1960"/>
    </row>
    <row r="12" spans="1:5" ht="15">
      <c r="A12" s="1960"/>
      <c r="B12" s="1966" t="s">
        <v>1632</v>
      </c>
      <c r="C12" s="1967" t="s">
        <v>1631</v>
      </c>
      <c r="D12" s="1043">
        <f ca="1">结果表!H106</f>
        <v>249</v>
      </c>
      <c r="E12" s="1960"/>
    </row>
    <row r="13" spans="1:5" ht="15.75">
      <c r="A13" s="1960"/>
      <c r="B13" s="3078" t="str">
        <f>结果表!E107</f>
        <v>——</v>
      </c>
      <c r="C13" s="1968" t="s">
        <v>1622</v>
      </c>
      <c r="D13" s="1044" t="str">
        <f>结果表!H107</f>
        <v>——</v>
      </c>
      <c r="E13" s="1960"/>
    </row>
    <row r="14" spans="1:5" ht="15.75">
      <c r="A14" s="1960"/>
      <c r="B14" s="3079"/>
      <c r="C14" s="1963" t="s">
        <v>1623</v>
      </c>
      <c r="D14" s="1041" t="e">
        <f>NUMBERSTRING(INT(D13*10000),2)&amp;"元整"</f>
        <v>#VALUE!</v>
      </c>
      <c r="E14" s="1960"/>
    </row>
    <row r="15" spans="1:5" ht="15">
      <c r="A15" s="1960"/>
      <c r="B15" s="3084"/>
      <c r="C15" s="1964" t="s">
        <v>1633</v>
      </c>
      <c r="D15" s="1053" t="e">
        <f>结果表!H108</f>
        <v>#VALUE!</v>
      </c>
      <c r="E15" s="1960"/>
    </row>
    <row r="16" spans="1:5" ht="15">
      <c r="A16" s="1960"/>
      <c r="B16" s="3085" t="str">
        <f>结果表!E109</f>
        <v>3.抵押担保权已注销时的房地产抵押价值</v>
      </c>
      <c r="C16" s="1968" t="s">
        <v>1634</v>
      </c>
      <c r="D16" s="1969">
        <f ca="1">结果表!H109</f>
        <v>3119</v>
      </c>
      <c r="E16" s="1960"/>
    </row>
    <row r="17" spans="1:5" ht="15.75">
      <c r="A17" s="1960"/>
      <c r="B17" s="3086"/>
      <c r="C17" s="1963" t="s">
        <v>1635</v>
      </c>
      <c r="D17" s="1041" t="str">
        <f ca="1">NUMBERSTRING(INT(D16*10000),2)&amp;"元整"</f>
        <v>叁仟壹佰壹拾玖万元整</v>
      </c>
      <c r="E17" s="1960"/>
    </row>
    <row r="18" spans="1:5" ht="15">
      <c r="A18" s="1960"/>
      <c r="B18" s="3087"/>
      <c r="C18" s="1964" t="s">
        <v>1624</v>
      </c>
      <c r="D18" s="1053">
        <f ca="1">结果表!H110</f>
        <v>5419</v>
      </c>
      <c r="E18" s="1960"/>
    </row>
    <row r="19" spans="1:5" ht="15.75">
      <c r="A19" s="1960"/>
      <c r="B19" s="3078" t="str">
        <f>结果表!E111</f>
        <v>——</v>
      </c>
      <c r="C19" s="1968" t="s">
        <v>1622</v>
      </c>
      <c r="D19" s="1042" t="str">
        <f>结果表!H111</f>
        <v>——</v>
      </c>
      <c r="E19" s="1960"/>
    </row>
    <row r="20" spans="1:5" ht="15.75">
      <c r="A20" s="1960"/>
      <c r="B20" s="3079"/>
      <c r="C20" s="1963" t="s">
        <v>1635</v>
      </c>
      <c r="D20" s="1041" t="e">
        <f>NUMBERSTRING(INT(D19*10000),2)&amp;"元整"</f>
        <v>#VALUE!</v>
      </c>
      <c r="E20" s="1960"/>
    </row>
    <row r="21" spans="1:5" ht="15.75" thickBot="1">
      <c r="A21" s="1960"/>
      <c r="B21" s="3080"/>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27113</v>
      </c>
      <c r="C2" s="2" t="s">
        <v>133</v>
      </c>
      <c r="D2" s="242"/>
      <c r="E2" s="242"/>
      <c r="F2" s="242"/>
      <c r="G2" s="242"/>
    </row>
    <row r="3" spans="1:7" s="243" customFormat="1" ht="18" customHeight="1" thickBot="1">
      <c r="A3" s="246" t="s">
        <v>85</v>
      </c>
      <c r="B3" s="247">
        <f ca="1">ROUND(B2*10000/'数据-汇总表'!E3,0)</f>
        <v>47108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115</v>
      </c>
      <c r="D10" s="1034">
        <f>'数据-汇总表'!E6</f>
        <v>5755.45</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115</v>
      </c>
      <c r="D19" s="1038">
        <f>'数据-汇总表'!E3</f>
        <v>5755.45</v>
      </c>
      <c r="E19" s="254">
        <f>'数据-取费表'!B31</f>
        <v>200</v>
      </c>
      <c r="F19" s="274"/>
      <c r="G19" s="1" t="s">
        <v>1074</v>
      </c>
    </row>
    <row r="20" spans="1:7" s="257" customFormat="1" ht="13.5" customHeight="1">
      <c r="A20" s="950" t="s">
        <v>1057</v>
      </c>
      <c r="B20" s="253" t="s">
        <v>104</v>
      </c>
      <c r="C20" s="275">
        <f>ROUND((C5+C19)*F20,0)</f>
        <v>415</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911</v>
      </c>
      <c r="D22" s="278">
        <f ca="1">C26</f>
        <v>4.0000000000000002E-4</v>
      </c>
      <c r="E22" s="279" t="s">
        <v>126</v>
      </c>
      <c r="F22" s="280">
        <f ca="1">'数据-取费表'!B40</f>
        <v>4.3499999999999997E-2</v>
      </c>
      <c r="G22" s="1290" t="str">
        <f>IF('数据-取费表'!B22&lt;=1,"单利计息","复利计息")</f>
        <v>单利计息</v>
      </c>
    </row>
    <row r="23" spans="1:7" s="257" customFormat="1" ht="13.5" customHeight="1">
      <c r="A23" s="953" t="s">
        <v>794</v>
      </c>
      <c r="B23" s="258" t="s">
        <v>1061</v>
      </c>
      <c r="C23" s="1356">
        <f ca="1">ROUND(IF('数据-取费表'!B22&lt;=1,C5*F22*'数据-取费表'!B23,C5*(POWER((1+F22),'数据-取费表'!B23)-1)),0)</f>
        <v>897</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5</v>
      </c>
      <c r="D24" s="281"/>
      <c r="E24" s="281"/>
      <c r="F24" s="282"/>
      <c r="G24" s="283" t="s">
        <v>109</v>
      </c>
    </row>
    <row r="25" spans="1:7" s="257" customFormat="1" ht="24">
      <c r="A25" s="953" t="s">
        <v>793</v>
      </c>
      <c r="B25" s="258" t="s">
        <v>1058</v>
      </c>
      <c r="C25" s="1356">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2114</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2114</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26118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1341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1151</v>
      </c>
      <c r="D34" s="260"/>
      <c r="E34" s="263"/>
      <c r="F34" s="300">
        <f>IF('数据-取费表'!B24=0,1,'数据-取费表'!N16)</f>
        <v>1</v>
      </c>
      <c r="G34" s="262" t="s">
        <v>116</v>
      </c>
    </row>
    <row r="35" spans="1:7" ht="13.5" customHeight="1">
      <c r="A35" s="953" t="s">
        <v>796</v>
      </c>
      <c r="B35" s="258" t="s">
        <v>60</v>
      </c>
      <c r="C35" s="263">
        <f>ROUND(C34*F35,0)</f>
        <v>58</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115</v>
      </c>
      <c r="D37" s="260">
        <f>'数据-汇总表'!E3</f>
        <v>5755.45</v>
      </c>
      <c r="E37" s="292">
        <f>'数据-取费表'!B35</f>
        <v>200</v>
      </c>
      <c r="F37" s="302"/>
      <c r="G37" s="304" t="s">
        <v>119</v>
      </c>
    </row>
    <row r="38" spans="1:7" ht="13.5" customHeight="1">
      <c r="A38" s="953" t="s">
        <v>799</v>
      </c>
      <c r="B38" s="258" t="s">
        <v>63</v>
      </c>
      <c r="C38" s="263">
        <f>ROUND(C34*F38,0)</f>
        <v>17</v>
      </c>
      <c r="D38" s="263"/>
      <c r="E38" s="263"/>
      <c r="F38" s="302">
        <f>'数据-取费表'!B36</f>
        <v>1.4999999999999999E-2</v>
      </c>
      <c r="G38" s="262" t="s">
        <v>117</v>
      </c>
    </row>
    <row r="39" spans="1:7" s="257" customFormat="1" ht="13.5" customHeight="1">
      <c r="A39" s="950" t="s">
        <v>783</v>
      </c>
      <c r="B39" s="253" t="s">
        <v>104</v>
      </c>
      <c r="C39" s="275">
        <f>ROUND(C33*F20,0)</f>
        <v>27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30</v>
      </c>
      <c r="D41" s="278">
        <f ca="1">C44</f>
        <v>4.0000000000000002E-4</v>
      </c>
      <c r="E41" s="279" t="s">
        <v>129</v>
      </c>
      <c r="F41" s="280"/>
      <c r="G41" s="1290" t="str">
        <f>IF('数据-取费表'!B22&lt;=1,"单利计息","复利计息")</f>
        <v>单利计息</v>
      </c>
    </row>
    <row r="42" spans="1:7" ht="13.5" customHeight="1">
      <c r="A42" s="953" t="s">
        <v>794</v>
      </c>
      <c r="B42" s="258" t="s">
        <v>1061</v>
      </c>
      <c r="C42" s="281">
        <f ca="1">ROUND(IF('数据-取费表'!B22&lt;=1,C33*F22*'数据-取费表'!B21/2,C33*(POWER((1+F22),'数据-取费表'!B21/2)-1)),0)</f>
        <v>29</v>
      </c>
      <c r="D42" s="281"/>
      <c r="E42" s="281"/>
      <c r="F42" s="282"/>
      <c r="G42" s="3283" t="s">
        <v>121</v>
      </c>
    </row>
    <row r="43" spans="1:7" ht="13.5" customHeight="1">
      <c r="A43" s="953" t="s">
        <v>792</v>
      </c>
      <c r="B43" s="258" t="s">
        <v>1064</v>
      </c>
      <c r="C43" s="281">
        <f ca="1">ROUND(IF('数据-取费表'!B22&lt;=1,C39*F22*'数据-取费表'!B21/2,C39*(POWER((1+F22),'数据-取费表'!B21/2)-1)),0)</f>
        <v>1</v>
      </c>
      <c r="D43" s="281"/>
      <c r="E43" s="281"/>
      <c r="F43" s="282"/>
      <c r="G43" s="3284"/>
    </row>
    <row r="44" spans="1:7" ht="13.5" customHeight="1">
      <c r="A44" s="953" t="s">
        <v>793</v>
      </c>
      <c r="B44" s="258" t="s">
        <v>1066</v>
      </c>
      <c r="C44" s="281">
        <f ca="1">ROUND(IF('数据-取费表'!B22&lt;=1,C40*F22*'数据-取费表'!B21/2,C40*(POWER((1+F22),'数据-取费表'!B21/2)-1)),4)</f>
        <v>4.0000000000000002E-4</v>
      </c>
      <c r="D44" s="281"/>
      <c r="E44" s="281"/>
      <c r="F44" s="282"/>
      <c r="G44" s="3285"/>
    </row>
    <row r="45" spans="1:7" s="257" customFormat="1" ht="13.5" customHeight="1">
      <c r="A45" s="950" t="s">
        <v>786</v>
      </c>
      <c r="B45" s="287" t="s">
        <v>112</v>
      </c>
      <c r="C45" s="288">
        <f>C46</f>
        <v>137</v>
      </c>
      <c r="D45" s="278">
        <f>C47</f>
        <v>2E-3</v>
      </c>
      <c r="E45" s="279" t="s">
        <v>129</v>
      </c>
      <c r="F45" s="289"/>
      <c r="G45" s="290" t="s">
        <v>1072</v>
      </c>
    </row>
    <row r="46" spans="1:7" s="257" customFormat="1" ht="13.5" customHeight="1">
      <c r="A46" s="953" t="s">
        <v>794</v>
      </c>
      <c r="B46" s="291" t="s">
        <v>1065</v>
      </c>
      <c r="C46" s="292">
        <f>ROUND((C33+C39)*F27,0)</f>
        <v>137</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1659</v>
      </c>
      <c r="D49" s="275"/>
      <c r="E49" s="275"/>
      <c r="F49" s="307"/>
      <c r="G49" s="277" t="s">
        <v>1073</v>
      </c>
    </row>
    <row r="50" spans="1:7" s="301" customFormat="1" ht="24">
      <c r="A50" s="950" t="s">
        <v>789</v>
      </c>
      <c r="B50" s="253" t="s">
        <v>124</v>
      </c>
      <c r="C50" s="275"/>
      <c r="D50" s="275"/>
      <c r="E50" s="275"/>
      <c r="F50" s="307">
        <f>IF('数据-取费表'!B24=0,'数据-取费表'!N16,1)</f>
        <v>0.6</v>
      </c>
      <c r="G50" s="290" t="s">
        <v>125</v>
      </c>
    </row>
    <row r="51" spans="1:7" ht="16.5" customHeight="1">
      <c r="A51" s="950" t="s">
        <v>790</v>
      </c>
      <c r="B51" s="253" t="s">
        <v>132</v>
      </c>
      <c r="C51" s="275">
        <f ca="1">ROUND(C49*F50,0)</f>
        <v>995</v>
      </c>
      <c r="D51" s="275"/>
      <c r="E51" s="275"/>
      <c r="F51" s="307"/>
      <c r="G51" s="277" t="s">
        <v>64</v>
      </c>
    </row>
    <row r="52" spans="1:7" s="251" customFormat="1" ht="16.5" thickBot="1">
      <c r="A52" s="308" t="s">
        <v>65</v>
      </c>
      <c r="B52" s="309"/>
      <c r="C52" s="310">
        <f ca="1">C31+C51</f>
        <v>27113</v>
      </c>
      <c r="D52" s="309"/>
      <c r="E52" s="309"/>
      <c r="F52" s="309"/>
      <c r="G52" s="311"/>
    </row>
    <row r="55" spans="1:7" ht="15">
      <c r="B55" s="313" t="s">
        <v>66</v>
      </c>
      <c r="C55" s="314"/>
    </row>
    <row r="56" spans="1:7">
      <c r="B56" s="316" t="s">
        <v>67</v>
      </c>
      <c r="C56" s="317">
        <f ca="1">ROUND(C51/C52,3)</f>
        <v>3.6999999999999998E-2</v>
      </c>
    </row>
    <row r="57" spans="1:7">
      <c r="B57" s="316" t="s">
        <v>68</v>
      </c>
      <c r="C57" s="318">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00" t="s">
        <v>156</v>
      </c>
      <c r="B1" s="3400"/>
      <c r="C1" s="3400"/>
      <c r="D1" s="3400"/>
      <c r="E1" s="3400"/>
      <c r="F1" s="34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01" t="s">
        <v>169</v>
      </c>
      <c r="B2" s="3401"/>
      <c r="C2" s="3401"/>
      <c r="D2" s="3401"/>
      <c r="E2" s="3401"/>
      <c r="F2" s="34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00" t="s">
        <v>871</v>
      </c>
      <c r="B1" s="340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43138</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J26" sqref="J26"/>
    </sheetView>
  </sheetViews>
  <sheetFormatPr defaultRowHeight="13.5"/>
  <cols>
    <col min="8" max="8" width="12.125" customWidth="1"/>
  </cols>
  <sheetData>
    <row r="2" spans="1:15">
      <c r="A2" s="2939"/>
      <c r="B2" s="3414" t="s">
        <v>3049</v>
      </c>
      <c r="C2" s="3414"/>
      <c r="D2" s="3414"/>
      <c r="E2" s="3414"/>
      <c r="F2" s="3414"/>
      <c r="G2" s="3414"/>
      <c r="H2" s="3414"/>
      <c r="I2" s="3414"/>
      <c r="J2" s="3414"/>
      <c r="K2" s="3414"/>
      <c r="L2" s="3414"/>
      <c r="M2" s="3414"/>
    </row>
    <row r="3" spans="1:15">
      <c r="A3" s="2939"/>
      <c r="B3" s="3414" t="s">
        <v>3050</v>
      </c>
      <c r="C3" s="3415"/>
      <c r="D3" s="2940" t="s">
        <v>3051</v>
      </c>
      <c r="E3" s="2940" t="s">
        <v>3052</v>
      </c>
      <c r="F3" s="2940" t="s">
        <v>3053</v>
      </c>
      <c r="G3" s="2940" t="s">
        <v>37</v>
      </c>
      <c r="H3" s="2940" t="s">
        <v>3054</v>
      </c>
      <c r="I3" s="2940" t="s">
        <v>3055</v>
      </c>
      <c r="J3" s="2940" t="s">
        <v>3056</v>
      </c>
      <c r="K3" s="2940" t="s">
        <v>3057</v>
      </c>
      <c r="L3" s="2940" t="s">
        <v>3048</v>
      </c>
      <c r="M3" s="2940" t="s">
        <v>3058</v>
      </c>
      <c r="N3" s="2940" t="s">
        <v>3048</v>
      </c>
      <c r="O3" s="2940" t="s">
        <v>3058</v>
      </c>
    </row>
    <row r="4" spans="1:15">
      <c r="A4" s="2939"/>
      <c r="B4" s="3412" t="s">
        <v>3059</v>
      </c>
      <c r="C4" s="3412"/>
      <c r="D4" s="2941">
        <v>1</v>
      </c>
      <c r="E4" s="2942" t="s">
        <v>27</v>
      </c>
      <c r="F4" s="2942" t="s">
        <v>27</v>
      </c>
      <c r="G4" s="2941">
        <f>H4+I4</f>
        <v>0</v>
      </c>
      <c r="H4" s="2941">
        <v>0</v>
      </c>
      <c r="I4" s="2941">
        <v>0</v>
      </c>
      <c r="J4" s="2942" t="s">
        <v>3060</v>
      </c>
      <c r="K4" s="3413">
        <v>2005</v>
      </c>
      <c r="L4" s="3056" t="s">
        <v>3272</v>
      </c>
      <c r="M4" s="3404">
        <f>L6</f>
        <v>0.75</v>
      </c>
      <c r="N4" s="3056" t="s">
        <v>3272</v>
      </c>
      <c r="O4" s="3404">
        <f>N6</f>
        <v>0.47</v>
      </c>
    </row>
    <row r="5" spans="1:15">
      <c r="A5" s="2939"/>
      <c r="B5" s="3412"/>
      <c r="C5" s="3412"/>
      <c r="D5" s="2941">
        <v>2</v>
      </c>
      <c r="E5" s="2942" t="s">
        <v>27</v>
      </c>
      <c r="F5" s="2942" t="s">
        <v>3061</v>
      </c>
      <c r="G5" s="2941">
        <f t="shared" ref="G5" si="0">H5+I5</f>
        <v>0</v>
      </c>
      <c r="H5" s="2941">
        <v>0</v>
      </c>
      <c r="I5" s="2941">
        <v>0</v>
      </c>
      <c r="J5" s="2942" t="s">
        <v>3062</v>
      </c>
      <c r="K5" s="3413"/>
      <c r="L5" s="3056" t="s">
        <v>3274</v>
      </c>
      <c r="M5" s="3405"/>
      <c r="N5" s="3056" t="s">
        <v>3273</v>
      </c>
      <c r="O5" s="3405"/>
    </row>
    <row r="6" spans="1:15">
      <c r="A6" s="2939"/>
      <c r="B6" s="3412"/>
      <c r="C6" s="3412"/>
      <c r="D6" s="2941">
        <v>6</v>
      </c>
      <c r="E6" s="2942" t="s">
        <v>27</v>
      </c>
      <c r="F6" s="2942" t="s">
        <v>27</v>
      </c>
      <c r="G6" s="2941">
        <f>'数据-基础表'!I16</f>
        <v>313.04000000000002</v>
      </c>
      <c r="H6" s="2941">
        <v>0</v>
      </c>
      <c r="I6" s="2941">
        <v>0</v>
      </c>
      <c r="J6" s="2942" t="s">
        <v>3285</v>
      </c>
      <c r="K6" s="3413"/>
      <c r="L6" s="2943">
        <f>ROUND(1-(2018-$K$4)*(1-$G$22)/$F$22,2)</f>
        <v>0.75</v>
      </c>
      <c r="M6" s="3406"/>
      <c r="N6" s="2943">
        <f>ROUND(1-(2032-$K$4)*(1-$G$22)/$F$22,2)</f>
        <v>0.47</v>
      </c>
      <c r="O6" s="3406"/>
    </row>
    <row r="7" spans="1:15">
      <c r="A7" s="2939"/>
      <c r="B7" s="3414" t="s">
        <v>40</v>
      </c>
      <c r="C7" s="3414"/>
      <c r="D7" s="2940" t="s">
        <v>70</v>
      </c>
      <c r="E7" s="2940" t="s">
        <v>70</v>
      </c>
      <c r="F7" s="2940" t="s">
        <v>70</v>
      </c>
      <c r="G7" s="2944">
        <f>G4+G5+G6</f>
        <v>313.04000000000002</v>
      </c>
      <c r="H7" s="2945">
        <f t="shared" ref="H7:I7" si="1">H4+H5+H6</f>
        <v>0</v>
      </c>
      <c r="I7" s="2944">
        <f t="shared" si="1"/>
        <v>0</v>
      </c>
      <c r="J7" s="2940" t="s">
        <v>70</v>
      </c>
      <c r="K7" s="2946" t="s">
        <v>70</v>
      </c>
      <c r="L7" s="2947" t="s">
        <v>70</v>
      </c>
      <c r="M7" s="2940" t="s">
        <v>70</v>
      </c>
      <c r="N7" s="2947" t="s">
        <v>70</v>
      </c>
      <c r="O7" s="2940" t="s">
        <v>70</v>
      </c>
    </row>
    <row r="8" spans="1:15">
      <c r="A8" s="2939"/>
      <c r="B8" s="3412" t="s">
        <v>3063</v>
      </c>
      <c r="C8" s="3412"/>
      <c r="D8" s="2941">
        <v>4</v>
      </c>
      <c r="E8" s="2942" t="s">
        <v>3064</v>
      </c>
      <c r="F8" s="2942" t="s">
        <v>3065</v>
      </c>
      <c r="G8" s="2941">
        <v>3307.32</v>
      </c>
      <c r="H8" s="2941">
        <v>3307.32</v>
      </c>
      <c r="I8" s="2941">
        <v>0</v>
      </c>
      <c r="J8" s="2942" t="s">
        <v>3060</v>
      </c>
      <c r="K8" s="3413">
        <v>2009</v>
      </c>
      <c r="L8" s="2943">
        <f>ROUND(1-(2018-$K$8)*(1-$G$21)/$F$21,2)</f>
        <v>0.85</v>
      </c>
      <c r="M8" s="3407">
        <f>L8</f>
        <v>0.85</v>
      </c>
      <c r="N8" s="2943">
        <f>ROUND(1-(2032-$K$8)*(1-$G$21)/$F$21,2)</f>
        <v>0.62</v>
      </c>
      <c r="O8" s="3407">
        <f>N8</f>
        <v>0.62</v>
      </c>
    </row>
    <row r="9" spans="1:15">
      <c r="A9" s="2939"/>
      <c r="B9" s="3412"/>
      <c r="C9" s="3412"/>
      <c r="D9" s="2941">
        <v>9</v>
      </c>
      <c r="E9" s="2942" t="s">
        <v>3064</v>
      </c>
      <c r="F9" s="2942" t="s">
        <v>3065</v>
      </c>
      <c r="G9" s="2941">
        <v>4770.8</v>
      </c>
      <c r="H9" s="2941">
        <v>4770.8</v>
      </c>
      <c r="I9" s="2941">
        <v>0</v>
      </c>
      <c r="J9" s="2942" t="s">
        <v>3060</v>
      </c>
      <c r="K9" s="3413"/>
      <c r="L9" s="2943">
        <f>ROUND(1-(2018-$K$8)*(1-$G$21)/$F$21,2)</f>
        <v>0.85</v>
      </c>
      <c r="M9" s="3408"/>
      <c r="N9" s="2943">
        <f>ROUND(1-(2032-$K$8)*(1-$G$21)/$F$21,2)</f>
        <v>0.62</v>
      </c>
      <c r="O9" s="3408"/>
    </row>
    <row r="10" spans="1:15">
      <c r="A10" s="2939"/>
      <c r="B10" s="3414" t="s">
        <v>40</v>
      </c>
      <c r="C10" s="3414"/>
      <c r="D10" s="2940" t="s">
        <v>70</v>
      </c>
      <c r="E10" s="2940" t="s">
        <v>70</v>
      </c>
      <c r="F10" s="2940" t="s">
        <v>70</v>
      </c>
      <c r="G10" s="2944">
        <f t="shared" ref="G10:I10" si="2">G8+G9</f>
        <v>8078.1200000000008</v>
      </c>
      <c r="H10" s="2944">
        <f t="shared" si="2"/>
        <v>8078.1200000000008</v>
      </c>
      <c r="I10" s="2944">
        <f t="shared" si="2"/>
        <v>0</v>
      </c>
      <c r="J10" s="2940" t="s">
        <v>70</v>
      </c>
      <c r="K10" s="2946" t="s">
        <v>70</v>
      </c>
      <c r="L10" s="2947" t="s">
        <v>70</v>
      </c>
      <c r="M10" s="2940" t="s">
        <v>70</v>
      </c>
      <c r="N10" s="2947" t="s">
        <v>70</v>
      </c>
      <c r="O10" s="2940" t="s">
        <v>70</v>
      </c>
    </row>
    <row r="11" spans="1:15">
      <c r="A11" s="2939"/>
      <c r="B11" s="3412" t="s">
        <v>3066</v>
      </c>
      <c r="C11" s="3412"/>
      <c r="D11" s="2941">
        <v>10</v>
      </c>
      <c r="E11" s="2942" t="s">
        <v>3067</v>
      </c>
      <c r="F11" s="2942" t="s">
        <v>3068</v>
      </c>
      <c r="G11" s="2941">
        <f t="shared" ref="G11:G15" si="3">H11+I11</f>
        <v>5409.18</v>
      </c>
      <c r="H11" s="2941">
        <v>5409.18</v>
      </c>
      <c r="I11" s="2941">
        <v>0</v>
      </c>
      <c r="J11" s="2942" t="s">
        <v>3060</v>
      </c>
      <c r="K11" s="3413">
        <v>2012</v>
      </c>
      <c r="L11" s="2943">
        <f>ROUND(1-(2018-$K$11)*(1-$G$21)/$F$21,2)</f>
        <v>0.9</v>
      </c>
      <c r="M11" s="3407">
        <f>L11</f>
        <v>0.9</v>
      </c>
      <c r="N11" s="2943">
        <f>ROUND(1-(2032-$K$11)*(1-$G$21)/$F$21,2)</f>
        <v>0.67</v>
      </c>
      <c r="O11" s="3407">
        <f>N11</f>
        <v>0.67</v>
      </c>
    </row>
    <row r="12" spans="1:15">
      <c r="A12" s="2939"/>
      <c r="B12" s="3412"/>
      <c r="C12" s="3412"/>
      <c r="D12" s="2941">
        <v>11</v>
      </c>
      <c r="E12" s="2942" t="s">
        <v>3067</v>
      </c>
      <c r="F12" s="2942" t="s">
        <v>3069</v>
      </c>
      <c r="G12" s="2941">
        <f t="shared" si="3"/>
        <v>9607.86</v>
      </c>
      <c r="H12" s="2941">
        <v>9607.86</v>
      </c>
      <c r="I12" s="2941">
        <v>0</v>
      </c>
      <c r="J12" s="2942" t="s">
        <v>3060</v>
      </c>
      <c r="K12" s="3413"/>
      <c r="L12" s="2943">
        <f>ROUND(1-(2018-$K$11)*(1-$G$21)/$F$21,2)</f>
        <v>0.9</v>
      </c>
      <c r="M12" s="3409"/>
      <c r="N12" s="2943">
        <f>ROUND(1-(2032-$K$11)*(1-$G$21)/$F$21,2)</f>
        <v>0.67</v>
      </c>
      <c r="O12" s="3409"/>
    </row>
    <row r="13" spans="1:15">
      <c r="A13" s="2939"/>
      <c r="B13" s="3412"/>
      <c r="C13" s="3412"/>
      <c r="D13" s="2941">
        <v>12</v>
      </c>
      <c r="E13" s="2942" t="s">
        <v>3067</v>
      </c>
      <c r="F13" s="2942" t="s">
        <v>3070</v>
      </c>
      <c r="G13" s="2941">
        <f t="shared" si="3"/>
        <v>9963.0300000000007</v>
      </c>
      <c r="H13" s="2941">
        <v>9963.0300000000007</v>
      </c>
      <c r="I13" s="2941">
        <v>0</v>
      </c>
      <c r="J13" s="2942" t="s">
        <v>3060</v>
      </c>
      <c r="K13" s="3413"/>
      <c r="L13" s="2943">
        <f>ROUND(1-(2018-$K$11)*(1-$G$21)/$F$21,2)</f>
        <v>0.9</v>
      </c>
      <c r="M13" s="3409"/>
      <c r="N13" s="2943">
        <f>ROUND(1-(2032-$K$11)*(1-$G$21)/$F$21,2)</f>
        <v>0.67</v>
      </c>
      <c r="O13" s="3409"/>
    </row>
    <row r="14" spans="1:15">
      <c r="A14" s="2939"/>
      <c r="B14" s="3412"/>
      <c r="C14" s="3412"/>
      <c r="D14" s="2941">
        <v>13</v>
      </c>
      <c r="E14" s="2942" t="s">
        <v>3067</v>
      </c>
      <c r="F14" s="2942" t="s">
        <v>3069</v>
      </c>
      <c r="G14" s="2941">
        <f t="shared" si="3"/>
        <v>6905.82</v>
      </c>
      <c r="H14" s="2941">
        <v>6905.82</v>
      </c>
      <c r="I14" s="2941">
        <v>0</v>
      </c>
      <c r="J14" s="2942" t="s">
        <v>3060</v>
      </c>
      <c r="K14" s="3413"/>
      <c r="L14" s="2943">
        <f>ROUND(1-(2018-$K$11)*(1-$G$21)/$F$21,2)</f>
        <v>0.9</v>
      </c>
      <c r="M14" s="3409"/>
      <c r="N14" s="2943">
        <f>ROUND(1-(2032-$K$11)*(1-$G$21)/$F$21,2)</f>
        <v>0.67</v>
      </c>
      <c r="O14" s="3409"/>
    </row>
    <row r="15" spans="1:15">
      <c r="A15" s="2939"/>
      <c r="B15" s="3412"/>
      <c r="C15" s="3412"/>
      <c r="D15" s="2941">
        <v>14</v>
      </c>
      <c r="E15" s="2942" t="s">
        <v>3067</v>
      </c>
      <c r="F15" s="2942" t="s">
        <v>3071</v>
      </c>
      <c r="G15" s="2941">
        <f t="shared" si="3"/>
        <v>4655.76</v>
      </c>
      <c r="H15" s="2941">
        <v>4655.76</v>
      </c>
      <c r="I15" s="2941">
        <v>0</v>
      </c>
      <c r="J15" s="2942" t="s">
        <v>3060</v>
      </c>
      <c r="K15" s="3413"/>
      <c r="L15" s="2943">
        <f>ROUND(1-(2018-$K$11)*(1-$G$21)/$F$21,2)</f>
        <v>0.9</v>
      </c>
      <c r="M15" s="3408"/>
      <c r="N15" s="2943">
        <f>ROUND(1-(2032-$K$11)*(1-$G$21)/$F$21,2)</f>
        <v>0.67</v>
      </c>
      <c r="O15" s="3408"/>
    </row>
    <row r="16" spans="1:15">
      <c r="A16" s="2939"/>
      <c r="B16" s="3414" t="s">
        <v>40</v>
      </c>
      <c r="C16" s="3414"/>
      <c r="D16" s="2940" t="s">
        <v>70</v>
      </c>
      <c r="E16" s="2940" t="s">
        <v>70</v>
      </c>
      <c r="F16" s="2940" t="s">
        <v>70</v>
      </c>
      <c r="G16" s="2944">
        <f t="shared" ref="G16:I16" si="4">G11+G12+G13+G14+G15</f>
        <v>36541.65</v>
      </c>
      <c r="H16" s="2944">
        <f t="shared" si="4"/>
        <v>36541.65</v>
      </c>
      <c r="I16" s="2944">
        <f t="shared" si="4"/>
        <v>0</v>
      </c>
      <c r="J16" s="2940" t="s">
        <v>70</v>
      </c>
      <c r="K16" s="2940" t="s">
        <v>70</v>
      </c>
      <c r="L16" s="2947" t="s">
        <v>70</v>
      </c>
      <c r="M16" s="2940" t="s">
        <v>70</v>
      </c>
      <c r="N16" s="2947" t="s">
        <v>70</v>
      </c>
      <c r="O16" s="2940" t="s">
        <v>70</v>
      </c>
    </row>
    <row r="17" spans="1:15">
      <c r="A17" s="2939"/>
      <c r="B17" s="3414" t="s">
        <v>3072</v>
      </c>
      <c r="C17" s="3415"/>
      <c r="D17" s="2940" t="s">
        <v>70</v>
      </c>
      <c r="E17" s="2940" t="s">
        <v>70</v>
      </c>
      <c r="F17" s="2940" t="s">
        <v>70</v>
      </c>
      <c r="G17" s="2948">
        <f>G7+G10+G16</f>
        <v>44932.810000000005</v>
      </c>
      <c r="H17" s="2949">
        <f t="shared" ref="H17:I17" si="5">H7+H10+H16</f>
        <v>44619.770000000004</v>
      </c>
      <c r="I17" s="2948">
        <f t="shared" si="5"/>
        <v>0</v>
      </c>
      <c r="J17" s="2940" t="s">
        <v>70</v>
      </c>
      <c r="K17" s="2940" t="s">
        <v>70</v>
      </c>
      <c r="L17" s="2947" t="s">
        <v>70</v>
      </c>
      <c r="M17" s="2940" t="s">
        <v>70</v>
      </c>
      <c r="N17" s="2947" t="s">
        <v>70</v>
      </c>
      <c r="O17" s="2940" t="s">
        <v>70</v>
      </c>
    </row>
    <row r="18" spans="1:15">
      <c r="M18">
        <f>ROUND(G7/G17*M4+G10/G17*M8+G16/G17*M11,2)</f>
        <v>0.89</v>
      </c>
      <c r="O18">
        <f>ROUND(G7/G17*O4+G10/G17*O8+G16/G17*O11,2)</f>
        <v>0.66</v>
      </c>
    </row>
    <row r="19" spans="1:15" ht="14.25">
      <c r="B19" s="3416" t="s">
        <v>3073</v>
      </c>
      <c r="C19" s="3416"/>
      <c r="D19" s="2950" t="s">
        <v>3074</v>
      </c>
      <c r="E19" s="2950" t="s">
        <v>3075</v>
      </c>
      <c r="F19" s="2950" t="s">
        <v>3076</v>
      </c>
      <c r="G19" s="2950" t="s">
        <v>3077</v>
      </c>
    </row>
    <row r="20" spans="1:15" ht="14.25">
      <c r="B20" s="3410" t="s">
        <v>3078</v>
      </c>
      <c r="C20" s="3410"/>
      <c r="D20" s="2951">
        <v>70</v>
      </c>
      <c r="E20" s="2951">
        <v>50</v>
      </c>
      <c r="F20" s="2950">
        <v>80</v>
      </c>
      <c r="G20" s="2952">
        <v>0.02</v>
      </c>
    </row>
    <row r="21" spans="1:15" ht="14.25">
      <c r="B21" s="3410" t="s">
        <v>3079</v>
      </c>
      <c r="C21" s="3410"/>
      <c r="D21" s="2951">
        <v>50</v>
      </c>
      <c r="E21" s="2951">
        <v>35</v>
      </c>
      <c r="F21" s="2950">
        <v>60</v>
      </c>
      <c r="G21" s="2951">
        <v>0</v>
      </c>
    </row>
    <row r="22" spans="1:15" ht="14.25">
      <c r="B22" s="3417" t="s">
        <v>3080</v>
      </c>
      <c r="C22" s="2953" t="s">
        <v>3081</v>
      </c>
      <c r="D22" s="2951">
        <v>40</v>
      </c>
      <c r="E22" s="2951">
        <v>30</v>
      </c>
      <c r="F22" s="2950">
        <v>50</v>
      </c>
      <c r="G22" s="2952">
        <v>0.02</v>
      </c>
    </row>
    <row r="23" spans="1:15" ht="14.25">
      <c r="B23" s="3417"/>
      <c r="C23" s="2953" t="s">
        <v>3082</v>
      </c>
      <c r="D23" s="2951">
        <v>40</v>
      </c>
      <c r="E23" s="2951">
        <v>30</v>
      </c>
      <c r="F23" s="2950">
        <v>50</v>
      </c>
      <c r="G23" s="2952">
        <v>0.02</v>
      </c>
    </row>
    <row r="24" spans="1:15" ht="14.25">
      <c r="B24" s="3410" t="s">
        <v>3083</v>
      </c>
      <c r="C24" s="2951" t="s">
        <v>3081</v>
      </c>
      <c r="D24" s="3410">
        <v>30</v>
      </c>
      <c r="E24" s="3410">
        <v>20</v>
      </c>
      <c r="F24" s="3411">
        <v>40</v>
      </c>
      <c r="G24" s="2952">
        <v>0.06</v>
      </c>
    </row>
    <row r="25" spans="1:15" ht="14.25">
      <c r="B25" s="3410"/>
      <c r="C25" s="2951" t="s">
        <v>3082</v>
      </c>
      <c r="D25" s="3410"/>
      <c r="E25" s="3410"/>
      <c r="F25" s="3411"/>
      <c r="G25" s="2952">
        <v>0.04</v>
      </c>
    </row>
    <row r="26" spans="1:15" ht="14.25">
      <c r="B26" s="3410"/>
      <c r="C26" s="2951" t="s">
        <v>3084</v>
      </c>
      <c r="D26" s="3410"/>
      <c r="E26" s="3410"/>
      <c r="F26" s="3411"/>
      <c r="G26" s="2952">
        <v>0.03</v>
      </c>
    </row>
    <row r="27" spans="1:15" ht="14.25">
      <c r="B27" s="3410" t="s">
        <v>3085</v>
      </c>
      <c r="C27" s="3410"/>
      <c r="D27" s="3410">
        <v>10</v>
      </c>
      <c r="E27" s="3410"/>
      <c r="F27" s="3410"/>
      <c r="G27" s="2951">
        <v>0</v>
      </c>
    </row>
  </sheetData>
  <mergeCells count="28">
    <mergeCell ref="B2:M2"/>
    <mergeCell ref="B3:C3"/>
    <mergeCell ref="B4:C6"/>
    <mergeCell ref="K4:K6"/>
    <mergeCell ref="M4:M6"/>
    <mergeCell ref="B27:C27"/>
    <mergeCell ref="D27:F27"/>
    <mergeCell ref="B16:C16"/>
    <mergeCell ref="B17:C17"/>
    <mergeCell ref="B19:C19"/>
    <mergeCell ref="B20:C20"/>
    <mergeCell ref="B21:C21"/>
    <mergeCell ref="B22:B23"/>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0" activePane="bottomRight" state="frozen"/>
      <selection pane="topRight"/>
      <selection pane="bottomLeft"/>
      <selection pane="bottomRight" activeCell="Q43" sqref="Q43"/>
    </sheetView>
  </sheetViews>
  <sheetFormatPr defaultRowHeight="18.75"/>
  <cols>
    <col min="1" max="1" width="7.375" style="2956" customWidth="1"/>
    <col min="2" max="2" width="20.375" style="2956" customWidth="1"/>
    <col min="3" max="3" width="9.75" style="2956" customWidth="1"/>
    <col min="4" max="4" width="10.625" style="2956" customWidth="1"/>
    <col min="5" max="5" width="9.125" style="2956" customWidth="1"/>
    <col min="6" max="6" width="9.25" style="2956" customWidth="1"/>
    <col min="7" max="7" width="6.625" style="2956" customWidth="1"/>
    <col min="8" max="8" width="5.5" style="2956" bestFit="1" customWidth="1"/>
    <col min="9" max="9" width="16.875" style="2956" customWidth="1"/>
    <col min="10" max="10" width="4.875" style="2956" customWidth="1"/>
    <col min="11" max="11" width="21.625" style="2956" customWidth="1"/>
    <col min="12" max="12" width="21.625" style="2956" hidden="1" customWidth="1"/>
    <col min="13" max="13" width="12" style="2989" customWidth="1"/>
    <col min="14" max="14" width="12.25" style="3041" customWidth="1"/>
    <col min="15" max="15" width="25.25" style="2956" customWidth="1"/>
    <col min="16" max="16" width="9.5" style="2956" bestFit="1" customWidth="1"/>
    <col min="17" max="17" width="20.5" style="2956" bestFit="1" customWidth="1"/>
    <col min="18" max="18" width="16.125" style="2956" bestFit="1" customWidth="1"/>
    <col min="19" max="259" width="9" style="2956"/>
    <col min="260" max="260" width="7.375" style="2956" customWidth="1"/>
    <col min="261" max="261" width="25.625" style="2956" customWidth="1"/>
    <col min="262" max="262" width="9.75" style="2956" customWidth="1"/>
    <col min="263" max="263" width="19.75" style="2956" bestFit="1" customWidth="1"/>
    <col min="264" max="264" width="9.25" style="2956" customWidth="1"/>
    <col min="265" max="265" width="6.625" style="2956" customWidth="1"/>
    <col min="266" max="266" width="5.5" style="2956" bestFit="1" customWidth="1"/>
    <col min="267" max="267" width="16.875" style="2956" customWidth="1"/>
    <col min="268" max="268" width="4.875" style="2956" customWidth="1"/>
    <col min="269" max="269" width="21.625" style="2956" customWidth="1"/>
    <col min="270" max="270" width="19.125" style="2956" bestFit="1" customWidth="1"/>
    <col min="271" max="271" width="25.25" style="2956" customWidth="1"/>
    <col min="272" max="272" width="9.5" style="2956" bestFit="1" customWidth="1"/>
    <col min="273" max="273" width="20.5" style="2956" bestFit="1" customWidth="1"/>
    <col min="274" max="515" width="9" style="2956"/>
    <col min="516" max="516" width="7.375" style="2956" customWidth="1"/>
    <col min="517" max="517" width="25.625" style="2956" customWidth="1"/>
    <col min="518" max="518" width="9.75" style="2956" customWidth="1"/>
    <col min="519" max="519" width="19.75" style="2956" bestFit="1" customWidth="1"/>
    <col min="520" max="520" width="9.25" style="2956" customWidth="1"/>
    <col min="521" max="521" width="6.625" style="2956" customWidth="1"/>
    <col min="522" max="522" width="5.5" style="2956" bestFit="1" customWidth="1"/>
    <col min="523" max="523" width="16.875" style="2956" customWidth="1"/>
    <col min="524" max="524" width="4.875" style="2956" customWidth="1"/>
    <col min="525" max="525" width="21.625" style="2956" customWidth="1"/>
    <col min="526" max="526" width="19.125" style="2956" bestFit="1" customWidth="1"/>
    <col min="527" max="527" width="25.25" style="2956" customWidth="1"/>
    <col min="528" max="528" width="9.5" style="2956" bestFit="1" customWidth="1"/>
    <col min="529" max="529" width="20.5" style="2956" bestFit="1" customWidth="1"/>
    <col min="530" max="771" width="9" style="2956"/>
    <col min="772" max="772" width="7.375" style="2956" customWidth="1"/>
    <col min="773" max="773" width="25.625" style="2956" customWidth="1"/>
    <col min="774" max="774" width="9.75" style="2956" customWidth="1"/>
    <col min="775" max="775" width="19.75" style="2956" bestFit="1" customWidth="1"/>
    <col min="776" max="776" width="9.25" style="2956" customWidth="1"/>
    <col min="777" max="777" width="6.625" style="2956" customWidth="1"/>
    <col min="778" max="778" width="5.5" style="2956" bestFit="1" customWidth="1"/>
    <col min="779" max="779" width="16.875" style="2956" customWidth="1"/>
    <col min="780" max="780" width="4.875" style="2956" customWidth="1"/>
    <col min="781" max="781" width="21.625" style="2956" customWidth="1"/>
    <col min="782" max="782" width="19.125" style="2956" bestFit="1" customWidth="1"/>
    <col min="783" max="783" width="25.25" style="2956" customWidth="1"/>
    <col min="784" max="784" width="9.5" style="2956" bestFit="1" customWidth="1"/>
    <col min="785" max="785" width="20.5" style="2956" bestFit="1" customWidth="1"/>
    <col min="786" max="1027" width="9" style="2956"/>
    <col min="1028" max="1028" width="7.375" style="2956" customWidth="1"/>
    <col min="1029" max="1029" width="25.625" style="2956" customWidth="1"/>
    <col min="1030" max="1030" width="9.75" style="2956" customWidth="1"/>
    <col min="1031" max="1031" width="19.75" style="2956" bestFit="1" customWidth="1"/>
    <col min="1032" max="1032" width="9.25" style="2956" customWidth="1"/>
    <col min="1033" max="1033" width="6.625" style="2956" customWidth="1"/>
    <col min="1034" max="1034" width="5.5" style="2956" bestFit="1" customWidth="1"/>
    <col min="1035" max="1035" width="16.875" style="2956" customWidth="1"/>
    <col min="1036" max="1036" width="4.875" style="2956" customWidth="1"/>
    <col min="1037" max="1037" width="21.625" style="2956" customWidth="1"/>
    <col min="1038" max="1038" width="19.125" style="2956" bestFit="1" customWidth="1"/>
    <col min="1039" max="1039" width="25.25" style="2956" customWidth="1"/>
    <col min="1040" max="1040" width="9.5" style="2956" bestFit="1" customWidth="1"/>
    <col min="1041" max="1041" width="20.5" style="2956" bestFit="1" customWidth="1"/>
    <col min="1042" max="1283" width="9" style="2956"/>
    <col min="1284" max="1284" width="7.375" style="2956" customWidth="1"/>
    <col min="1285" max="1285" width="25.625" style="2956" customWidth="1"/>
    <col min="1286" max="1286" width="9.75" style="2956" customWidth="1"/>
    <col min="1287" max="1287" width="19.75" style="2956" bestFit="1" customWidth="1"/>
    <col min="1288" max="1288" width="9.25" style="2956" customWidth="1"/>
    <col min="1289" max="1289" width="6.625" style="2956" customWidth="1"/>
    <col min="1290" max="1290" width="5.5" style="2956" bestFit="1" customWidth="1"/>
    <col min="1291" max="1291" width="16.875" style="2956" customWidth="1"/>
    <col min="1292" max="1292" width="4.875" style="2956" customWidth="1"/>
    <col min="1293" max="1293" width="21.625" style="2956" customWidth="1"/>
    <col min="1294" max="1294" width="19.125" style="2956" bestFit="1" customWidth="1"/>
    <col min="1295" max="1295" width="25.25" style="2956" customWidth="1"/>
    <col min="1296" max="1296" width="9.5" style="2956" bestFit="1" customWidth="1"/>
    <col min="1297" max="1297" width="20.5" style="2956" bestFit="1" customWidth="1"/>
    <col min="1298" max="1539" width="9" style="2956"/>
    <col min="1540" max="1540" width="7.375" style="2956" customWidth="1"/>
    <col min="1541" max="1541" width="25.625" style="2956" customWidth="1"/>
    <col min="1542" max="1542" width="9.75" style="2956" customWidth="1"/>
    <col min="1543" max="1543" width="19.75" style="2956" bestFit="1" customWidth="1"/>
    <col min="1544" max="1544" width="9.25" style="2956" customWidth="1"/>
    <col min="1545" max="1545" width="6.625" style="2956" customWidth="1"/>
    <col min="1546" max="1546" width="5.5" style="2956" bestFit="1" customWidth="1"/>
    <col min="1547" max="1547" width="16.875" style="2956" customWidth="1"/>
    <col min="1548" max="1548" width="4.875" style="2956" customWidth="1"/>
    <col min="1549" max="1549" width="21.625" style="2956" customWidth="1"/>
    <col min="1550" max="1550" width="19.125" style="2956" bestFit="1" customWidth="1"/>
    <col min="1551" max="1551" width="25.25" style="2956" customWidth="1"/>
    <col min="1552" max="1552" width="9.5" style="2956" bestFit="1" customWidth="1"/>
    <col min="1553" max="1553" width="20.5" style="2956" bestFit="1" customWidth="1"/>
    <col min="1554" max="1795" width="9" style="2956"/>
    <col min="1796" max="1796" width="7.375" style="2956" customWidth="1"/>
    <col min="1797" max="1797" width="25.625" style="2956" customWidth="1"/>
    <col min="1798" max="1798" width="9.75" style="2956" customWidth="1"/>
    <col min="1799" max="1799" width="19.75" style="2956" bestFit="1" customWidth="1"/>
    <col min="1800" max="1800" width="9.25" style="2956" customWidth="1"/>
    <col min="1801" max="1801" width="6.625" style="2956" customWidth="1"/>
    <col min="1802" max="1802" width="5.5" style="2956" bestFit="1" customWidth="1"/>
    <col min="1803" max="1803" width="16.875" style="2956" customWidth="1"/>
    <col min="1804" max="1804" width="4.875" style="2956" customWidth="1"/>
    <col min="1805" max="1805" width="21.625" style="2956" customWidth="1"/>
    <col min="1806" max="1806" width="19.125" style="2956" bestFit="1" customWidth="1"/>
    <col min="1807" max="1807" width="25.25" style="2956" customWidth="1"/>
    <col min="1808" max="1808" width="9.5" style="2956" bestFit="1" customWidth="1"/>
    <col min="1809" max="1809" width="20.5" style="2956" bestFit="1" customWidth="1"/>
    <col min="1810" max="2051" width="9" style="2956"/>
    <col min="2052" max="2052" width="7.375" style="2956" customWidth="1"/>
    <col min="2053" max="2053" width="25.625" style="2956" customWidth="1"/>
    <col min="2054" max="2054" width="9.75" style="2956" customWidth="1"/>
    <col min="2055" max="2055" width="19.75" style="2956" bestFit="1" customWidth="1"/>
    <col min="2056" max="2056" width="9.25" style="2956" customWidth="1"/>
    <col min="2057" max="2057" width="6.625" style="2956" customWidth="1"/>
    <col min="2058" max="2058" width="5.5" style="2956" bestFit="1" customWidth="1"/>
    <col min="2059" max="2059" width="16.875" style="2956" customWidth="1"/>
    <col min="2060" max="2060" width="4.875" style="2956" customWidth="1"/>
    <col min="2061" max="2061" width="21.625" style="2956" customWidth="1"/>
    <col min="2062" max="2062" width="19.125" style="2956" bestFit="1" customWidth="1"/>
    <col min="2063" max="2063" width="25.25" style="2956" customWidth="1"/>
    <col min="2064" max="2064" width="9.5" style="2956" bestFit="1" customWidth="1"/>
    <col min="2065" max="2065" width="20.5" style="2956" bestFit="1" customWidth="1"/>
    <col min="2066" max="2307" width="9" style="2956"/>
    <col min="2308" max="2308" width="7.375" style="2956" customWidth="1"/>
    <col min="2309" max="2309" width="25.625" style="2956" customWidth="1"/>
    <col min="2310" max="2310" width="9.75" style="2956" customWidth="1"/>
    <col min="2311" max="2311" width="19.75" style="2956" bestFit="1" customWidth="1"/>
    <col min="2312" max="2312" width="9.25" style="2956" customWidth="1"/>
    <col min="2313" max="2313" width="6.625" style="2956" customWidth="1"/>
    <col min="2314" max="2314" width="5.5" style="2956" bestFit="1" customWidth="1"/>
    <col min="2315" max="2315" width="16.875" style="2956" customWidth="1"/>
    <col min="2316" max="2316" width="4.875" style="2956" customWidth="1"/>
    <col min="2317" max="2317" width="21.625" style="2956" customWidth="1"/>
    <col min="2318" max="2318" width="19.125" style="2956" bestFit="1" customWidth="1"/>
    <col min="2319" max="2319" width="25.25" style="2956" customWidth="1"/>
    <col min="2320" max="2320" width="9.5" style="2956" bestFit="1" customWidth="1"/>
    <col min="2321" max="2321" width="20.5" style="2956" bestFit="1" customWidth="1"/>
    <col min="2322" max="2563" width="9" style="2956"/>
    <col min="2564" max="2564" width="7.375" style="2956" customWidth="1"/>
    <col min="2565" max="2565" width="25.625" style="2956" customWidth="1"/>
    <col min="2566" max="2566" width="9.75" style="2956" customWidth="1"/>
    <col min="2567" max="2567" width="19.75" style="2956" bestFit="1" customWidth="1"/>
    <col min="2568" max="2568" width="9.25" style="2956" customWidth="1"/>
    <col min="2569" max="2569" width="6.625" style="2956" customWidth="1"/>
    <col min="2570" max="2570" width="5.5" style="2956" bestFit="1" customWidth="1"/>
    <col min="2571" max="2571" width="16.875" style="2956" customWidth="1"/>
    <col min="2572" max="2572" width="4.875" style="2956" customWidth="1"/>
    <col min="2573" max="2573" width="21.625" style="2956" customWidth="1"/>
    <col min="2574" max="2574" width="19.125" style="2956" bestFit="1" customWidth="1"/>
    <col min="2575" max="2575" width="25.25" style="2956" customWidth="1"/>
    <col min="2576" max="2576" width="9.5" style="2956" bestFit="1" customWidth="1"/>
    <col min="2577" max="2577" width="20.5" style="2956" bestFit="1" customWidth="1"/>
    <col min="2578" max="2819" width="9" style="2956"/>
    <col min="2820" max="2820" width="7.375" style="2956" customWidth="1"/>
    <col min="2821" max="2821" width="25.625" style="2956" customWidth="1"/>
    <col min="2822" max="2822" width="9.75" style="2956" customWidth="1"/>
    <col min="2823" max="2823" width="19.75" style="2956" bestFit="1" customWidth="1"/>
    <col min="2824" max="2824" width="9.25" style="2956" customWidth="1"/>
    <col min="2825" max="2825" width="6.625" style="2956" customWidth="1"/>
    <col min="2826" max="2826" width="5.5" style="2956" bestFit="1" customWidth="1"/>
    <col min="2827" max="2827" width="16.875" style="2956" customWidth="1"/>
    <col min="2828" max="2828" width="4.875" style="2956" customWidth="1"/>
    <col min="2829" max="2829" width="21.625" style="2956" customWidth="1"/>
    <col min="2830" max="2830" width="19.125" style="2956" bestFit="1" customWidth="1"/>
    <col min="2831" max="2831" width="25.25" style="2956" customWidth="1"/>
    <col min="2832" max="2832" width="9.5" style="2956" bestFit="1" customWidth="1"/>
    <col min="2833" max="2833" width="20.5" style="2956" bestFit="1" customWidth="1"/>
    <col min="2834" max="3075" width="9" style="2956"/>
    <col min="3076" max="3076" width="7.375" style="2956" customWidth="1"/>
    <col min="3077" max="3077" width="25.625" style="2956" customWidth="1"/>
    <col min="3078" max="3078" width="9.75" style="2956" customWidth="1"/>
    <col min="3079" max="3079" width="19.75" style="2956" bestFit="1" customWidth="1"/>
    <col min="3080" max="3080" width="9.25" style="2956" customWidth="1"/>
    <col min="3081" max="3081" width="6.625" style="2956" customWidth="1"/>
    <col min="3082" max="3082" width="5.5" style="2956" bestFit="1" customWidth="1"/>
    <col min="3083" max="3083" width="16.875" style="2956" customWidth="1"/>
    <col min="3084" max="3084" width="4.875" style="2956" customWidth="1"/>
    <col min="3085" max="3085" width="21.625" style="2956" customWidth="1"/>
    <col min="3086" max="3086" width="19.125" style="2956" bestFit="1" customWidth="1"/>
    <col min="3087" max="3087" width="25.25" style="2956" customWidth="1"/>
    <col min="3088" max="3088" width="9.5" style="2956" bestFit="1" customWidth="1"/>
    <col min="3089" max="3089" width="20.5" style="2956" bestFit="1" customWidth="1"/>
    <col min="3090" max="3331" width="9" style="2956"/>
    <col min="3332" max="3332" width="7.375" style="2956" customWidth="1"/>
    <col min="3333" max="3333" width="25.625" style="2956" customWidth="1"/>
    <col min="3334" max="3334" width="9.75" style="2956" customWidth="1"/>
    <col min="3335" max="3335" width="19.75" style="2956" bestFit="1" customWidth="1"/>
    <col min="3336" max="3336" width="9.25" style="2956" customWidth="1"/>
    <col min="3337" max="3337" width="6.625" style="2956" customWidth="1"/>
    <col min="3338" max="3338" width="5.5" style="2956" bestFit="1" customWidth="1"/>
    <col min="3339" max="3339" width="16.875" style="2956" customWidth="1"/>
    <col min="3340" max="3340" width="4.875" style="2956" customWidth="1"/>
    <col min="3341" max="3341" width="21.625" style="2956" customWidth="1"/>
    <col min="3342" max="3342" width="19.125" style="2956" bestFit="1" customWidth="1"/>
    <col min="3343" max="3343" width="25.25" style="2956" customWidth="1"/>
    <col min="3344" max="3344" width="9.5" style="2956" bestFit="1" customWidth="1"/>
    <col min="3345" max="3345" width="20.5" style="2956" bestFit="1" customWidth="1"/>
    <col min="3346" max="3587" width="9" style="2956"/>
    <col min="3588" max="3588" width="7.375" style="2956" customWidth="1"/>
    <col min="3589" max="3589" width="25.625" style="2956" customWidth="1"/>
    <col min="3590" max="3590" width="9.75" style="2956" customWidth="1"/>
    <col min="3591" max="3591" width="19.75" style="2956" bestFit="1" customWidth="1"/>
    <col min="3592" max="3592" width="9.25" style="2956" customWidth="1"/>
    <col min="3593" max="3593" width="6.625" style="2956" customWidth="1"/>
    <col min="3594" max="3594" width="5.5" style="2956" bestFit="1" customWidth="1"/>
    <col min="3595" max="3595" width="16.875" style="2956" customWidth="1"/>
    <col min="3596" max="3596" width="4.875" style="2956" customWidth="1"/>
    <col min="3597" max="3597" width="21.625" style="2956" customWidth="1"/>
    <col min="3598" max="3598" width="19.125" style="2956" bestFit="1" customWidth="1"/>
    <col min="3599" max="3599" width="25.25" style="2956" customWidth="1"/>
    <col min="3600" max="3600" width="9.5" style="2956" bestFit="1" customWidth="1"/>
    <col min="3601" max="3601" width="20.5" style="2956" bestFit="1" customWidth="1"/>
    <col min="3602" max="3843" width="9" style="2956"/>
    <col min="3844" max="3844" width="7.375" style="2956" customWidth="1"/>
    <col min="3845" max="3845" width="25.625" style="2956" customWidth="1"/>
    <col min="3846" max="3846" width="9.75" style="2956" customWidth="1"/>
    <col min="3847" max="3847" width="19.75" style="2956" bestFit="1" customWidth="1"/>
    <col min="3848" max="3848" width="9.25" style="2956" customWidth="1"/>
    <col min="3849" max="3849" width="6.625" style="2956" customWidth="1"/>
    <col min="3850" max="3850" width="5.5" style="2956" bestFit="1" customWidth="1"/>
    <col min="3851" max="3851" width="16.875" style="2956" customWidth="1"/>
    <col min="3852" max="3852" width="4.875" style="2956" customWidth="1"/>
    <col min="3853" max="3853" width="21.625" style="2956" customWidth="1"/>
    <col min="3854" max="3854" width="19.125" style="2956" bestFit="1" customWidth="1"/>
    <col min="3855" max="3855" width="25.25" style="2956" customWidth="1"/>
    <col min="3856" max="3856" width="9.5" style="2956" bestFit="1" customWidth="1"/>
    <col min="3857" max="3857" width="20.5" style="2956" bestFit="1" customWidth="1"/>
    <col min="3858" max="4099" width="9" style="2956"/>
    <col min="4100" max="4100" width="7.375" style="2956" customWidth="1"/>
    <col min="4101" max="4101" width="25.625" style="2956" customWidth="1"/>
    <col min="4102" max="4102" width="9.75" style="2956" customWidth="1"/>
    <col min="4103" max="4103" width="19.75" style="2956" bestFit="1" customWidth="1"/>
    <col min="4104" max="4104" width="9.25" style="2956" customWidth="1"/>
    <col min="4105" max="4105" width="6.625" style="2956" customWidth="1"/>
    <col min="4106" max="4106" width="5.5" style="2956" bestFit="1" customWidth="1"/>
    <col min="4107" max="4107" width="16.875" style="2956" customWidth="1"/>
    <col min="4108" max="4108" width="4.875" style="2956" customWidth="1"/>
    <col min="4109" max="4109" width="21.625" style="2956" customWidth="1"/>
    <col min="4110" max="4110" width="19.125" style="2956" bestFit="1" customWidth="1"/>
    <col min="4111" max="4111" width="25.25" style="2956" customWidth="1"/>
    <col min="4112" max="4112" width="9.5" style="2956" bestFit="1" customWidth="1"/>
    <col min="4113" max="4113" width="20.5" style="2956" bestFit="1" customWidth="1"/>
    <col min="4114" max="4355" width="9" style="2956"/>
    <col min="4356" max="4356" width="7.375" style="2956" customWidth="1"/>
    <col min="4357" max="4357" width="25.625" style="2956" customWidth="1"/>
    <col min="4358" max="4358" width="9.75" style="2956" customWidth="1"/>
    <col min="4359" max="4359" width="19.75" style="2956" bestFit="1" customWidth="1"/>
    <col min="4360" max="4360" width="9.25" style="2956" customWidth="1"/>
    <col min="4361" max="4361" width="6.625" style="2956" customWidth="1"/>
    <col min="4362" max="4362" width="5.5" style="2956" bestFit="1" customWidth="1"/>
    <col min="4363" max="4363" width="16.875" style="2956" customWidth="1"/>
    <col min="4364" max="4364" width="4.875" style="2956" customWidth="1"/>
    <col min="4365" max="4365" width="21.625" style="2956" customWidth="1"/>
    <col min="4366" max="4366" width="19.125" style="2956" bestFit="1" customWidth="1"/>
    <col min="4367" max="4367" width="25.25" style="2956" customWidth="1"/>
    <col min="4368" max="4368" width="9.5" style="2956" bestFit="1" customWidth="1"/>
    <col min="4369" max="4369" width="20.5" style="2956" bestFit="1" customWidth="1"/>
    <col min="4370" max="4611" width="9" style="2956"/>
    <col min="4612" max="4612" width="7.375" style="2956" customWidth="1"/>
    <col min="4613" max="4613" width="25.625" style="2956" customWidth="1"/>
    <col min="4614" max="4614" width="9.75" style="2956" customWidth="1"/>
    <col min="4615" max="4615" width="19.75" style="2956" bestFit="1" customWidth="1"/>
    <col min="4616" max="4616" width="9.25" style="2956" customWidth="1"/>
    <col min="4617" max="4617" width="6.625" style="2956" customWidth="1"/>
    <col min="4618" max="4618" width="5.5" style="2956" bestFit="1" customWidth="1"/>
    <col min="4619" max="4619" width="16.875" style="2956" customWidth="1"/>
    <col min="4620" max="4620" width="4.875" style="2956" customWidth="1"/>
    <col min="4621" max="4621" width="21.625" style="2956" customWidth="1"/>
    <col min="4622" max="4622" width="19.125" style="2956" bestFit="1" customWidth="1"/>
    <col min="4623" max="4623" width="25.25" style="2956" customWidth="1"/>
    <col min="4624" max="4624" width="9.5" style="2956" bestFit="1" customWidth="1"/>
    <col min="4625" max="4625" width="20.5" style="2956" bestFit="1" customWidth="1"/>
    <col min="4626" max="4867" width="9" style="2956"/>
    <col min="4868" max="4868" width="7.375" style="2956" customWidth="1"/>
    <col min="4869" max="4869" width="25.625" style="2956" customWidth="1"/>
    <col min="4870" max="4870" width="9.75" style="2956" customWidth="1"/>
    <col min="4871" max="4871" width="19.75" style="2956" bestFit="1" customWidth="1"/>
    <col min="4872" max="4872" width="9.25" style="2956" customWidth="1"/>
    <col min="4873" max="4873" width="6.625" style="2956" customWidth="1"/>
    <col min="4874" max="4874" width="5.5" style="2956" bestFit="1" customWidth="1"/>
    <col min="4875" max="4875" width="16.875" style="2956" customWidth="1"/>
    <col min="4876" max="4876" width="4.875" style="2956" customWidth="1"/>
    <col min="4877" max="4877" width="21.625" style="2956" customWidth="1"/>
    <col min="4878" max="4878" width="19.125" style="2956" bestFit="1" customWidth="1"/>
    <col min="4879" max="4879" width="25.25" style="2956" customWidth="1"/>
    <col min="4880" max="4880" width="9.5" style="2956" bestFit="1" customWidth="1"/>
    <col min="4881" max="4881" width="20.5" style="2956" bestFit="1" customWidth="1"/>
    <col min="4882" max="5123" width="9" style="2956"/>
    <col min="5124" max="5124" width="7.375" style="2956" customWidth="1"/>
    <col min="5125" max="5125" width="25.625" style="2956" customWidth="1"/>
    <col min="5126" max="5126" width="9.75" style="2956" customWidth="1"/>
    <col min="5127" max="5127" width="19.75" style="2956" bestFit="1" customWidth="1"/>
    <col min="5128" max="5128" width="9.25" style="2956" customWidth="1"/>
    <col min="5129" max="5129" width="6.625" style="2956" customWidth="1"/>
    <col min="5130" max="5130" width="5.5" style="2956" bestFit="1" customWidth="1"/>
    <col min="5131" max="5131" width="16.875" style="2956" customWidth="1"/>
    <col min="5132" max="5132" width="4.875" style="2956" customWidth="1"/>
    <col min="5133" max="5133" width="21.625" style="2956" customWidth="1"/>
    <col min="5134" max="5134" width="19.125" style="2956" bestFit="1" customWidth="1"/>
    <col min="5135" max="5135" width="25.25" style="2956" customWidth="1"/>
    <col min="5136" max="5136" width="9.5" style="2956" bestFit="1" customWidth="1"/>
    <col min="5137" max="5137" width="20.5" style="2956" bestFit="1" customWidth="1"/>
    <col min="5138" max="5379" width="9" style="2956"/>
    <col min="5380" max="5380" width="7.375" style="2956" customWidth="1"/>
    <col min="5381" max="5381" width="25.625" style="2956" customWidth="1"/>
    <col min="5382" max="5382" width="9.75" style="2956" customWidth="1"/>
    <col min="5383" max="5383" width="19.75" style="2956" bestFit="1" customWidth="1"/>
    <col min="5384" max="5384" width="9.25" style="2956" customWidth="1"/>
    <col min="5385" max="5385" width="6.625" style="2956" customWidth="1"/>
    <col min="5386" max="5386" width="5.5" style="2956" bestFit="1" customWidth="1"/>
    <col min="5387" max="5387" width="16.875" style="2956" customWidth="1"/>
    <col min="5388" max="5388" width="4.875" style="2956" customWidth="1"/>
    <col min="5389" max="5389" width="21.625" style="2956" customWidth="1"/>
    <col min="5390" max="5390" width="19.125" style="2956" bestFit="1" customWidth="1"/>
    <col min="5391" max="5391" width="25.25" style="2956" customWidth="1"/>
    <col min="5392" max="5392" width="9.5" style="2956" bestFit="1" customWidth="1"/>
    <col min="5393" max="5393" width="20.5" style="2956" bestFit="1" customWidth="1"/>
    <col min="5394" max="5635" width="9" style="2956"/>
    <col min="5636" max="5636" width="7.375" style="2956" customWidth="1"/>
    <col min="5637" max="5637" width="25.625" style="2956" customWidth="1"/>
    <col min="5638" max="5638" width="9.75" style="2956" customWidth="1"/>
    <col min="5639" max="5639" width="19.75" style="2956" bestFit="1" customWidth="1"/>
    <col min="5640" max="5640" width="9.25" style="2956" customWidth="1"/>
    <col min="5641" max="5641" width="6.625" style="2956" customWidth="1"/>
    <col min="5642" max="5642" width="5.5" style="2956" bestFit="1" customWidth="1"/>
    <col min="5643" max="5643" width="16.875" style="2956" customWidth="1"/>
    <col min="5644" max="5644" width="4.875" style="2956" customWidth="1"/>
    <col min="5645" max="5645" width="21.625" style="2956" customWidth="1"/>
    <col min="5646" max="5646" width="19.125" style="2956" bestFit="1" customWidth="1"/>
    <col min="5647" max="5647" width="25.25" style="2956" customWidth="1"/>
    <col min="5648" max="5648" width="9.5" style="2956" bestFit="1" customWidth="1"/>
    <col min="5649" max="5649" width="20.5" style="2956" bestFit="1" customWidth="1"/>
    <col min="5650" max="5891" width="9" style="2956"/>
    <col min="5892" max="5892" width="7.375" style="2956" customWidth="1"/>
    <col min="5893" max="5893" width="25.625" style="2956" customWidth="1"/>
    <col min="5894" max="5894" width="9.75" style="2956" customWidth="1"/>
    <col min="5895" max="5895" width="19.75" style="2956" bestFit="1" customWidth="1"/>
    <col min="5896" max="5896" width="9.25" style="2956" customWidth="1"/>
    <col min="5897" max="5897" width="6.625" style="2956" customWidth="1"/>
    <col min="5898" max="5898" width="5.5" style="2956" bestFit="1" customWidth="1"/>
    <col min="5899" max="5899" width="16.875" style="2956" customWidth="1"/>
    <col min="5900" max="5900" width="4.875" style="2956" customWidth="1"/>
    <col min="5901" max="5901" width="21.625" style="2956" customWidth="1"/>
    <col min="5902" max="5902" width="19.125" style="2956" bestFit="1" customWidth="1"/>
    <col min="5903" max="5903" width="25.25" style="2956" customWidth="1"/>
    <col min="5904" max="5904" width="9.5" style="2956" bestFit="1" customWidth="1"/>
    <col min="5905" max="5905" width="20.5" style="2956" bestFit="1" customWidth="1"/>
    <col min="5906" max="6147" width="9" style="2956"/>
    <col min="6148" max="6148" width="7.375" style="2956" customWidth="1"/>
    <col min="6149" max="6149" width="25.625" style="2956" customWidth="1"/>
    <col min="6150" max="6150" width="9.75" style="2956" customWidth="1"/>
    <col min="6151" max="6151" width="19.75" style="2956" bestFit="1" customWidth="1"/>
    <col min="6152" max="6152" width="9.25" style="2956" customWidth="1"/>
    <col min="6153" max="6153" width="6.625" style="2956" customWidth="1"/>
    <col min="6154" max="6154" width="5.5" style="2956" bestFit="1" customWidth="1"/>
    <col min="6155" max="6155" width="16.875" style="2956" customWidth="1"/>
    <col min="6156" max="6156" width="4.875" style="2956" customWidth="1"/>
    <col min="6157" max="6157" width="21.625" style="2956" customWidth="1"/>
    <col min="6158" max="6158" width="19.125" style="2956" bestFit="1" customWidth="1"/>
    <col min="6159" max="6159" width="25.25" style="2956" customWidth="1"/>
    <col min="6160" max="6160" width="9.5" style="2956" bestFit="1" customWidth="1"/>
    <col min="6161" max="6161" width="20.5" style="2956" bestFit="1" customWidth="1"/>
    <col min="6162" max="6403" width="9" style="2956"/>
    <col min="6404" max="6404" width="7.375" style="2956" customWidth="1"/>
    <col min="6405" max="6405" width="25.625" style="2956" customWidth="1"/>
    <col min="6406" max="6406" width="9.75" style="2956" customWidth="1"/>
    <col min="6407" max="6407" width="19.75" style="2956" bestFit="1" customWidth="1"/>
    <col min="6408" max="6408" width="9.25" style="2956" customWidth="1"/>
    <col min="6409" max="6409" width="6.625" style="2956" customWidth="1"/>
    <col min="6410" max="6410" width="5.5" style="2956" bestFit="1" customWidth="1"/>
    <col min="6411" max="6411" width="16.875" style="2956" customWidth="1"/>
    <col min="6412" max="6412" width="4.875" style="2956" customWidth="1"/>
    <col min="6413" max="6413" width="21.625" style="2956" customWidth="1"/>
    <col min="6414" max="6414" width="19.125" style="2956" bestFit="1" customWidth="1"/>
    <col min="6415" max="6415" width="25.25" style="2956" customWidth="1"/>
    <col min="6416" max="6416" width="9.5" style="2956" bestFit="1" customWidth="1"/>
    <col min="6417" max="6417" width="20.5" style="2956" bestFit="1" customWidth="1"/>
    <col min="6418" max="6659" width="9" style="2956"/>
    <col min="6660" max="6660" width="7.375" style="2956" customWidth="1"/>
    <col min="6661" max="6661" width="25.625" style="2956" customWidth="1"/>
    <col min="6662" max="6662" width="9.75" style="2956" customWidth="1"/>
    <col min="6663" max="6663" width="19.75" style="2956" bestFit="1" customWidth="1"/>
    <col min="6664" max="6664" width="9.25" style="2956" customWidth="1"/>
    <col min="6665" max="6665" width="6.625" style="2956" customWidth="1"/>
    <col min="6666" max="6666" width="5.5" style="2956" bestFit="1" customWidth="1"/>
    <col min="6667" max="6667" width="16.875" style="2956" customWidth="1"/>
    <col min="6668" max="6668" width="4.875" style="2956" customWidth="1"/>
    <col min="6669" max="6669" width="21.625" style="2956" customWidth="1"/>
    <col min="6670" max="6670" width="19.125" style="2956" bestFit="1" customWidth="1"/>
    <col min="6671" max="6671" width="25.25" style="2956" customWidth="1"/>
    <col min="6672" max="6672" width="9.5" style="2956" bestFit="1" customWidth="1"/>
    <col min="6673" max="6673" width="20.5" style="2956" bestFit="1" customWidth="1"/>
    <col min="6674" max="6915" width="9" style="2956"/>
    <col min="6916" max="6916" width="7.375" style="2956" customWidth="1"/>
    <col min="6917" max="6917" width="25.625" style="2956" customWidth="1"/>
    <col min="6918" max="6918" width="9.75" style="2956" customWidth="1"/>
    <col min="6919" max="6919" width="19.75" style="2956" bestFit="1" customWidth="1"/>
    <col min="6920" max="6920" width="9.25" style="2956" customWidth="1"/>
    <col min="6921" max="6921" width="6.625" style="2956" customWidth="1"/>
    <col min="6922" max="6922" width="5.5" style="2956" bestFit="1" customWidth="1"/>
    <col min="6923" max="6923" width="16.875" style="2956" customWidth="1"/>
    <col min="6924" max="6924" width="4.875" style="2956" customWidth="1"/>
    <col min="6925" max="6925" width="21.625" style="2956" customWidth="1"/>
    <col min="6926" max="6926" width="19.125" style="2956" bestFit="1" customWidth="1"/>
    <col min="6927" max="6927" width="25.25" style="2956" customWidth="1"/>
    <col min="6928" max="6928" width="9.5" style="2956" bestFit="1" customWidth="1"/>
    <col min="6929" max="6929" width="20.5" style="2956" bestFit="1" customWidth="1"/>
    <col min="6930" max="7171" width="9" style="2956"/>
    <col min="7172" max="7172" width="7.375" style="2956" customWidth="1"/>
    <col min="7173" max="7173" width="25.625" style="2956" customWidth="1"/>
    <col min="7174" max="7174" width="9.75" style="2956" customWidth="1"/>
    <col min="7175" max="7175" width="19.75" style="2956" bestFit="1" customWidth="1"/>
    <col min="7176" max="7176" width="9.25" style="2956" customWidth="1"/>
    <col min="7177" max="7177" width="6.625" style="2956" customWidth="1"/>
    <col min="7178" max="7178" width="5.5" style="2956" bestFit="1" customWidth="1"/>
    <col min="7179" max="7179" width="16.875" style="2956" customWidth="1"/>
    <col min="7180" max="7180" width="4.875" style="2956" customWidth="1"/>
    <col min="7181" max="7181" width="21.625" style="2956" customWidth="1"/>
    <col min="7182" max="7182" width="19.125" style="2956" bestFit="1" customWidth="1"/>
    <col min="7183" max="7183" width="25.25" style="2956" customWidth="1"/>
    <col min="7184" max="7184" width="9.5" style="2956" bestFit="1" customWidth="1"/>
    <col min="7185" max="7185" width="20.5" style="2956" bestFit="1" customWidth="1"/>
    <col min="7186" max="7427" width="9" style="2956"/>
    <col min="7428" max="7428" width="7.375" style="2956" customWidth="1"/>
    <col min="7429" max="7429" width="25.625" style="2956" customWidth="1"/>
    <col min="7430" max="7430" width="9.75" style="2956" customWidth="1"/>
    <col min="7431" max="7431" width="19.75" style="2956" bestFit="1" customWidth="1"/>
    <col min="7432" max="7432" width="9.25" style="2956" customWidth="1"/>
    <col min="7433" max="7433" width="6.625" style="2956" customWidth="1"/>
    <col min="7434" max="7434" width="5.5" style="2956" bestFit="1" customWidth="1"/>
    <col min="7435" max="7435" width="16.875" style="2956" customWidth="1"/>
    <col min="7436" max="7436" width="4.875" style="2956" customWidth="1"/>
    <col min="7437" max="7437" width="21.625" style="2956" customWidth="1"/>
    <col min="7438" max="7438" width="19.125" style="2956" bestFit="1" customWidth="1"/>
    <col min="7439" max="7439" width="25.25" style="2956" customWidth="1"/>
    <col min="7440" max="7440" width="9.5" style="2956" bestFit="1" customWidth="1"/>
    <col min="7441" max="7441" width="20.5" style="2956" bestFit="1" customWidth="1"/>
    <col min="7442" max="7683" width="9" style="2956"/>
    <col min="7684" max="7684" width="7.375" style="2956" customWidth="1"/>
    <col min="7685" max="7685" width="25.625" style="2956" customWidth="1"/>
    <col min="7686" max="7686" width="9.75" style="2956" customWidth="1"/>
    <col min="7687" max="7687" width="19.75" style="2956" bestFit="1" customWidth="1"/>
    <col min="7688" max="7688" width="9.25" style="2956" customWidth="1"/>
    <col min="7689" max="7689" width="6.625" style="2956" customWidth="1"/>
    <col min="7690" max="7690" width="5.5" style="2956" bestFit="1" customWidth="1"/>
    <col min="7691" max="7691" width="16.875" style="2956" customWidth="1"/>
    <col min="7692" max="7692" width="4.875" style="2956" customWidth="1"/>
    <col min="7693" max="7693" width="21.625" style="2956" customWidth="1"/>
    <col min="7694" max="7694" width="19.125" style="2956" bestFit="1" customWidth="1"/>
    <col min="7695" max="7695" width="25.25" style="2956" customWidth="1"/>
    <col min="7696" max="7696" width="9.5" style="2956" bestFit="1" customWidth="1"/>
    <col min="7697" max="7697" width="20.5" style="2956" bestFit="1" customWidth="1"/>
    <col min="7698" max="7939" width="9" style="2956"/>
    <col min="7940" max="7940" width="7.375" style="2956" customWidth="1"/>
    <col min="7941" max="7941" width="25.625" style="2956" customWidth="1"/>
    <col min="7942" max="7942" width="9.75" style="2956" customWidth="1"/>
    <col min="7943" max="7943" width="19.75" style="2956" bestFit="1" customWidth="1"/>
    <col min="7944" max="7944" width="9.25" style="2956" customWidth="1"/>
    <col min="7945" max="7945" width="6.625" style="2956" customWidth="1"/>
    <col min="7946" max="7946" width="5.5" style="2956" bestFit="1" customWidth="1"/>
    <col min="7947" max="7947" width="16.875" style="2956" customWidth="1"/>
    <col min="7948" max="7948" width="4.875" style="2956" customWidth="1"/>
    <col min="7949" max="7949" width="21.625" style="2956" customWidth="1"/>
    <col min="7950" max="7950" width="19.125" style="2956" bestFit="1" customWidth="1"/>
    <col min="7951" max="7951" width="25.25" style="2956" customWidth="1"/>
    <col min="7952" max="7952" width="9.5" style="2956" bestFit="1" customWidth="1"/>
    <col min="7953" max="7953" width="20.5" style="2956" bestFit="1" customWidth="1"/>
    <col min="7954" max="8195" width="9" style="2956"/>
    <col min="8196" max="8196" width="7.375" style="2956" customWidth="1"/>
    <col min="8197" max="8197" width="25.625" style="2956" customWidth="1"/>
    <col min="8198" max="8198" width="9.75" style="2956" customWidth="1"/>
    <col min="8199" max="8199" width="19.75" style="2956" bestFit="1" customWidth="1"/>
    <col min="8200" max="8200" width="9.25" style="2956" customWidth="1"/>
    <col min="8201" max="8201" width="6.625" style="2956" customWidth="1"/>
    <col min="8202" max="8202" width="5.5" style="2956" bestFit="1" customWidth="1"/>
    <col min="8203" max="8203" width="16.875" style="2956" customWidth="1"/>
    <col min="8204" max="8204" width="4.875" style="2956" customWidth="1"/>
    <col min="8205" max="8205" width="21.625" style="2956" customWidth="1"/>
    <col min="8206" max="8206" width="19.125" style="2956" bestFit="1" customWidth="1"/>
    <col min="8207" max="8207" width="25.25" style="2956" customWidth="1"/>
    <col min="8208" max="8208" width="9.5" style="2956" bestFit="1" customWidth="1"/>
    <col min="8209" max="8209" width="20.5" style="2956" bestFit="1" customWidth="1"/>
    <col min="8210" max="8451" width="9" style="2956"/>
    <col min="8452" max="8452" width="7.375" style="2956" customWidth="1"/>
    <col min="8453" max="8453" width="25.625" style="2956" customWidth="1"/>
    <col min="8454" max="8454" width="9.75" style="2956" customWidth="1"/>
    <col min="8455" max="8455" width="19.75" style="2956" bestFit="1" customWidth="1"/>
    <col min="8456" max="8456" width="9.25" style="2956" customWidth="1"/>
    <col min="8457" max="8457" width="6.625" style="2956" customWidth="1"/>
    <col min="8458" max="8458" width="5.5" style="2956" bestFit="1" customWidth="1"/>
    <col min="8459" max="8459" width="16.875" style="2956" customWidth="1"/>
    <col min="8460" max="8460" width="4.875" style="2956" customWidth="1"/>
    <col min="8461" max="8461" width="21.625" style="2956" customWidth="1"/>
    <col min="8462" max="8462" width="19.125" style="2956" bestFit="1" customWidth="1"/>
    <col min="8463" max="8463" width="25.25" style="2956" customWidth="1"/>
    <col min="8464" max="8464" width="9.5" style="2956" bestFit="1" customWidth="1"/>
    <col min="8465" max="8465" width="20.5" style="2956" bestFit="1" customWidth="1"/>
    <col min="8466" max="8707" width="9" style="2956"/>
    <col min="8708" max="8708" width="7.375" style="2956" customWidth="1"/>
    <col min="8709" max="8709" width="25.625" style="2956" customWidth="1"/>
    <col min="8710" max="8710" width="9.75" style="2956" customWidth="1"/>
    <col min="8711" max="8711" width="19.75" style="2956" bestFit="1" customWidth="1"/>
    <col min="8712" max="8712" width="9.25" style="2956" customWidth="1"/>
    <col min="8713" max="8713" width="6.625" style="2956" customWidth="1"/>
    <col min="8714" max="8714" width="5.5" style="2956" bestFit="1" customWidth="1"/>
    <col min="8715" max="8715" width="16.875" style="2956" customWidth="1"/>
    <col min="8716" max="8716" width="4.875" style="2956" customWidth="1"/>
    <col min="8717" max="8717" width="21.625" style="2956" customWidth="1"/>
    <col min="8718" max="8718" width="19.125" style="2956" bestFit="1" customWidth="1"/>
    <col min="8719" max="8719" width="25.25" style="2956" customWidth="1"/>
    <col min="8720" max="8720" width="9.5" style="2956" bestFit="1" customWidth="1"/>
    <col min="8721" max="8721" width="20.5" style="2956" bestFit="1" customWidth="1"/>
    <col min="8722" max="8963" width="9" style="2956"/>
    <col min="8964" max="8964" width="7.375" style="2956" customWidth="1"/>
    <col min="8965" max="8965" width="25.625" style="2956" customWidth="1"/>
    <col min="8966" max="8966" width="9.75" style="2956" customWidth="1"/>
    <col min="8967" max="8967" width="19.75" style="2956" bestFit="1" customWidth="1"/>
    <col min="8968" max="8968" width="9.25" style="2956" customWidth="1"/>
    <col min="8969" max="8969" width="6.625" style="2956" customWidth="1"/>
    <col min="8970" max="8970" width="5.5" style="2956" bestFit="1" customWidth="1"/>
    <col min="8971" max="8971" width="16.875" style="2956" customWidth="1"/>
    <col min="8972" max="8972" width="4.875" style="2956" customWidth="1"/>
    <col min="8973" max="8973" width="21.625" style="2956" customWidth="1"/>
    <col min="8974" max="8974" width="19.125" style="2956" bestFit="1" customWidth="1"/>
    <col min="8975" max="8975" width="25.25" style="2956" customWidth="1"/>
    <col min="8976" max="8976" width="9.5" style="2956" bestFit="1" customWidth="1"/>
    <col min="8977" max="8977" width="20.5" style="2956" bestFit="1" customWidth="1"/>
    <col min="8978" max="9219" width="9" style="2956"/>
    <col min="9220" max="9220" width="7.375" style="2956" customWidth="1"/>
    <col min="9221" max="9221" width="25.625" style="2956" customWidth="1"/>
    <col min="9222" max="9222" width="9.75" style="2956" customWidth="1"/>
    <col min="9223" max="9223" width="19.75" style="2956" bestFit="1" customWidth="1"/>
    <col min="9224" max="9224" width="9.25" style="2956" customWidth="1"/>
    <col min="9225" max="9225" width="6.625" style="2956" customWidth="1"/>
    <col min="9226" max="9226" width="5.5" style="2956" bestFit="1" customWidth="1"/>
    <col min="9227" max="9227" width="16.875" style="2956" customWidth="1"/>
    <col min="9228" max="9228" width="4.875" style="2956" customWidth="1"/>
    <col min="9229" max="9229" width="21.625" style="2956" customWidth="1"/>
    <col min="9230" max="9230" width="19.125" style="2956" bestFit="1" customWidth="1"/>
    <col min="9231" max="9231" width="25.25" style="2956" customWidth="1"/>
    <col min="9232" max="9232" width="9.5" style="2956" bestFit="1" customWidth="1"/>
    <col min="9233" max="9233" width="20.5" style="2956" bestFit="1" customWidth="1"/>
    <col min="9234" max="9475" width="9" style="2956"/>
    <col min="9476" max="9476" width="7.375" style="2956" customWidth="1"/>
    <col min="9477" max="9477" width="25.625" style="2956" customWidth="1"/>
    <col min="9478" max="9478" width="9.75" style="2956" customWidth="1"/>
    <col min="9479" max="9479" width="19.75" style="2956" bestFit="1" customWidth="1"/>
    <col min="9480" max="9480" width="9.25" style="2956" customWidth="1"/>
    <col min="9481" max="9481" width="6.625" style="2956" customWidth="1"/>
    <col min="9482" max="9482" width="5.5" style="2956" bestFit="1" customWidth="1"/>
    <col min="9483" max="9483" width="16.875" style="2956" customWidth="1"/>
    <col min="9484" max="9484" width="4.875" style="2956" customWidth="1"/>
    <col min="9485" max="9485" width="21.625" style="2956" customWidth="1"/>
    <col min="9486" max="9486" width="19.125" style="2956" bestFit="1" customWidth="1"/>
    <col min="9487" max="9487" width="25.25" style="2956" customWidth="1"/>
    <col min="9488" max="9488" width="9.5" style="2956" bestFit="1" customWidth="1"/>
    <col min="9489" max="9489" width="20.5" style="2956" bestFit="1" customWidth="1"/>
    <col min="9490" max="9731" width="9" style="2956"/>
    <col min="9732" max="9732" width="7.375" style="2956" customWidth="1"/>
    <col min="9733" max="9733" width="25.625" style="2956" customWidth="1"/>
    <col min="9734" max="9734" width="9.75" style="2956" customWidth="1"/>
    <col min="9735" max="9735" width="19.75" style="2956" bestFit="1" customWidth="1"/>
    <col min="9736" max="9736" width="9.25" style="2956" customWidth="1"/>
    <col min="9737" max="9737" width="6.625" style="2956" customWidth="1"/>
    <col min="9738" max="9738" width="5.5" style="2956" bestFit="1" customWidth="1"/>
    <col min="9739" max="9739" width="16.875" style="2956" customWidth="1"/>
    <col min="9740" max="9740" width="4.875" style="2956" customWidth="1"/>
    <col min="9741" max="9741" width="21.625" style="2956" customWidth="1"/>
    <col min="9742" max="9742" width="19.125" style="2956" bestFit="1" customWidth="1"/>
    <col min="9743" max="9743" width="25.25" style="2956" customWidth="1"/>
    <col min="9744" max="9744" width="9.5" style="2956" bestFit="1" customWidth="1"/>
    <col min="9745" max="9745" width="20.5" style="2956" bestFit="1" customWidth="1"/>
    <col min="9746" max="9987" width="9" style="2956"/>
    <col min="9988" max="9988" width="7.375" style="2956" customWidth="1"/>
    <col min="9989" max="9989" width="25.625" style="2956" customWidth="1"/>
    <col min="9990" max="9990" width="9.75" style="2956" customWidth="1"/>
    <col min="9991" max="9991" width="19.75" style="2956" bestFit="1" customWidth="1"/>
    <col min="9992" max="9992" width="9.25" style="2956" customWidth="1"/>
    <col min="9993" max="9993" width="6.625" style="2956" customWidth="1"/>
    <col min="9994" max="9994" width="5.5" style="2956" bestFit="1" customWidth="1"/>
    <col min="9995" max="9995" width="16.875" style="2956" customWidth="1"/>
    <col min="9996" max="9996" width="4.875" style="2956" customWidth="1"/>
    <col min="9997" max="9997" width="21.625" style="2956" customWidth="1"/>
    <col min="9998" max="9998" width="19.125" style="2956" bestFit="1" customWidth="1"/>
    <col min="9999" max="9999" width="25.25" style="2956" customWidth="1"/>
    <col min="10000" max="10000" width="9.5" style="2956" bestFit="1" customWidth="1"/>
    <col min="10001" max="10001" width="20.5" style="2956" bestFit="1" customWidth="1"/>
    <col min="10002" max="10243" width="9" style="2956"/>
    <col min="10244" max="10244" width="7.375" style="2956" customWidth="1"/>
    <col min="10245" max="10245" width="25.625" style="2956" customWidth="1"/>
    <col min="10246" max="10246" width="9.75" style="2956" customWidth="1"/>
    <col min="10247" max="10247" width="19.75" style="2956" bestFit="1" customWidth="1"/>
    <col min="10248" max="10248" width="9.25" style="2956" customWidth="1"/>
    <col min="10249" max="10249" width="6.625" style="2956" customWidth="1"/>
    <col min="10250" max="10250" width="5.5" style="2956" bestFit="1" customWidth="1"/>
    <col min="10251" max="10251" width="16.875" style="2956" customWidth="1"/>
    <col min="10252" max="10252" width="4.875" style="2956" customWidth="1"/>
    <col min="10253" max="10253" width="21.625" style="2956" customWidth="1"/>
    <col min="10254" max="10254" width="19.125" style="2956" bestFit="1" customWidth="1"/>
    <col min="10255" max="10255" width="25.25" style="2956" customWidth="1"/>
    <col min="10256" max="10256" width="9.5" style="2956" bestFit="1" customWidth="1"/>
    <col min="10257" max="10257" width="20.5" style="2956" bestFit="1" customWidth="1"/>
    <col min="10258" max="10499" width="9" style="2956"/>
    <col min="10500" max="10500" width="7.375" style="2956" customWidth="1"/>
    <col min="10501" max="10501" width="25.625" style="2956" customWidth="1"/>
    <col min="10502" max="10502" width="9.75" style="2956" customWidth="1"/>
    <col min="10503" max="10503" width="19.75" style="2956" bestFit="1" customWidth="1"/>
    <col min="10504" max="10504" width="9.25" style="2956" customWidth="1"/>
    <col min="10505" max="10505" width="6.625" style="2956" customWidth="1"/>
    <col min="10506" max="10506" width="5.5" style="2956" bestFit="1" customWidth="1"/>
    <col min="10507" max="10507" width="16.875" style="2956" customWidth="1"/>
    <col min="10508" max="10508" width="4.875" style="2956" customWidth="1"/>
    <col min="10509" max="10509" width="21.625" style="2956" customWidth="1"/>
    <col min="10510" max="10510" width="19.125" style="2956" bestFit="1" customWidth="1"/>
    <col min="10511" max="10511" width="25.25" style="2956" customWidth="1"/>
    <col min="10512" max="10512" width="9.5" style="2956" bestFit="1" customWidth="1"/>
    <col min="10513" max="10513" width="20.5" style="2956" bestFit="1" customWidth="1"/>
    <col min="10514" max="10755" width="9" style="2956"/>
    <col min="10756" max="10756" width="7.375" style="2956" customWidth="1"/>
    <col min="10757" max="10757" width="25.625" style="2956" customWidth="1"/>
    <col min="10758" max="10758" width="9.75" style="2956" customWidth="1"/>
    <col min="10759" max="10759" width="19.75" style="2956" bestFit="1" customWidth="1"/>
    <col min="10760" max="10760" width="9.25" style="2956" customWidth="1"/>
    <col min="10761" max="10761" width="6.625" style="2956" customWidth="1"/>
    <col min="10762" max="10762" width="5.5" style="2956" bestFit="1" customWidth="1"/>
    <col min="10763" max="10763" width="16.875" style="2956" customWidth="1"/>
    <col min="10764" max="10764" width="4.875" style="2956" customWidth="1"/>
    <col min="10765" max="10765" width="21.625" style="2956" customWidth="1"/>
    <col min="10766" max="10766" width="19.125" style="2956" bestFit="1" customWidth="1"/>
    <col min="10767" max="10767" width="25.25" style="2956" customWidth="1"/>
    <col min="10768" max="10768" width="9.5" style="2956" bestFit="1" customWidth="1"/>
    <col min="10769" max="10769" width="20.5" style="2956" bestFit="1" customWidth="1"/>
    <col min="10770" max="11011" width="9" style="2956"/>
    <col min="11012" max="11012" width="7.375" style="2956" customWidth="1"/>
    <col min="11013" max="11013" width="25.625" style="2956" customWidth="1"/>
    <col min="11014" max="11014" width="9.75" style="2956" customWidth="1"/>
    <col min="11015" max="11015" width="19.75" style="2956" bestFit="1" customWidth="1"/>
    <col min="11016" max="11016" width="9.25" style="2956" customWidth="1"/>
    <col min="11017" max="11017" width="6.625" style="2956" customWidth="1"/>
    <col min="11018" max="11018" width="5.5" style="2956" bestFit="1" customWidth="1"/>
    <col min="11019" max="11019" width="16.875" style="2956" customWidth="1"/>
    <col min="11020" max="11020" width="4.875" style="2956" customWidth="1"/>
    <col min="11021" max="11021" width="21.625" style="2956" customWidth="1"/>
    <col min="11022" max="11022" width="19.125" style="2956" bestFit="1" customWidth="1"/>
    <col min="11023" max="11023" width="25.25" style="2956" customWidth="1"/>
    <col min="11024" max="11024" width="9.5" style="2956" bestFit="1" customWidth="1"/>
    <col min="11025" max="11025" width="20.5" style="2956" bestFit="1" customWidth="1"/>
    <col min="11026" max="11267" width="9" style="2956"/>
    <col min="11268" max="11268" width="7.375" style="2956" customWidth="1"/>
    <col min="11269" max="11269" width="25.625" style="2956" customWidth="1"/>
    <col min="11270" max="11270" width="9.75" style="2956" customWidth="1"/>
    <col min="11271" max="11271" width="19.75" style="2956" bestFit="1" customWidth="1"/>
    <col min="11272" max="11272" width="9.25" style="2956" customWidth="1"/>
    <col min="11273" max="11273" width="6.625" style="2956" customWidth="1"/>
    <col min="11274" max="11274" width="5.5" style="2956" bestFit="1" customWidth="1"/>
    <col min="11275" max="11275" width="16.875" style="2956" customWidth="1"/>
    <col min="11276" max="11276" width="4.875" style="2956" customWidth="1"/>
    <col min="11277" max="11277" width="21.625" style="2956" customWidth="1"/>
    <col min="11278" max="11278" width="19.125" style="2956" bestFit="1" customWidth="1"/>
    <col min="11279" max="11279" width="25.25" style="2956" customWidth="1"/>
    <col min="11280" max="11280" width="9.5" style="2956" bestFit="1" customWidth="1"/>
    <col min="11281" max="11281" width="20.5" style="2956" bestFit="1" customWidth="1"/>
    <col min="11282" max="11523" width="9" style="2956"/>
    <col min="11524" max="11524" width="7.375" style="2956" customWidth="1"/>
    <col min="11525" max="11525" width="25.625" style="2956" customWidth="1"/>
    <col min="11526" max="11526" width="9.75" style="2956" customWidth="1"/>
    <col min="11527" max="11527" width="19.75" style="2956" bestFit="1" customWidth="1"/>
    <col min="11528" max="11528" width="9.25" style="2956" customWidth="1"/>
    <col min="11529" max="11529" width="6.625" style="2956" customWidth="1"/>
    <col min="11530" max="11530" width="5.5" style="2956" bestFit="1" customWidth="1"/>
    <col min="11531" max="11531" width="16.875" style="2956" customWidth="1"/>
    <col min="11532" max="11532" width="4.875" style="2956" customWidth="1"/>
    <col min="11533" max="11533" width="21.625" style="2956" customWidth="1"/>
    <col min="11534" max="11534" width="19.125" style="2956" bestFit="1" customWidth="1"/>
    <col min="11535" max="11535" width="25.25" style="2956" customWidth="1"/>
    <col min="11536" max="11536" width="9.5" style="2956" bestFit="1" customWidth="1"/>
    <col min="11537" max="11537" width="20.5" style="2956" bestFit="1" customWidth="1"/>
    <col min="11538" max="11779" width="9" style="2956"/>
    <col min="11780" max="11780" width="7.375" style="2956" customWidth="1"/>
    <col min="11781" max="11781" width="25.625" style="2956" customWidth="1"/>
    <col min="11782" max="11782" width="9.75" style="2956" customWidth="1"/>
    <col min="11783" max="11783" width="19.75" style="2956" bestFit="1" customWidth="1"/>
    <col min="11784" max="11784" width="9.25" style="2956" customWidth="1"/>
    <col min="11785" max="11785" width="6.625" style="2956" customWidth="1"/>
    <col min="11786" max="11786" width="5.5" style="2956" bestFit="1" customWidth="1"/>
    <col min="11787" max="11787" width="16.875" style="2956" customWidth="1"/>
    <col min="11788" max="11788" width="4.875" style="2956" customWidth="1"/>
    <col min="11789" max="11789" width="21.625" style="2956" customWidth="1"/>
    <col min="11790" max="11790" width="19.125" style="2956" bestFit="1" customWidth="1"/>
    <col min="11791" max="11791" width="25.25" style="2956" customWidth="1"/>
    <col min="11792" max="11792" width="9.5" style="2956" bestFit="1" customWidth="1"/>
    <col min="11793" max="11793" width="20.5" style="2956" bestFit="1" customWidth="1"/>
    <col min="11794" max="12035" width="9" style="2956"/>
    <col min="12036" max="12036" width="7.375" style="2956" customWidth="1"/>
    <col min="12037" max="12037" width="25.625" style="2956" customWidth="1"/>
    <col min="12038" max="12038" width="9.75" style="2956" customWidth="1"/>
    <col min="12039" max="12039" width="19.75" style="2956" bestFit="1" customWidth="1"/>
    <col min="12040" max="12040" width="9.25" style="2956" customWidth="1"/>
    <col min="12041" max="12041" width="6.625" style="2956" customWidth="1"/>
    <col min="12042" max="12042" width="5.5" style="2956" bestFit="1" customWidth="1"/>
    <col min="12043" max="12043" width="16.875" style="2956" customWidth="1"/>
    <col min="12044" max="12044" width="4.875" style="2956" customWidth="1"/>
    <col min="12045" max="12045" width="21.625" style="2956" customWidth="1"/>
    <col min="12046" max="12046" width="19.125" style="2956" bestFit="1" customWidth="1"/>
    <col min="12047" max="12047" width="25.25" style="2956" customWidth="1"/>
    <col min="12048" max="12048" width="9.5" style="2956" bestFit="1" customWidth="1"/>
    <col min="12049" max="12049" width="20.5" style="2956" bestFit="1" customWidth="1"/>
    <col min="12050" max="12291" width="9" style="2956"/>
    <col min="12292" max="12292" width="7.375" style="2956" customWidth="1"/>
    <col min="12293" max="12293" width="25.625" style="2956" customWidth="1"/>
    <col min="12294" max="12294" width="9.75" style="2956" customWidth="1"/>
    <col min="12295" max="12295" width="19.75" style="2956" bestFit="1" customWidth="1"/>
    <col min="12296" max="12296" width="9.25" style="2956" customWidth="1"/>
    <col min="12297" max="12297" width="6.625" style="2956" customWidth="1"/>
    <col min="12298" max="12298" width="5.5" style="2956" bestFit="1" customWidth="1"/>
    <col min="12299" max="12299" width="16.875" style="2956" customWidth="1"/>
    <col min="12300" max="12300" width="4.875" style="2956" customWidth="1"/>
    <col min="12301" max="12301" width="21.625" style="2956" customWidth="1"/>
    <col min="12302" max="12302" width="19.125" style="2956" bestFit="1" customWidth="1"/>
    <col min="12303" max="12303" width="25.25" style="2956" customWidth="1"/>
    <col min="12304" max="12304" width="9.5" style="2956" bestFit="1" customWidth="1"/>
    <col min="12305" max="12305" width="20.5" style="2956" bestFit="1" customWidth="1"/>
    <col min="12306" max="12547" width="9" style="2956"/>
    <col min="12548" max="12548" width="7.375" style="2956" customWidth="1"/>
    <col min="12549" max="12549" width="25.625" style="2956" customWidth="1"/>
    <col min="12550" max="12550" width="9.75" style="2956" customWidth="1"/>
    <col min="12551" max="12551" width="19.75" style="2956" bestFit="1" customWidth="1"/>
    <col min="12552" max="12552" width="9.25" style="2956" customWidth="1"/>
    <col min="12553" max="12553" width="6.625" style="2956" customWidth="1"/>
    <col min="12554" max="12554" width="5.5" style="2956" bestFit="1" customWidth="1"/>
    <col min="12555" max="12555" width="16.875" style="2956" customWidth="1"/>
    <col min="12556" max="12556" width="4.875" style="2956" customWidth="1"/>
    <col min="12557" max="12557" width="21.625" style="2956" customWidth="1"/>
    <col min="12558" max="12558" width="19.125" style="2956" bestFit="1" customWidth="1"/>
    <col min="12559" max="12559" width="25.25" style="2956" customWidth="1"/>
    <col min="12560" max="12560" width="9.5" style="2956" bestFit="1" customWidth="1"/>
    <col min="12561" max="12561" width="20.5" style="2956" bestFit="1" customWidth="1"/>
    <col min="12562" max="12803" width="9" style="2956"/>
    <col min="12804" max="12804" width="7.375" style="2956" customWidth="1"/>
    <col min="12805" max="12805" width="25.625" style="2956" customWidth="1"/>
    <col min="12806" max="12806" width="9.75" style="2956" customWidth="1"/>
    <col min="12807" max="12807" width="19.75" style="2956" bestFit="1" customWidth="1"/>
    <col min="12808" max="12808" width="9.25" style="2956" customWidth="1"/>
    <col min="12809" max="12809" width="6.625" style="2956" customWidth="1"/>
    <col min="12810" max="12810" width="5.5" style="2956" bestFit="1" customWidth="1"/>
    <col min="12811" max="12811" width="16.875" style="2956" customWidth="1"/>
    <col min="12812" max="12812" width="4.875" style="2956" customWidth="1"/>
    <col min="12813" max="12813" width="21.625" style="2956" customWidth="1"/>
    <col min="12814" max="12814" width="19.125" style="2956" bestFit="1" customWidth="1"/>
    <col min="12815" max="12815" width="25.25" style="2956" customWidth="1"/>
    <col min="12816" max="12816" width="9.5" style="2956" bestFit="1" customWidth="1"/>
    <col min="12817" max="12817" width="20.5" style="2956" bestFit="1" customWidth="1"/>
    <col min="12818" max="13059" width="9" style="2956"/>
    <col min="13060" max="13060" width="7.375" style="2956" customWidth="1"/>
    <col min="13061" max="13061" width="25.625" style="2956" customWidth="1"/>
    <col min="13062" max="13062" width="9.75" style="2956" customWidth="1"/>
    <col min="13063" max="13063" width="19.75" style="2956" bestFit="1" customWidth="1"/>
    <col min="13064" max="13064" width="9.25" style="2956" customWidth="1"/>
    <col min="13065" max="13065" width="6.625" style="2956" customWidth="1"/>
    <col min="13066" max="13066" width="5.5" style="2956" bestFit="1" customWidth="1"/>
    <col min="13067" max="13067" width="16.875" style="2956" customWidth="1"/>
    <col min="13068" max="13068" width="4.875" style="2956" customWidth="1"/>
    <col min="13069" max="13069" width="21.625" style="2956" customWidth="1"/>
    <col min="13070" max="13070" width="19.125" style="2956" bestFit="1" customWidth="1"/>
    <col min="13071" max="13071" width="25.25" style="2956" customWidth="1"/>
    <col min="13072" max="13072" width="9.5" style="2956" bestFit="1" customWidth="1"/>
    <col min="13073" max="13073" width="20.5" style="2956" bestFit="1" customWidth="1"/>
    <col min="13074" max="13315" width="9" style="2956"/>
    <col min="13316" max="13316" width="7.375" style="2956" customWidth="1"/>
    <col min="13317" max="13317" width="25.625" style="2956" customWidth="1"/>
    <col min="13318" max="13318" width="9.75" style="2956" customWidth="1"/>
    <col min="13319" max="13319" width="19.75" style="2956" bestFit="1" customWidth="1"/>
    <col min="13320" max="13320" width="9.25" style="2956" customWidth="1"/>
    <col min="13321" max="13321" width="6.625" style="2956" customWidth="1"/>
    <col min="13322" max="13322" width="5.5" style="2956" bestFit="1" customWidth="1"/>
    <col min="13323" max="13323" width="16.875" style="2956" customWidth="1"/>
    <col min="13324" max="13324" width="4.875" style="2956" customWidth="1"/>
    <col min="13325" max="13325" width="21.625" style="2956" customWidth="1"/>
    <col min="13326" max="13326" width="19.125" style="2956" bestFit="1" customWidth="1"/>
    <col min="13327" max="13327" width="25.25" style="2956" customWidth="1"/>
    <col min="13328" max="13328" width="9.5" style="2956" bestFit="1" customWidth="1"/>
    <col min="13329" max="13329" width="20.5" style="2956" bestFit="1" customWidth="1"/>
    <col min="13330" max="13571" width="9" style="2956"/>
    <col min="13572" max="13572" width="7.375" style="2956" customWidth="1"/>
    <col min="13573" max="13573" width="25.625" style="2956" customWidth="1"/>
    <col min="13574" max="13574" width="9.75" style="2956" customWidth="1"/>
    <col min="13575" max="13575" width="19.75" style="2956" bestFit="1" customWidth="1"/>
    <col min="13576" max="13576" width="9.25" style="2956" customWidth="1"/>
    <col min="13577" max="13577" width="6.625" style="2956" customWidth="1"/>
    <col min="13578" max="13578" width="5.5" style="2956" bestFit="1" customWidth="1"/>
    <col min="13579" max="13579" width="16.875" style="2956" customWidth="1"/>
    <col min="13580" max="13580" width="4.875" style="2956" customWidth="1"/>
    <col min="13581" max="13581" width="21.625" style="2956" customWidth="1"/>
    <col min="13582" max="13582" width="19.125" style="2956" bestFit="1" customWidth="1"/>
    <col min="13583" max="13583" width="25.25" style="2956" customWidth="1"/>
    <col min="13584" max="13584" width="9.5" style="2956" bestFit="1" customWidth="1"/>
    <col min="13585" max="13585" width="20.5" style="2956" bestFit="1" customWidth="1"/>
    <col min="13586" max="13827" width="9" style="2956"/>
    <col min="13828" max="13828" width="7.375" style="2956" customWidth="1"/>
    <col min="13829" max="13829" width="25.625" style="2956" customWidth="1"/>
    <col min="13830" max="13830" width="9.75" style="2956" customWidth="1"/>
    <col min="13831" max="13831" width="19.75" style="2956" bestFit="1" customWidth="1"/>
    <col min="13832" max="13832" width="9.25" style="2956" customWidth="1"/>
    <col min="13833" max="13833" width="6.625" style="2956" customWidth="1"/>
    <col min="13834" max="13834" width="5.5" style="2956" bestFit="1" customWidth="1"/>
    <col min="13835" max="13835" width="16.875" style="2956" customWidth="1"/>
    <col min="13836" max="13836" width="4.875" style="2956" customWidth="1"/>
    <col min="13837" max="13837" width="21.625" style="2956" customWidth="1"/>
    <col min="13838" max="13838" width="19.125" style="2956" bestFit="1" customWidth="1"/>
    <col min="13839" max="13839" width="25.25" style="2956" customWidth="1"/>
    <col min="13840" max="13840" width="9.5" style="2956" bestFit="1" customWidth="1"/>
    <col min="13841" max="13841" width="20.5" style="2956" bestFit="1" customWidth="1"/>
    <col min="13842" max="14083" width="9" style="2956"/>
    <col min="14084" max="14084" width="7.375" style="2956" customWidth="1"/>
    <col min="14085" max="14085" width="25.625" style="2956" customWidth="1"/>
    <col min="14086" max="14086" width="9.75" style="2956" customWidth="1"/>
    <col min="14087" max="14087" width="19.75" style="2956" bestFit="1" customWidth="1"/>
    <col min="14088" max="14088" width="9.25" style="2956" customWidth="1"/>
    <col min="14089" max="14089" width="6.625" style="2956" customWidth="1"/>
    <col min="14090" max="14090" width="5.5" style="2956" bestFit="1" customWidth="1"/>
    <col min="14091" max="14091" width="16.875" style="2956" customWidth="1"/>
    <col min="14092" max="14092" width="4.875" style="2956" customWidth="1"/>
    <col min="14093" max="14093" width="21.625" style="2956" customWidth="1"/>
    <col min="14094" max="14094" width="19.125" style="2956" bestFit="1" customWidth="1"/>
    <col min="14095" max="14095" width="25.25" style="2956" customWidth="1"/>
    <col min="14096" max="14096" width="9.5" style="2956" bestFit="1" customWidth="1"/>
    <col min="14097" max="14097" width="20.5" style="2956" bestFit="1" customWidth="1"/>
    <col min="14098" max="14339" width="9" style="2956"/>
    <col min="14340" max="14340" width="7.375" style="2956" customWidth="1"/>
    <col min="14341" max="14341" width="25.625" style="2956" customWidth="1"/>
    <col min="14342" max="14342" width="9.75" style="2956" customWidth="1"/>
    <col min="14343" max="14343" width="19.75" style="2956" bestFit="1" customWidth="1"/>
    <col min="14344" max="14344" width="9.25" style="2956" customWidth="1"/>
    <col min="14345" max="14345" width="6.625" style="2956" customWidth="1"/>
    <col min="14346" max="14346" width="5.5" style="2956" bestFit="1" customWidth="1"/>
    <col min="14347" max="14347" width="16.875" style="2956" customWidth="1"/>
    <col min="14348" max="14348" width="4.875" style="2956" customWidth="1"/>
    <col min="14349" max="14349" width="21.625" style="2956" customWidth="1"/>
    <col min="14350" max="14350" width="19.125" style="2956" bestFit="1" customWidth="1"/>
    <col min="14351" max="14351" width="25.25" style="2956" customWidth="1"/>
    <col min="14352" max="14352" width="9.5" style="2956" bestFit="1" customWidth="1"/>
    <col min="14353" max="14353" width="20.5" style="2956" bestFit="1" customWidth="1"/>
    <col min="14354" max="14595" width="9" style="2956"/>
    <col min="14596" max="14596" width="7.375" style="2956" customWidth="1"/>
    <col min="14597" max="14597" width="25.625" style="2956" customWidth="1"/>
    <col min="14598" max="14598" width="9.75" style="2956" customWidth="1"/>
    <col min="14599" max="14599" width="19.75" style="2956" bestFit="1" customWidth="1"/>
    <col min="14600" max="14600" width="9.25" style="2956" customWidth="1"/>
    <col min="14601" max="14601" width="6.625" style="2956" customWidth="1"/>
    <col min="14602" max="14602" width="5.5" style="2956" bestFit="1" customWidth="1"/>
    <col min="14603" max="14603" width="16.875" style="2956" customWidth="1"/>
    <col min="14604" max="14604" width="4.875" style="2956" customWidth="1"/>
    <col min="14605" max="14605" width="21.625" style="2956" customWidth="1"/>
    <col min="14606" max="14606" width="19.125" style="2956" bestFit="1" customWidth="1"/>
    <col min="14607" max="14607" width="25.25" style="2956" customWidth="1"/>
    <col min="14608" max="14608" width="9.5" style="2956" bestFit="1" customWidth="1"/>
    <col min="14609" max="14609" width="20.5" style="2956" bestFit="1" customWidth="1"/>
    <col min="14610" max="14851" width="9" style="2956"/>
    <col min="14852" max="14852" width="7.375" style="2956" customWidth="1"/>
    <col min="14853" max="14853" width="25.625" style="2956" customWidth="1"/>
    <col min="14854" max="14854" width="9.75" style="2956" customWidth="1"/>
    <col min="14855" max="14855" width="19.75" style="2956" bestFit="1" customWidth="1"/>
    <col min="14856" max="14856" width="9.25" style="2956" customWidth="1"/>
    <col min="14857" max="14857" width="6.625" style="2956" customWidth="1"/>
    <col min="14858" max="14858" width="5.5" style="2956" bestFit="1" customWidth="1"/>
    <col min="14859" max="14859" width="16.875" style="2956" customWidth="1"/>
    <col min="14860" max="14860" width="4.875" style="2956" customWidth="1"/>
    <col min="14861" max="14861" width="21.625" style="2956" customWidth="1"/>
    <col min="14862" max="14862" width="19.125" style="2956" bestFit="1" customWidth="1"/>
    <col min="14863" max="14863" width="25.25" style="2956" customWidth="1"/>
    <col min="14864" max="14864" width="9.5" style="2956" bestFit="1" customWidth="1"/>
    <col min="14865" max="14865" width="20.5" style="2956" bestFit="1" customWidth="1"/>
    <col min="14866" max="15107" width="9" style="2956"/>
    <col min="15108" max="15108" width="7.375" style="2956" customWidth="1"/>
    <col min="15109" max="15109" width="25.625" style="2956" customWidth="1"/>
    <col min="15110" max="15110" width="9.75" style="2956" customWidth="1"/>
    <col min="15111" max="15111" width="19.75" style="2956" bestFit="1" customWidth="1"/>
    <col min="15112" max="15112" width="9.25" style="2956" customWidth="1"/>
    <col min="15113" max="15113" width="6.625" style="2956" customWidth="1"/>
    <col min="15114" max="15114" width="5.5" style="2956" bestFit="1" customWidth="1"/>
    <col min="15115" max="15115" width="16.875" style="2956" customWidth="1"/>
    <col min="15116" max="15116" width="4.875" style="2956" customWidth="1"/>
    <col min="15117" max="15117" width="21.625" style="2956" customWidth="1"/>
    <col min="15118" max="15118" width="19.125" style="2956" bestFit="1" customWidth="1"/>
    <col min="15119" max="15119" width="25.25" style="2956" customWidth="1"/>
    <col min="15120" max="15120" width="9.5" style="2956" bestFit="1" customWidth="1"/>
    <col min="15121" max="15121" width="20.5" style="2956" bestFit="1" customWidth="1"/>
    <col min="15122" max="15363" width="9" style="2956"/>
    <col min="15364" max="15364" width="7.375" style="2956" customWidth="1"/>
    <col min="15365" max="15365" width="25.625" style="2956" customWidth="1"/>
    <col min="15366" max="15366" width="9.75" style="2956" customWidth="1"/>
    <col min="15367" max="15367" width="19.75" style="2956" bestFit="1" customWidth="1"/>
    <col min="15368" max="15368" width="9.25" style="2956" customWidth="1"/>
    <col min="15369" max="15369" width="6.625" style="2956" customWidth="1"/>
    <col min="15370" max="15370" width="5.5" style="2956" bestFit="1" customWidth="1"/>
    <col min="15371" max="15371" width="16.875" style="2956" customWidth="1"/>
    <col min="15372" max="15372" width="4.875" style="2956" customWidth="1"/>
    <col min="15373" max="15373" width="21.625" style="2956" customWidth="1"/>
    <col min="15374" max="15374" width="19.125" style="2956" bestFit="1" customWidth="1"/>
    <col min="15375" max="15375" width="25.25" style="2956" customWidth="1"/>
    <col min="15376" max="15376" width="9.5" style="2956" bestFit="1" customWidth="1"/>
    <col min="15377" max="15377" width="20.5" style="2956" bestFit="1" customWidth="1"/>
    <col min="15378" max="15619" width="9" style="2956"/>
    <col min="15620" max="15620" width="7.375" style="2956" customWidth="1"/>
    <col min="15621" max="15621" width="25.625" style="2956" customWidth="1"/>
    <col min="15622" max="15622" width="9.75" style="2956" customWidth="1"/>
    <col min="15623" max="15623" width="19.75" style="2956" bestFit="1" customWidth="1"/>
    <col min="15624" max="15624" width="9.25" style="2956" customWidth="1"/>
    <col min="15625" max="15625" width="6.625" style="2956" customWidth="1"/>
    <col min="15626" max="15626" width="5.5" style="2956" bestFit="1" customWidth="1"/>
    <col min="15627" max="15627" width="16.875" style="2956" customWidth="1"/>
    <col min="15628" max="15628" width="4.875" style="2956" customWidth="1"/>
    <col min="15629" max="15629" width="21.625" style="2956" customWidth="1"/>
    <col min="15630" max="15630" width="19.125" style="2956" bestFit="1" customWidth="1"/>
    <col min="15631" max="15631" width="25.25" style="2956" customWidth="1"/>
    <col min="15632" max="15632" width="9.5" style="2956" bestFit="1" customWidth="1"/>
    <col min="15633" max="15633" width="20.5" style="2956" bestFit="1" customWidth="1"/>
    <col min="15634" max="15875" width="9" style="2956"/>
    <col min="15876" max="15876" width="7.375" style="2956" customWidth="1"/>
    <col min="15877" max="15877" width="25.625" style="2956" customWidth="1"/>
    <col min="15878" max="15878" width="9.75" style="2956" customWidth="1"/>
    <col min="15879" max="15879" width="19.75" style="2956" bestFit="1" customWidth="1"/>
    <col min="15880" max="15880" width="9.25" style="2956" customWidth="1"/>
    <col min="15881" max="15881" width="6.625" style="2956" customWidth="1"/>
    <col min="15882" max="15882" width="5.5" style="2956" bestFit="1" customWidth="1"/>
    <col min="15883" max="15883" width="16.875" style="2956" customWidth="1"/>
    <col min="15884" max="15884" width="4.875" style="2956" customWidth="1"/>
    <col min="15885" max="15885" width="21.625" style="2956" customWidth="1"/>
    <col min="15886" max="15886" width="19.125" style="2956" bestFit="1" customWidth="1"/>
    <col min="15887" max="15887" width="25.25" style="2956" customWidth="1"/>
    <col min="15888" max="15888" width="9.5" style="2956" bestFit="1" customWidth="1"/>
    <col min="15889" max="15889" width="20.5" style="2956" bestFit="1" customWidth="1"/>
    <col min="15890" max="16131" width="9" style="2956"/>
    <col min="16132" max="16132" width="7.375" style="2956" customWidth="1"/>
    <col min="16133" max="16133" width="25.625" style="2956" customWidth="1"/>
    <col min="16134" max="16134" width="9.75" style="2956" customWidth="1"/>
    <col min="16135" max="16135" width="19.75" style="2956" bestFit="1" customWidth="1"/>
    <col min="16136" max="16136" width="9.25" style="2956" customWidth="1"/>
    <col min="16137" max="16137" width="6.625" style="2956" customWidth="1"/>
    <col min="16138" max="16138" width="5.5" style="2956" bestFit="1" customWidth="1"/>
    <col min="16139" max="16139" width="16.875" style="2956" customWidth="1"/>
    <col min="16140" max="16140" width="4.875" style="2956" customWidth="1"/>
    <col min="16141" max="16141" width="21.625" style="2956" customWidth="1"/>
    <col min="16142" max="16142" width="19.125" style="2956" bestFit="1" customWidth="1"/>
    <col min="16143" max="16143" width="25.25" style="2956" customWidth="1"/>
    <col min="16144" max="16144" width="9.5" style="2956" bestFit="1" customWidth="1"/>
    <col min="16145" max="16145" width="20.5" style="2956" bestFit="1" customWidth="1"/>
    <col min="16146" max="16384" width="9" style="2956"/>
  </cols>
  <sheetData>
    <row r="1" spans="1:19" ht="31.5" customHeight="1">
      <c r="A1" s="2954"/>
      <c r="B1" s="3421" t="s">
        <v>3284</v>
      </c>
      <c r="C1" s="3422"/>
      <c r="D1" s="3422"/>
      <c r="E1" s="3422"/>
      <c r="F1" s="3422"/>
      <c r="G1" s="3422"/>
      <c r="H1" s="3422"/>
      <c r="I1" s="3422"/>
      <c r="J1" s="3422"/>
      <c r="K1" s="3422"/>
      <c r="L1" s="3422"/>
      <c r="M1" s="3422"/>
      <c r="N1" s="3422"/>
      <c r="O1" s="3422"/>
      <c r="P1" s="3422"/>
      <c r="Q1" s="3422"/>
      <c r="R1" s="2955"/>
      <c r="S1" s="2955"/>
    </row>
    <row r="2" spans="1:19">
      <c r="A2" s="2957" t="s">
        <v>3087</v>
      </c>
      <c r="B2" s="2958" t="s">
        <v>3088</v>
      </c>
      <c r="C2" s="2958" t="s">
        <v>3089</v>
      </c>
      <c r="D2" s="2958" t="s">
        <v>3090</v>
      </c>
      <c r="E2" s="2958" t="s">
        <v>3234</v>
      </c>
      <c r="F2" s="2958" t="s">
        <v>3091</v>
      </c>
      <c r="G2" s="2958" t="s">
        <v>3092</v>
      </c>
      <c r="H2" s="2958" t="s">
        <v>3093</v>
      </c>
      <c r="I2" s="2958" t="s">
        <v>3094</v>
      </c>
      <c r="J2" s="2958" t="s">
        <v>3095</v>
      </c>
      <c r="K2" s="2958" t="s">
        <v>3096</v>
      </c>
      <c r="L2" s="2958"/>
      <c r="M2" s="2959" t="s">
        <v>3097</v>
      </c>
      <c r="N2" s="3037" t="s">
        <v>3233</v>
      </c>
      <c r="O2" s="2958" t="s">
        <v>3098</v>
      </c>
      <c r="P2" s="2958" t="s">
        <v>3099</v>
      </c>
      <c r="Q2" s="2958" t="s">
        <v>3100</v>
      </c>
      <c r="R2" s="2956" t="s">
        <v>3271</v>
      </c>
    </row>
    <row r="3" spans="1:19" ht="67.5">
      <c r="A3" s="3423" t="s">
        <v>3101</v>
      </c>
      <c r="B3" s="2960" t="s">
        <v>3102</v>
      </c>
      <c r="C3" s="2960">
        <v>4100</v>
      </c>
      <c r="D3" s="3423" t="s">
        <v>3066</v>
      </c>
      <c r="E3" s="2960">
        <f t="shared" ref="E3:E10" si="0">ROUND(C3/$C$12*$F$3,0)</f>
        <v>4982</v>
      </c>
      <c r="F3" s="3423">
        <v>36541.65</v>
      </c>
      <c r="G3" s="3423" t="s">
        <v>3103</v>
      </c>
      <c r="H3" s="2960" t="s">
        <v>3104</v>
      </c>
      <c r="I3" s="2958" t="s">
        <v>3105</v>
      </c>
      <c r="J3" s="2958" t="s">
        <v>3106</v>
      </c>
      <c r="K3" s="2958" t="s">
        <v>3107</v>
      </c>
      <c r="L3" s="2958">
        <f t="shared" ref="L3:L11" si="1">ROUND(M3/C3/365,1)</f>
        <v>2</v>
      </c>
      <c r="M3" s="2959">
        <v>3000000</v>
      </c>
      <c r="N3" s="3037">
        <f>ROUND(2.121*C3*365/10000,0)</f>
        <v>317</v>
      </c>
      <c r="O3" s="2958" t="s">
        <v>3108</v>
      </c>
      <c r="P3" s="2958" t="s">
        <v>3109</v>
      </c>
      <c r="Q3" s="2958" t="s">
        <v>3110</v>
      </c>
      <c r="R3" s="2956">
        <f>0.05/3</f>
        <v>1.6666666666666666E-2</v>
      </c>
    </row>
    <row r="4" spans="1:19" ht="33.75">
      <c r="A4" s="3423"/>
      <c r="B4" s="2960" t="s">
        <v>3111</v>
      </c>
      <c r="C4" s="2960">
        <v>4383</v>
      </c>
      <c r="D4" s="3423"/>
      <c r="E4" s="2960">
        <f t="shared" si="0"/>
        <v>5326</v>
      </c>
      <c r="F4" s="3423"/>
      <c r="G4" s="3423"/>
      <c r="H4" s="2960" t="s">
        <v>3112</v>
      </c>
      <c r="I4" s="2958" t="s">
        <v>3113</v>
      </c>
      <c r="J4" s="2958" t="s">
        <v>3038</v>
      </c>
      <c r="K4" s="2958" t="s">
        <v>3114</v>
      </c>
      <c r="L4" s="2958">
        <f t="shared" si="1"/>
        <v>2.8</v>
      </c>
      <c r="M4" s="2959">
        <v>4450000</v>
      </c>
      <c r="N4" s="3037">
        <f>ROUND(2.78*C4*365/10000,0)</f>
        <v>445</v>
      </c>
      <c r="O4" s="2958" t="s">
        <v>3115</v>
      </c>
      <c r="P4" s="2958" t="s">
        <v>3116</v>
      </c>
      <c r="Q4" s="2958" t="s">
        <v>3117</v>
      </c>
      <c r="R4" s="2956">
        <v>0</v>
      </c>
    </row>
    <row r="5" spans="1:19" ht="26.25" customHeight="1">
      <c r="A5" s="3423"/>
      <c r="B5" s="2960" t="s">
        <v>3111</v>
      </c>
      <c r="C5" s="2960">
        <v>900</v>
      </c>
      <c r="D5" s="3423"/>
      <c r="E5" s="2960">
        <f t="shared" si="0"/>
        <v>1094</v>
      </c>
      <c r="F5" s="3423"/>
      <c r="G5" s="3423"/>
      <c r="H5" s="2960"/>
      <c r="I5" s="2958" t="s">
        <v>3118</v>
      </c>
      <c r="J5" s="2958" t="s">
        <v>3119</v>
      </c>
      <c r="K5" s="2958" t="s">
        <v>3120</v>
      </c>
      <c r="L5" s="2958">
        <f t="shared" si="1"/>
        <v>1.9</v>
      </c>
      <c r="M5" s="2959">
        <v>637300</v>
      </c>
      <c r="N5" s="3037">
        <f>ROUND(M5/10000,0)</f>
        <v>64</v>
      </c>
      <c r="O5" s="2958" t="s">
        <v>3121</v>
      </c>
      <c r="P5" s="2958" t="s">
        <v>3122</v>
      </c>
      <c r="Q5" s="2958"/>
      <c r="R5" s="2956">
        <v>0</v>
      </c>
    </row>
    <row r="6" spans="1:19" ht="67.5">
      <c r="A6" s="3423"/>
      <c r="B6" s="2960" t="s">
        <v>3123</v>
      </c>
      <c r="C6" s="2960">
        <v>4590</v>
      </c>
      <c r="D6" s="3423"/>
      <c r="E6" s="2960">
        <f t="shared" si="0"/>
        <v>5577</v>
      </c>
      <c r="F6" s="3423"/>
      <c r="G6" s="2960" t="s">
        <v>3124</v>
      </c>
      <c r="H6" s="2960" t="s">
        <v>3104</v>
      </c>
      <c r="I6" s="2958" t="s">
        <v>3125</v>
      </c>
      <c r="J6" s="2958" t="s">
        <v>3126</v>
      </c>
      <c r="K6" s="2961" t="s">
        <v>3127</v>
      </c>
      <c r="L6" s="2958">
        <f t="shared" si="1"/>
        <v>2.4</v>
      </c>
      <c r="M6" s="2959">
        <v>4100000</v>
      </c>
      <c r="N6" s="3037">
        <f>ROUND(2.52*C6*365/10000,0)</f>
        <v>422</v>
      </c>
      <c r="O6" s="2958" t="s">
        <v>3128</v>
      </c>
      <c r="P6" s="2958" t="s">
        <v>3129</v>
      </c>
      <c r="Q6" s="2958" t="s">
        <v>3130</v>
      </c>
      <c r="R6" s="2956">
        <f>0.03/3</f>
        <v>0.01</v>
      </c>
    </row>
    <row r="7" spans="1:19" s="2966" customFormat="1" ht="26.25" customHeight="1">
      <c r="A7" s="3423"/>
      <c r="B7" s="2962" t="s">
        <v>3131</v>
      </c>
      <c r="C7" s="2963">
        <v>5000</v>
      </c>
      <c r="D7" s="3423"/>
      <c r="E7" s="2960">
        <f t="shared" si="0"/>
        <v>6075</v>
      </c>
      <c r="F7" s="3423"/>
      <c r="G7" s="2963" t="s">
        <v>3132</v>
      </c>
      <c r="H7" s="2962" t="s">
        <v>3133</v>
      </c>
      <c r="I7" s="2964" t="s">
        <v>3134</v>
      </c>
      <c r="J7" s="2964" t="s">
        <v>3135</v>
      </c>
      <c r="K7" s="2964"/>
      <c r="L7" s="2958">
        <f t="shared" si="1"/>
        <v>2</v>
      </c>
      <c r="M7" s="2965">
        <v>3600000</v>
      </c>
      <c r="N7" s="3037">
        <f>ROUND(M7/10000,0)</f>
        <v>360</v>
      </c>
      <c r="O7" s="2964"/>
      <c r="P7" s="2962">
        <v>0</v>
      </c>
      <c r="Q7" s="2964"/>
      <c r="R7" s="2966">
        <v>0</v>
      </c>
    </row>
    <row r="8" spans="1:19" ht="26.25" customHeight="1">
      <c r="A8" s="3423" t="s">
        <v>3069</v>
      </c>
      <c r="B8" s="2960" t="s">
        <v>3136</v>
      </c>
      <c r="C8" s="2960">
        <v>2952.45</v>
      </c>
      <c r="D8" s="3423"/>
      <c r="E8" s="2960">
        <f t="shared" si="0"/>
        <v>3587</v>
      </c>
      <c r="F8" s="3423"/>
      <c r="G8" s="3423" t="s">
        <v>3137</v>
      </c>
      <c r="H8" s="2960" t="s">
        <v>3138</v>
      </c>
      <c r="I8" s="2958" t="s">
        <v>3139</v>
      </c>
      <c r="J8" s="2958" t="s">
        <v>3038</v>
      </c>
      <c r="K8" s="2958" t="s">
        <v>3140</v>
      </c>
      <c r="L8" s="2958">
        <f t="shared" si="1"/>
        <v>3</v>
      </c>
      <c r="M8" s="2959">
        <v>3234000</v>
      </c>
      <c r="N8" s="3037">
        <f>ROUND(M8/10000,0)</f>
        <v>323</v>
      </c>
      <c r="O8" s="2958" t="s">
        <v>3141</v>
      </c>
      <c r="P8" s="2958">
        <v>0</v>
      </c>
      <c r="Q8" s="2958" t="s">
        <v>3142</v>
      </c>
      <c r="R8" s="2956">
        <v>0</v>
      </c>
    </row>
    <row r="9" spans="1:19" ht="26.25" customHeight="1">
      <c r="A9" s="3423"/>
      <c r="B9" s="2960" t="s">
        <v>3143</v>
      </c>
      <c r="C9" s="2960">
        <v>4068.25</v>
      </c>
      <c r="D9" s="3423"/>
      <c r="E9" s="2960">
        <f t="shared" si="0"/>
        <v>4943</v>
      </c>
      <c r="F9" s="3423"/>
      <c r="G9" s="3423"/>
      <c r="H9" s="2960" t="s">
        <v>3138</v>
      </c>
      <c r="I9" s="2958" t="s">
        <v>3144</v>
      </c>
      <c r="J9" s="2958" t="s">
        <v>3038</v>
      </c>
      <c r="K9" s="2958" t="s">
        <v>3145</v>
      </c>
      <c r="L9" s="2958">
        <f t="shared" si="1"/>
        <v>2.6</v>
      </c>
      <c r="M9" s="2959">
        <v>3864000</v>
      </c>
      <c r="N9" s="3037">
        <f>ROUND(M9/10000,0)</f>
        <v>386</v>
      </c>
      <c r="O9" s="2958" t="s">
        <v>3146</v>
      </c>
      <c r="P9" s="2958">
        <v>0</v>
      </c>
      <c r="Q9" s="2958" t="s">
        <v>3147</v>
      </c>
      <c r="R9" s="2956">
        <v>0</v>
      </c>
    </row>
    <row r="10" spans="1:19" ht="26.25" customHeight="1">
      <c r="A10" s="3423"/>
      <c r="B10" s="2960" t="s">
        <v>3148</v>
      </c>
      <c r="C10" s="2960">
        <v>2485.98</v>
      </c>
      <c r="D10" s="3423"/>
      <c r="E10" s="2960">
        <f t="shared" si="0"/>
        <v>3021</v>
      </c>
      <c r="F10" s="3423"/>
      <c r="G10" s="3423" t="s">
        <v>3149</v>
      </c>
      <c r="H10" s="2960" t="s">
        <v>3138</v>
      </c>
      <c r="I10" s="2958" t="s">
        <v>3139</v>
      </c>
      <c r="J10" s="2958" t="s">
        <v>3038</v>
      </c>
      <c r="K10" s="2958" t="s">
        <v>3150</v>
      </c>
      <c r="L10" s="2958">
        <f t="shared" si="1"/>
        <v>3.3</v>
      </c>
      <c r="M10" s="2959">
        <v>2982000</v>
      </c>
      <c r="N10" s="3037">
        <f>ROUND(M10/10000,0)</f>
        <v>298</v>
      </c>
      <c r="O10" s="2958" t="s">
        <v>3141</v>
      </c>
      <c r="P10" s="2958">
        <v>0</v>
      </c>
      <c r="Q10" s="2958" t="s">
        <v>3151</v>
      </c>
      <c r="R10" s="2956">
        <v>0</v>
      </c>
    </row>
    <row r="11" spans="1:19" ht="26.25" customHeight="1">
      <c r="A11" s="3423"/>
      <c r="B11" s="2960" t="s">
        <v>3152</v>
      </c>
      <c r="C11" s="2960">
        <v>1594.81</v>
      </c>
      <c r="D11" s="3423"/>
      <c r="E11" s="2960">
        <f>F12-E12</f>
        <v>1936.6500000000015</v>
      </c>
      <c r="F11" s="3423"/>
      <c r="G11" s="3423"/>
      <c r="H11" s="2960" t="s">
        <v>3138</v>
      </c>
      <c r="I11" s="2990" t="s">
        <v>3139</v>
      </c>
      <c r="J11" s="2958" t="s">
        <v>3038</v>
      </c>
      <c r="K11" s="2958" t="s">
        <v>3153</v>
      </c>
      <c r="L11" s="2958">
        <f t="shared" si="1"/>
        <v>2.5</v>
      </c>
      <c r="M11" s="2959">
        <v>1428000</v>
      </c>
      <c r="N11" s="3037">
        <f>ROUND(M11/10000,0)</f>
        <v>143</v>
      </c>
      <c r="O11" s="2958" t="s">
        <v>3154</v>
      </c>
      <c r="P11" s="2958">
        <v>0</v>
      </c>
      <c r="Q11" s="2958" t="s">
        <v>3155</v>
      </c>
      <c r="R11" s="2956">
        <v>0</v>
      </c>
    </row>
    <row r="12" spans="1:19" s="2972" customFormat="1" ht="26.25" customHeight="1">
      <c r="A12" s="2967"/>
      <c r="B12" s="2968" t="s">
        <v>37</v>
      </c>
      <c r="C12" s="2969">
        <f>SUM(C3:C11)</f>
        <v>30074.49</v>
      </c>
      <c r="D12" s="2969"/>
      <c r="E12" s="2969">
        <f>SUM(E3:E10)</f>
        <v>34605</v>
      </c>
      <c r="F12" s="2969">
        <v>36541.65</v>
      </c>
      <c r="G12" s="2969"/>
      <c r="H12" s="2968"/>
      <c r="I12" s="2970"/>
      <c r="J12" s="2970"/>
      <c r="K12" s="2970"/>
      <c r="L12" s="2958" t="s">
        <v>3270</v>
      </c>
      <c r="M12" s="2971">
        <f>SUM(M3:M11)</f>
        <v>27295300</v>
      </c>
      <c r="N12" s="3038"/>
      <c r="O12" s="2970"/>
      <c r="P12" s="2968"/>
      <c r="Q12" s="2970"/>
    </row>
    <row r="13" spans="1:19" ht="26.25" customHeight="1">
      <c r="A13" s="2973"/>
      <c r="B13" s="2960" t="s">
        <v>3156</v>
      </c>
      <c r="C13" s="2960">
        <v>8340.06</v>
      </c>
      <c r="D13" s="2960" t="s">
        <v>3063</v>
      </c>
      <c r="E13" s="2960">
        <f>F13</f>
        <v>8078.12</v>
      </c>
      <c r="F13" s="2960">
        <v>8078.12</v>
      </c>
      <c r="G13" s="2960" t="s">
        <v>3157</v>
      </c>
      <c r="H13" s="2960" t="s">
        <v>3158</v>
      </c>
      <c r="I13" s="2958" t="s">
        <v>3159</v>
      </c>
      <c r="J13" s="2958" t="s">
        <v>3160</v>
      </c>
      <c r="K13" s="2958" t="s">
        <v>3161</v>
      </c>
      <c r="L13" s="2958">
        <f>ROUND(M13/C13/365,1)</f>
        <v>3.9</v>
      </c>
      <c r="M13" s="2959">
        <v>12000000</v>
      </c>
      <c r="N13" s="3037">
        <f>ROUND(M13*(1+10%)^5/10000,0)</f>
        <v>1933</v>
      </c>
      <c r="O13" s="2958" t="s">
        <v>3162</v>
      </c>
      <c r="P13" s="2958">
        <v>2000000</v>
      </c>
      <c r="Q13" s="2958" t="s">
        <v>3163</v>
      </c>
      <c r="R13" s="2956">
        <v>0.1</v>
      </c>
    </row>
    <row r="14" spans="1:19" s="2977" customFormat="1" ht="26.25" customHeight="1">
      <c r="A14" s="2974"/>
      <c r="B14" s="2975" t="s">
        <v>37</v>
      </c>
      <c r="C14" s="2975">
        <f>C13</f>
        <v>8340.06</v>
      </c>
      <c r="D14" s="2975"/>
      <c r="E14" s="2975"/>
      <c r="F14" s="2975">
        <f>F13</f>
        <v>8078.12</v>
      </c>
      <c r="G14" s="2975"/>
      <c r="H14" s="2975"/>
      <c r="I14" s="2975"/>
      <c r="J14" s="2975"/>
      <c r="K14" s="2975"/>
      <c r="L14" s="2958" t="s">
        <v>3270</v>
      </c>
      <c r="M14" s="2976">
        <f>M13</f>
        <v>12000000</v>
      </c>
      <c r="N14" s="3039"/>
      <c r="O14" s="2975"/>
      <c r="P14" s="2975"/>
      <c r="Q14" s="2975"/>
    </row>
    <row r="15" spans="1:19" s="2981" customFormat="1" ht="26.25" customHeight="1">
      <c r="A15" s="3418" t="s">
        <v>3164</v>
      </c>
      <c r="B15" s="2978" t="s">
        <v>3165</v>
      </c>
      <c r="C15" s="2978">
        <v>1768.93</v>
      </c>
      <c r="D15" s="3419" t="s">
        <v>3166</v>
      </c>
      <c r="E15" s="2985"/>
      <c r="F15" s="3419">
        <v>15438.1</v>
      </c>
      <c r="G15" s="3420" t="s">
        <v>3167</v>
      </c>
      <c r="H15" s="2978" t="s">
        <v>3158</v>
      </c>
      <c r="I15" s="2978" t="s">
        <v>3168</v>
      </c>
      <c r="J15" s="2978" t="s">
        <v>3038</v>
      </c>
      <c r="K15" s="2978">
        <v>6.9</v>
      </c>
      <c r="L15" s="3052"/>
      <c r="M15" s="2979">
        <f>C15*K15*365</f>
        <v>4455050.2050000001</v>
      </c>
      <c r="N15" s="3037" t="s">
        <v>3235</v>
      </c>
      <c r="O15" s="2978" t="s">
        <v>3121</v>
      </c>
      <c r="P15" s="2978">
        <v>0</v>
      </c>
      <c r="Q15" s="2980" t="s">
        <v>3169</v>
      </c>
    </row>
    <row r="16" spans="1:19" s="2981" customFormat="1" ht="26.25" customHeight="1">
      <c r="A16" s="3418"/>
      <c r="B16" s="2978" t="s">
        <v>3170</v>
      </c>
      <c r="C16" s="2978">
        <v>1345</v>
      </c>
      <c r="D16" s="3419"/>
      <c r="E16" s="2985"/>
      <c r="F16" s="3419"/>
      <c r="G16" s="3420"/>
      <c r="H16" s="2978" t="s">
        <v>3158</v>
      </c>
      <c r="I16" s="2978" t="s">
        <v>3171</v>
      </c>
      <c r="J16" s="2978" t="s">
        <v>3038</v>
      </c>
      <c r="K16" s="2978">
        <v>7.2</v>
      </c>
      <c r="L16" s="3052"/>
      <c r="M16" s="2979">
        <f t="shared" ref="M16:M23" si="2">C16*K16*365</f>
        <v>3534660</v>
      </c>
      <c r="N16" s="3040"/>
      <c r="O16" s="2978" t="s">
        <v>3121</v>
      </c>
      <c r="P16" s="2978">
        <v>0</v>
      </c>
      <c r="Q16" s="2980" t="s">
        <v>3169</v>
      </c>
    </row>
    <row r="17" spans="1:18" s="2981" customFormat="1" ht="26.25" customHeight="1">
      <c r="A17" s="3418"/>
      <c r="B17" s="2978" t="s">
        <v>3172</v>
      </c>
      <c r="C17" s="2978">
        <v>1540</v>
      </c>
      <c r="D17" s="3419"/>
      <c r="E17" s="2985"/>
      <c r="F17" s="3419"/>
      <c r="G17" s="3420"/>
      <c r="H17" s="2978" t="s">
        <v>3158</v>
      </c>
      <c r="I17" s="2978" t="s">
        <v>3173</v>
      </c>
      <c r="J17" s="2978" t="s">
        <v>3038</v>
      </c>
      <c r="K17" s="2978">
        <v>7.2</v>
      </c>
      <c r="L17" s="3052"/>
      <c r="M17" s="2979">
        <f t="shared" si="2"/>
        <v>4047120</v>
      </c>
      <c r="N17" s="3040"/>
      <c r="O17" s="2978" t="s">
        <v>3121</v>
      </c>
      <c r="P17" s="2978">
        <v>0</v>
      </c>
      <c r="Q17" s="2980" t="s">
        <v>3174</v>
      </c>
    </row>
    <row r="18" spans="1:18" s="2981" customFormat="1" ht="26.25" customHeight="1">
      <c r="A18" s="3418"/>
      <c r="B18" s="2978" t="s">
        <v>3175</v>
      </c>
      <c r="C18" s="2978">
        <v>1450</v>
      </c>
      <c r="D18" s="3419"/>
      <c r="E18" s="2985"/>
      <c r="F18" s="3419"/>
      <c r="G18" s="3420"/>
      <c r="H18" s="2978" t="s">
        <v>3158</v>
      </c>
      <c r="I18" s="2978" t="s">
        <v>3176</v>
      </c>
      <c r="J18" s="2978" t="s">
        <v>3038</v>
      </c>
      <c r="K18" s="2978">
        <v>7.2</v>
      </c>
      <c r="L18" s="3052"/>
      <c r="M18" s="2979">
        <f t="shared" si="2"/>
        <v>3810600</v>
      </c>
      <c r="N18" s="3040"/>
      <c r="O18" s="2978" t="s">
        <v>3121</v>
      </c>
      <c r="P18" s="2978">
        <v>0</v>
      </c>
      <c r="Q18" s="2980" t="s">
        <v>3174</v>
      </c>
    </row>
    <row r="19" spans="1:18" s="2981" customFormat="1" ht="26.25" customHeight="1">
      <c r="A19" s="3418"/>
      <c r="B19" s="2978" t="s">
        <v>3177</v>
      </c>
      <c r="C19" s="2978">
        <v>1780</v>
      </c>
      <c r="D19" s="3419"/>
      <c r="E19" s="2985"/>
      <c r="F19" s="3419"/>
      <c r="G19" s="3420"/>
      <c r="H19" s="2978" t="s">
        <v>3158</v>
      </c>
      <c r="I19" s="2978" t="s">
        <v>3178</v>
      </c>
      <c r="J19" s="2978" t="s">
        <v>3038</v>
      </c>
      <c r="K19" s="2978">
        <v>7.2</v>
      </c>
      <c r="L19" s="3052"/>
      <c r="M19" s="2979">
        <f t="shared" si="2"/>
        <v>4677840</v>
      </c>
      <c r="N19" s="3040"/>
      <c r="O19" s="2978" t="s">
        <v>3121</v>
      </c>
      <c r="P19" s="2978">
        <v>0</v>
      </c>
      <c r="Q19" s="2980" t="s">
        <v>3179</v>
      </c>
    </row>
    <row r="20" spans="1:18" s="2981" customFormat="1" ht="26.25" customHeight="1">
      <c r="A20" s="3418"/>
      <c r="B20" s="2980" t="s">
        <v>3180</v>
      </c>
      <c r="C20" s="2980">
        <v>1445.67</v>
      </c>
      <c r="D20" s="3419"/>
      <c r="E20" s="2985"/>
      <c r="F20" s="3419"/>
      <c r="G20" s="3420"/>
      <c r="H20" s="2978" t="s">
        <v>3158</v>
      </c>
      <c r="I20" s="2980" t="s">
        <v>3181</v>
      </c>
      <c r="J20" s="2980" t="s">
        <v>3038</v>
      </c>
      <c r="K20" s="2978">
        <v>7.2</v>
      </c>
      <c r="L20" s="3052"/>
      <c r="M20" s="2979">
        <f t="shared" si="2"/>
        <v>3799220.7600000002</v>
      </c>
      <c r="N20" s="3040"/>
      <c r="O20" s="2978" t="s">
        <v>3121</v>
      </c>
      <c r="P20" s="2980">
        <v>0</v>
      </c>
      <c r="Q20" s="2980" t="s">
        <v>3174</v>
      </c>
    </row>
    <row r="21" spans="1:18" s="2981" customFormat="1" ht="26.25" customHeight="1">
      <c r="A21" s="3418"/>
      <c r="B21" s="2980" t="s">
        <v>3182</v>
      </c>
      <c r="C21" s="2980">
        <v>1516.9</v>
      </c>
      <c r="D21" s="3419"/>
      <c r="E21" s="2985"/>
      <c r="F21" s="3419"/>
      <c r="G21" s="3420"/>
      <c r="H21" s="2978" t="s">
        <v>3158</v>
      </c>
      <c r="I21" s="2980" t="s">
        <v>3181</v>
      </c>
      <c r="J21" s="2980" t="s">
        <v>3038</v>
      </c>
      <c r="K21" s="2978">
        <v>7.2</v>
      </c>
      <c r="L21" s="3052"/>
      <c r="M21" s="2979">
        <f t="shared" si="2"/>
        <v>3986413.2</v>
      </c>
      <c r="N21" s="3040"/>
      <c r="O21" s="2978" t="s">
        <v>3121</v>
      </c>
      <c r="P21" s="2980">
        <v>0</v>
      </c>
      <c r="Q21" s="2980" t="s">
        <v>3179</v>
      </c>
    </row>
    <row r="22" spans="1:18" s="2981" customFormat="1" ht="26.25" customHeight="1">
      <c r="A22" s="3418"/>
      <c r="B22" s="2980" t="s">
        <v>3183</v>
      </c>
      <c r="C22" s="2980">
        <v>1423.07</v>
      </c>
      <c r="D22" s="3419"/>
      <c r="E22" s="2985"/>
      <c r="F22" s="3419"/>
      <c r="G22" s="3420"/>
      <c r="H22" s="2978" t="s">
        <v>3158</v>
      </c>
      <c r="I22" s="2980" t="s">
        <v>3181</v>
      </c>
      <c r="J22" s="2980" t="s">
        <v>3038</v>
      </c>
      <c r="K22" s="2978">
        <v>7.2</v>
      </c>
      <c r="L22" s="3052"/>
      <c r="M22" s="2979">
        <f t="shared" si="2"/>
        <v>3739827.96</v>
      </c>
      <c r="N22" s="3040"/>
      <c r="O22" s="2978" t="s">
        <v>3121</v>
      </c>
      <c r="P22" s="2980">
        <v>0</v>
      </c>
      <c r="Q22" s="2980" t="s">
        <v>3169</v>
      </c>
    </row>
    <row r="23" spans="1:18" s="2981" customFormat="1" ht="26.25" customHeight="1">
      <c r="A23" s="3418"/>
      <c r="B23" s="2980" t="s">
        <v>3184</v>
      </c>
      <c r="C23" s="2980">
        <v>938</v>
      </c>
      <c r="D23" s="3419"/>
      <c r="E23" s="2985"/>
      <c r="F23" s="3419"/>
      <c r="G23" s="3420"/>
      <c r="H23" s="2978" t="s">
        <v>3158</v>
      </c>
      <c r="I23" s="2980" t="s">
        <v>3185</v>
      </c>
      <c r="J23" s="2980" t="s">
        <v>3038</v>
      </c>
      <c r="K23" s="2978">
        <v>8.9</v>
      </c>
      <c r="L23" s="3052"/>
      <c r="M23" s="2979">
        <f t="shared" si="2"/>
        <v>3047093.0000000005</v>
      </c>
      <c r="N23" s="3040"/>
      <c r="O23" s="2978" t="s">
        <v>3121</v>
      </c>
      <c r="P23" s="2980">
        <v>0</v>
      </c>
      <c r="Q23" s="2980" t="s">
        <v>3179</v>
      </c>
    </row>
    <row r="24" spans="1:18" ht="50.25" customHeight="1">
      <c r="A24" s="2958" t="s">
        <v>3186</v>
      </c>
      <c r="B24" s="2958" t="s">
        <v>3187</v>
      </c>
      <c r="C24" s="2958">
        <v>2230.5300000000002</v>
      </c>
      <c r="D24" s="3419"/>
      <c r="E24" s="2985">
        <f>C24</f>
        <v>2230.5300000000002</v>
      </c>
      <c r="F24" s="3419"/>
      <c r="G24" s="2958" t="s">
        <v>3188</v>
      </c>
      <c r="H24" s="2958" t="s">
        <v>3189</v>
      </c>
      <c r="I24" s="2958" t="s">
        <v>3190</v>
      </c>
      <c r="J24" s="2958" t="s">
        <v>3191</v>
      </c>
      <c r="K24" s="2958" t="s">
        <v>3192</v>
      </c>
      <c r="L24" s="2958"/>
      <c r="M24" s="2959">
        <v>3818820</v>
      </c>
      <c r="N24" s="3037">
        <f>ROUND(M24/10000,0)</f>
        <v>382</v>
      </c>
      <c r="O24" s="2958" t="s">
        <v>3193</v>
      </c>
      <c r="P24" s="2958">
        <v>954705</v>
      </c>
      <c r="Q24" s="2958" t="s">
        <v>3194</v>
      </c>
      <c r="R24" s="2956">
        <v>0</v>
      </c>
    </row>
    <row r="25" spans="1:18" ht="26.25" customHeight="1">
      <c r="A25" s="2958"/>
      <c r="B25" s="2975" t="s">
        <v>37</v>
      </c>
      <c r="C25" s="2975">
        <f>SUM(C15:C24)</f>
        <v>15438.1</v>
      </c>
      <c r="D25" s="2982">
        <f>F25-C25</f>
        <v>0</v>
      </c>
      <c r="E25" s="2982"/>
      <c r="F25" s="2982">
        <f>F15</f>
        <v>15438.1</v>
      </c>
      <c r="G25" s="2975"/>
      <c r="H25" s="2975"/>
      <c r="I25" s="2975"/>
      <c r="J25" s="2975"/>
      <c r="K25" s="2975"/>
      <c r="L25" s="2975"/>
      <c r="M25" s="2976">
        <f>SUM(M15:M24)</f>
        <v>38916645.125</v>
      </c>
      <c r="N25" s="3039"/>
      <c r="O25" s="2975"/>
      <c r="P25" s="2958"/>
      <c r="Q25" s="2958"/>
    </row>
    <row r="26" spans="1:18" ht="26.25" customHeight="1">
      <c r="A26" s="2958"/>
      <c r="B26" s="2983" t="s">
        <v>3195</v>
      </c>
      <c r="C26" s="2983"/>
      <c r="D26" s="2984"/>
      <c r="E26" s="2984"/>
      <c r="F26" s="2985"/>
      <c r="G26" s="2958"/>
      <c r="H26" s="2983"/>
      <c r="I26" s="2983" t="s">
        <v>3196</v>
      </c>
      <c r="J26" s="2983"/>
      <c r="K26" s="2983"/>
      <c r="L26" s="2983"/>
      <c r="M26" s="2986">
        <v>6000000</v>
      </c>
      <c r="N26" s="3037">
        <v>600</v>
      </c>
      <c r="O26" s="2983" t="s">
        <v>3197</v>
      </c>
      <c r="P26" s="2983">
        <v>6000000</v>
      </c>
      <c r="Q26" s="2983" t="s">
        <v>3198</v>
      </c>
      <c r="R26" s="2956">
        <v>0</v>
      </c>
    </row>
    <row r="27" spans="1:18" ht="26.25" customHeight="1">
      <c r="A27" s="2958"/>
      <c r="B27" s="2958" t="s">
        <v>3199</v>
      </c>
      <c r="C27" s="2958"/>
      <c r="D27" s="2958"/>
      <c r="E27" s="2958"/>
      <c r="F27" s="2958"/>
      <c r="G27" s="2958"/>
      <c r="H27" s="2958"/>
      <c r="I27" s="2958"/>
      <c r="J27" s="2958"/>
      <c r="K27" s="2958"/>
      <c r="L27" s="2958"/>
      <c r="M27" s="2959">
        <v>6000000</v>
      </c>
      <c r="N27" s="3037" t="s">
        <v>3270</v>
      </c>
      <c r="O27" s="2958"/>
      <c r="P27" s="2958"/>
      <c r="Q27" s="2958"/>
    </row>
    <row r="28" spans="1:18" ht="26.25" customHeight="1">
      <c r="A28" s="2957" t="s">
        <v>37</v>
      </c>
      <c r="B28" s="2987"/>
      <c r="C28" s="2983">
        <f>SUM(C7:C25)</f>
        <v>93732.3</v>
      </c>
      <c r="D28" s="2983"/>
      <c r="E28" s="2983"/>
      <c r="F28" s="2983">
        <f>F12+F14+F25</f>
        <v>60057.87</v>
      </c>
      <c r="G28" s="2983"/>
      <c r="H28" s="2987"/>
      <c r="I28" s="2987"/>
      <c r="J28" s="2987"/>
      <c r="K28" s="2987"/>
      <c r="L28" s="2987"/>
      <c r="M28" s="2986">
        <f>M12+M14+M25+M26+M27</f>
        <v>90211945.125</v>
      </c>
      <c r="N28" s="3037"/>
      <c r="O28" s="2987"/>
      <c r="P28" s="2987"/>
      <c r="Q28" s="2987"/>
    </row>
    <row r="29" spans="1:18">
      <c r="C29" s="2956">
        <f>C12+C14+C24</f>
        <v>40645.08</v>
      </c>
    </row>
    <row r="30" spans="1:18" s="2981" customFormat="1">
      <c r="M30" s="2988" t="s">
        <v>3236</v>
      </c>
      <c r="N30" s="3041">
        <f>SUM(N3:N28)</f>
        <v>5673</v>
      </c>
      <c r="R30" s="2981">
        <f>ROUND(C3/C29*R3+C6/C29*R6+C13/C29*R13,3)</f>
        <v>2.3E-2</v>
      </c>
    </row>
    <row r="31" spans="1:18">
      <c r="M31" s="2989" t="s">
        <v>3237</v>
      </c>
      <c r="N31" s="3041">
        <f>'数据-汇总表'!E3</f>
        <v>5755.45</v>
      </c>
    </row>
    <row r="32" spans="1:18">
      <c r="M32" s="2989" t="s">
        <v>3238</v>
      </c>
      <c r="N32" s="3042">
        <f>ROUND(N30*10000/N31/365,1)</f>
        <v>27</v>
      </c>
      <c r="O32" s="2989"/>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3" customWidth="1"/>
    <col min="2" max="2" width="18.75" style="2993" customWidth="1"/>
    <col min="3" max="5" width="14.25" style="2993" customWidth="1"/>
    <col min="6" max="6" width="11" style="2993" customWidth="1"/>
    <col min="7" max="7" width="9" style="2993"/>
    <col min="8" max="8" width="13.75" style="2993" customWidth="1"/>
    <col min="9" max="256" width="9" style="2993"/>
    <col min="257" max="257" width="14.25" style="2993" customWidth="1"/>
    <col min="258" max="258" width="18.75" style="2993" customWidth="1"/>
    <col min="259" max="261" width="14.25" style="2993" customWidth="1"/>
    <col min="262" max="262" width="11" style="2993" customWidth="1"/>
    <col min="263" max="263" width="9" style="2993"/>
    <col min="264" max="264" width="13.75" style="2993" customWidth="1"/>
    <col min="265" max="512" width="9" style="2993"/>
    <col min="513" max="513" width="14.25" style="2993" customWidth="1"/>
    <col min="514" max="514" width="18.75" style="2993" customWidth="1"/>
    <col min="515" max="517" width="14.25" style="2993" customWidth="1"/>
    <col min="518" max="518" width="11" style="2993" customWidth="1"/>
    <col min="519" max="519" width="9" style="2993"/>
    <col min="520" max="520" width="13.75" style="2993" customWidth="1"/>
    <col min="521" max="768" width="9" style="2993"/>
    <col min="769" max="769" width="14.25" style="2993" customWidth="1"/>
    <col min="770" max="770" width="18.75" style="2993" customWidth="1"/>
    <col min="771" max="773" width="14.25" style="2993" customWidth="1"/>
    <col min="774" max="774" width="11" style="2993" customWidth="1"/>
    <col min="775" max="775" width="9" style="2993"/>
    <col min="776" max="776" width="13.75" style="2993" customWidth="1"/>
    <col min="777" max="1024" width="9" style="2993"/>
    <col min="1025" max="1025" width="14.25" style="2993" customWidth="1"/>
    <col min="1026" max="1026" width="18.75" style="2993" customWidth="1"/>
    <col min="1027" max="1029" width="14.25" style="2993" customWidth="1"/>
    <col min="1030" max="1030" width="11" style="2993" customWidth="1"/>
    <col min="1031" max="1031" width="9" style="2993"/>
    <col min="1032" max="1032" width="13.75" style="2993" customWidth="1"/>
    <col min="1033" max="1280" width="9" style="2993"/>
    <col min="1281" max="1281" width="14.25" style="2993" customWidth="1"/>
    <col min="1282" max="1282" width="18.75" style="2993" customWidth="1"/>
    <col min="1283" max="1285" width="14.25" style="2993" customWidth="1"/>
    <col min="1286" max="1286" width="11" style="2993" customWidth="1"/>
    <col min="1287" max="1287" width="9" style="2993"/>
    <col min="1288" max="1288" width="13.75" style="2993" customWidth="1"/>
    <col min="1289" max="1536" width="9" style="2993"/>
    <col min="1537" max="1537" width="14.25" style="2993" customWidth="1"/>
    <col min="1538" max="1538" width="18.75" style="2993" customWidth="1"/>
    <col min="1539" max="1541" width="14.25" style="2993" customWidth="1"/>
    <col min="1542" max="1542" width="11" style="2993" customWidth="1"/>
    <col min="1543" max="1543" width="9" style="2993"/>
    <col min="1544" max="1544" width="13.75" style="2993" customWidth="1"/>
    <col min="1545" max="1792" width="9" style="2993"/>
    <col min="1793" max="1793" width="14.25" style="2993" customWidth="1"/>
    <col min="1794" max="1794" width="18.75" style="2993" customWidth="1"/>
    <col min="1795" max="1797" width="14.25" style="2993" customWidth="1"/>
    <col min="1798" max="1798" width="11" style="2993" customWidth="1"/>
    <col min="1799" max="1799" width="9" style="2993"/>
    <col min="1800" max="1800" width="13.75" style="2993" customWidth="1"/>
    <col min="1801" max="2048" width="9" style="2993"/>
    <col min="2049" max="2049" width="14.25" style="2993" customWidth="1"/>
    <col min="2050" max="2050" width="18.75" style="2993" customWidth="1"/>
    <col min="2051" max="2053" width="14.25" style="2993" customWidth="1"/>
    <col min="2054" max="2054" width="11" style="2993" customWidth="1"/>
    <col min="2055" max="2055" width="9" style="2993"/>
    <col min="2056" max="2056" width="13.75" style="2993" customWidth="1"/>
    <col min="2057" max="2304" width="9" style="2993"/>
    <col min="2305" max="2305" width="14.25" style="2993" customWidth="1"/>
    <col min="2306" max="2306" width="18.75" style="2993" customWidth="1"/>
    <col min="2307" max="2309" width="14.25" style="2993" customWidth="1"/>
    <col min="2310" max="2310" width="11" style="2993" customWidth="1"/>
    <col min="2311" max="2311" width="9" style="2993"/>
    <col min="2312" max="2312" width="13.75" style="2993" customWidth="1"/>
    <col min="2313" max="2560" width="9" style="2993"/>
    <col min="2561" max="2561" width="14.25" style="2993" customWidth="1"/>
    <col min="2562" max="2562" width="18.75" style="2993" customWidth="1"/>
    <col min="2563" max="2565" width="14.25" style="2993" customWidth="1"/>
    <col min="2566" max="2566" width="11" style="2993" customWidth="1"/>
    <col min="2567" max="2567" width="9" style="2993"/>
    <col min="2568" max="2568" width="13.75" style="2993" customWidth="1"/>
    <col min="2569" max="2816" width="9" style="2993"/>
    <col min="2817" max="2817" width="14.25" style="2993" customWidth="1"/>
    <col min="2818" max="2818" width="18.75" style="2993" customWidth="1"/>
    <col min="2819" max="2821" width="14.25" style="2993" customWidth="1"/>
    <col min="2822" max="2822" width="11" style="2993" customWidth="1"/>
    <col min="2823" max="2823" width="9" style="2993"/>
    <col min="2824" max="2824" width="13.75" style="2993" customWidth="1"/>
    <col min="2825" max="3072" width="9" style="2993"/>
    <col min="3073" max="3073" width="14.25" style="2993" customWidth="1"/>
    <col min="3074" max="3074" width="18.75" style="2993" customWidth="1"/>
    <col min="3075" max="3077" width="14.25" style="2993" customWidth="1"/>
    <col min="3078" max="3078" width="11" style="2993" customWidth="1"/>
    <col min="3079" max="3079" width="9" style="2993"/>
    <col min="3080" max="3080" width="13.75" style="2993" customWidth="1"/>
    <col min="3081" max="3328" width="9" style="2993"/>
    <col min="3329" max="3329" width="14.25" style="2993" customWidth="1"/>
    <col min="3330" max="3330" width="18.75" style="2993" customWidth="1"/>
    <col min="3331" max="3333" width="14.25" style="2993" customWidth="1"/>
    <col min="3334" max="3334" width="11" style="2993" customWidth="1"/>
    <col min="3335" max="3335" width="9" style="2993"/>
    <col min="3336" max="3336" width="13.75" style="2993" customWidth="1"/>
    <col min="3337" max="3584" width="9" style="2993"/>
    <col min="3585" max="3585" width="14.25" style="2993" customWidth="1"/>
    <col min="3586" max="3586" width="18.75" style="2993" customWidth="1"/>
    <col min="3587" max="3589" width="14.25" style="2993" customWidth="1"/>
    <col min="3590" max="3590" width="11" style="2993" customWidth="1"/>
    <col min="3591" max="3591" width="9" style="2993"/>
    <col min="3592" max="3592" width="13.75" style="2993" customWidth="1"/>
    <col min="3593" max="3840" width="9" style="2993"/>
    <col min="3841" max="3841" width="14.25" style="2993" customWidth="1"/>
    <col min="3842" max="3842" width="18.75" style="2993" customWidth="1"/>
    <col min="3843" max="3845" width="14.25" style="2993" customWidth="1"/>
    <col min="3846" max="3846" width="11" style="2993" customWidth="1"/>
    <col min="3847" max="3847" width="9" style="2993"/>
    <col min="3848" max="3848" width="13.75" style="2993" customWidth="1"/>
    <col min="3849" max="4096" width="9" style="2993"/>
    <col min="4097" max="4097" width="14.25" style="2993" customWidth="1"/>
    <col min="4098" max="4098" width="18.75" style="2993" customWidth="1"/>
    <col min="4099" max="4101" width="14.25" style="2993" customWidth="1"/>
    <col min="4102" max="4102" width="11" style="2993" customWidth="1"/>
    <col min="4103" max="4103" width="9" style="2993"/>
    <col min="4104" max="4104" width="13.75" style="2993" customWidth="1"/>
    <col min="4105" max="4352" width="9" style="2993"/>
    <col min="4353" max="4353" width="14.25" style="2993" customWidth="1"/>
    <col min="4354" max="4354" width="18.75" style="2993" customWidth="1"/>
    <col min="4355" max="4357" width="14.25" style="2993" customWidth="1"/>
    <col min="4358" max="4358" width="11" style="2993" customWidth="1"/>
    <col min="4359" max="4359" width="9" style="2993"/>
    <col min="4360" max="4360" width="13.75" style="2993" customWidth="1"/>
    <col min="4361" max="4608" width="9" style="2993"/>
    <col min="4609" max="4609" width="14.25" style="2993" customWidth="1"/>
    <col min="4610" max="4610" width="18.75" style="2993" customWidth="1"/>
    <col min="4611" max="4613" width="14.25" style="2993" customWidth="1"/>
    <col min="4614" max="4614" width="11" style="2993" customWidth="1"/>
    <col min="4615" max="4615" width="9" style="2993"/>
    <col min="4616" max="4616" width="13.75" style="2993" customWidth="1"/>
    <col min="4617" max="4864" width="9" style="2993"/>
    <col min="4865" max="4865" width="14.25" style="2993" customWidth="1"/>
    <col min="4866" max="4866" width="18.75" style="2993" customWidth="1"/>
    <col min="4867" max="4869" width="14.25" style="2993" customWidth="1"/>
    <col min="4870" max="4870" width="11" style="2993" customWidth="1"/>
    <col min="4871" max="4871" width="9" style="2993"/>
    <col min="4872" max="4872" width="13.75" style="2993" customWidth="1"/>
    <col min="4873" max="5120" width="9" style="2993"/>
    <col min="5121" max="5121" width="14.25" style="2993" customWidth="1"/>
    <col min="5122" max="5122" width="18.75" style="2993" customWidth="1"/>
    <col min="5123" max="5125" width="14.25" style="2993" customWidth="1"/>
    <col min="5126" max="5126" width="11" style="2993" customWidth="1"/>
    <col min="5127" max="5127" width="9" style="2993"/>
    <col min="5128" max="5128" width="13.75" style="2993" customWidth="1"/>
    <col min="5129" max="5376" width="9" style="2993"/>
    <col min="5377" max="5377" width="14.25" style="2993" customWidth="1"/>
    <col min="5378" max="5378" width="18.75" style="2993" customWidth="1"/>
    <col min="5379" max="5381" width="14.25" style="2993" customWidth="1"/>
    <col min="5382" max="5382" width="11" style="2993" customWidth="1"/>
    <col min="5383" max="5383" width="9" style="2993"/>
    <col min="5384" max="5384" width="13.75" style="2993" customWidth="1"/>
    <col min="5385" max="5632" width="9" style="2993"/>
    <col min="5633" max="5633" width="14.25" style="2993" customWidth="1"/>
    <col min="5634" max="5634" width="18.75" style="2993" customWidth="1"/>
    <col min="5635" max="5637" width="14.25" style="2993" customWidth="1"/>
    <col min="5638" max="5638" width="11" style="2993" customWidth="1"/>
    <col min="5639" max="5639" width="9" style="2993"/>
    <col min="5640" max="5640" width="13.75" style="2993" customWidth="1"/>
    <col min="5641" max="5888" width="9" style="2993"/>
    <col min="5889" max="5889" width="14.25" style="2993" customWidth="1"/>
    <col min="5890" max="5890" width="18.75" style="2993" customWidth="1"/>
    <col min="5891" max="5893" width="14.25" style="2993" customWidth="1"/>
    <col min="5894" max="5894" width="11" style="2993" customWidth="1"/>
    <col min="5895" max="5895" width="9" style="2993"/>
    <col min="5896" max="5896" width="13.75" style="2993" customWidth="1"/>
    <col min="5897" max="6144" width="9" style="2993"/>
    <col min="6145" max="6145" width="14.25" style="2993" customWidth="1"/>
    <col min="6146" max="6146" width="18.75" style="2993" customWidth="1"/>
    <col min="6147" max="6149" width="14.25" style="2993" customWidth="1"/>
    <col min="6150" max="6150" width="11" style="2993" customWidth="1"/>
    <col min="6151" max="6151" width="9" style="2993"/>
    <col min="6152" max="6152" width="13.75" style="2993" customWidth="1"/>
    <col min="6153" max="6400" width="9" style="2993"/>
    <col min="6401" max="6401" width="14.25" style="2993" customWidth="1"/>
    <col min="6402" max="6402" width="18.75" style="2993" customWidth="1"/>
    <col min="6403" max="6405" width="14.25" style="2993" customWidth="1"/>
    <col min="6406" max="6406" width="11" style="2993" customWidth="1"/>
    <col min="6407" max="6407" width="9" style="2993"/>
    <col min="6408" max="6408" width="13.75" style="2993" customWidth="1"/>
    <col min="6409" max="6656" width="9" style="2993"/>
    <col min="6657" max="6657" width="14.25" style="2993" customWidth="1"/>
    <col min="6658" max="6658" width="18.75" style="2993" customWidth="1"/>
    <col min="6659" max="6661" width="14.25" style="2993" customWidth="1"/>
    <col min="6662" max="6662" width="11" style="2993" customWidth="1"/>
    <col min="6663" max="6663" width="9" style="2993"/>
    <col min="6664" max="6664" width="13.75" style="2993" customWidth="1"/>
    <col min="6665" max="6912" width="9" style="2993"/>
    <col min="6913" max="6913" width="14.25" style="2993" customWidth="1"/>
    <col min="6914" max="6914" width="18.75" style="2993" customWidth="1"/>
    <col min="6915" max="6917" width="14.25" style="2993" customWidth="1"/>
    <col min="6918" max="6918" width="11" style="2993" customWidth="1"/>
    <col min="6919" max="6919" width="9" style="2993"/>
    <col min="6920" max="6920" width="13.75" style="2993" customWidth="1"/>
    <col min="6921" max="7168" width="9" style="2993"/>
    <col min="7169" max="7169" width="14.25" style="2993" customWidth="1"/>
    <col min="7170" max="7170" width="18.75" style="2993" customWidth="1"/>
    <col min="7171" max="7173" width="14.25" style="2993" customWidth="1"/>
    <col min="7174" max="7174" width="11" style="2993" customWidth="1"/>
    <col min="7175" max="7175" width="9" style="2993"/>
    <col min="7176" max="7176" width="13.75" style="2993" customWidth="1"/>
    <col min="7177" max="7424" width="9" style="2993"/>
    <col min="7425" max="7425" width="14.25" style="2993" customWidth="1"/>
    <col min="7426" max="7426" width="18.75" style="2993" customWidth="1"/>
    <col min="7427" max="7429" width="14.25" style="2993" customWidth="1"/>
    <col min="7430" max="7430" width="11" style="2993" customWidth="1"/>
    <col min="7431" max="7431" width="9" style="2993"/>
    <col min="7432" max="7432" width="13.75" style="2993" customWidth="1"/>
    <col min="7433" max="7680" width="9" style="2993"/>
    <col min="7681" max="7681" width="14.25" style="2993" customWidth="1"/>
    <col min="7682" max="7682" width="18.75" style="2993" customWidth="1"/>
    <col min="7683" max="7685" width="14.25" style="2993" customWidth="1"/>
    <col min="7686" max="7686" width="11" style="2993" customWidth="1"/>
    <col min="7687" max="7687" width="9" style="2993"/>
    <col min="7688" max="7688" width="13.75" style="2993" customWidth="1"/>
    <col min="7689" max="7936" width="9" style="2993"/>
    <col min="7937" max="7937" width="14.25" style="2993" customWidth="1"/>
    <col min="7938" max="7938" width="18.75" style="2993" customWidth="1"/>
    <col min="7939" max="7941" width="14.25" style="2993" customWidth="1"/>
    <col min="7942" max="7942" width="11" style="2993" customWidth="1"/>
    <col min="7943" max="7943" width="9" style="2993"/>
    <col min="7944" max="7944" width="13.75" style="2993" customWidth="1"/>
    <col min="7945" max="8192" width="9" style="2993"/>
    <col min="8193" max="8193" width="14.25" style="2993" customWidth="1"/>
    <col min="8194" max="8194" width="18.75" style="2993" customWidth="1"/>
    <col min="8195" max="8197" width="14.25" style="2993" customWidth="1"/>
    <col min="8198" max="8198" width="11" style="2993" customWidth="1"/>
    <col min="8199" max="8199" width="9" style="2993"/>
    <col min="8200" max="8200" width="13.75" style="2993" customWidth="1"/>
    <col min="8201" max="8448" width="9" style="2993"/>
    <col min="8449" max="8449" width="14.25" style="2993" customWidth="1"/>
    <col min="8450" max="8450" width="18.75" style="2993" customWidth="1"/>
    <col min="8451" max="8453" width="14.25" style="2993" customWidth="1"/>
    <col min="8454" max="8454" width="11" style="2993" customWidth="1"/>
    <col min="8455" max="8455" width="9" style="2993"/>
    <col min="8456" max="8456" width="13.75" style="2993" customWidth="1"/>
    <col min="8457" max="8704" width="9" style="2993"/>
    <col min="8705" max="8705" width="14.25" style="2993" customWidth="1"/>
    <col min="8706" max="8706" width="18.75" style="2993" customWidth="1"/>
    <col min="8707" max="8709" width="14.25" style="2993" customWidth="1"/>
    <col min="8710" max="8710" width="11" style="2993" customWidth="1"/>
    <col min="8711" max="8711" width="9" style="2993"/>
    <col min="8712" max="8712" width="13.75" style="2993" customWidth="1"/>
    <col min="8713" max="8960" width="9" style="2993"/>
    <col min="8961" max="8961" width="14.25" style="2993" customWidth="1"/>
    <col min="8962" max="8962" width="18.75" style="2993" customWidth="1"/>
    <col min="8963" max="8965" width="14.25" style="2993" customWidth="1"/>
    <col min="8966" max="8966" width="11" style="2993" customWidth="1"/>
    <col min="8967" max="8967" width="9" style="2993"/>
    <col min="8968" max="8968" width="13.75" style="2993" customWidth="1"/>
    <col min="8969" max="9216" width="9" style="2993"/>
    <col min="9217" max="9217" width="14.25" style="2993" customWidth="1"/>
    <col min="9218" max="9218" width="18.75" style="2993" customWidth="1"/>
    <col min="9219" max="9221" width="14.25" style="2993" customWidth="1"/>
    <col min="9222" max="9222" width="11" style="2993" customWidth="1"/>
    <col min="9223" max="9223" width="9" style="2993"/>
    <col min="9224" max="9224" width="13.75" style="2993" customWidth="1"/>
    <col min="9225" max="9472" width="9" style="2993"/>
    <col min="9473" max="9473" width="14.25" style="2993" customWidth="1"/>
    <col min="9474" max="9474" width="18.75" style="2993" customWidth="1"/>
    <col min="9475" max="9477" width="14.25" style="2993" customWidth="1"/>
    <col min="9478" max="9478" width="11" style="2993" customWidth="1"/>
    <col min="9479" max="9479" width="9" style="2993"/>
    <col min="9480" max="9480" width="13.75" style="2993" customWidth="1"/>
    <col min="9481" max="9728" width="9" style="2993"/>
    <col min="9729" max="9729" width="14.25" style="2993" customWidth="1"/>
    <col min="9730" max="9730" width="18.75" style="2993" customWidth="1"/>
    <col min="9731" max="9733" width="14.25" style="2993" customWidth="1"/>
    <col min="9734" max="9734" width="11" style="2993" customWidth="1"/>
    <col min="9735" max="9735" width="9" style="2993"/>
    <col min="9736" max="9736" width="13.75" style="2993" customWidth="1"/>
    <col min="9737" max="9984" width="9" style="2993"/>
    <col min="9985" max="9985" width="14.25" style="2993" customWidth="1"/>
    <col min="9986" max="9986" width="18.75" style="2993" customWidth="1"/>
    <col min="9987" max="9989" width="14.25" style="2993" customWidth="1"/>
    <col min="9990" max="9990" width="11" style="2993" customWidth="1"/>
    <col min="9991" max="9991" width="9" style="2993"/>
    <col min="9992" max="9992" width="13.75" style="2993" customWidth="1"/>
    <col min="9993" max="10240" width="9" style="2993"/>
    <col min="10241" max="10241" width="14.25" style="2993" customWidth="1"/>
    <col min="10242" max="10242" width="18.75" style="2993" customWidth="1"/>
    <col min="10243" max="10245" width="14.25" style="2993" customWidth="1"/>
    <col min="10246" max="10246" width="11" style="2993" customWidth="1"/>
    <col min="10247" max="10247" width="9" style="2993"/>
    <col min="10248" max="10248" width="13.75" style="2993" customWidth="1"/>
    <col min="10249" max="10496" width="9" style="2993"/>
    <col min="10497" max="10497" width="14.25" style="2993" customWidth="1"/>
    <col min="10498" max="10498" width="18.75" style="2993" customWidth="1"/>
    <col min="10499" max="10501" width="14.25" style="2993" customWidth="1"/>
    <col min="10502" max="10502" width="11" style="2993" customWidth="1"/>
    <col min="10503" max="10503" width="9" style="2993"/>
    <col min="10504" max="10504" width="13.75" style="2993" customWidth="1"/>
    <col min="10505" max="10752" width="9" style="2993"/>
    <col min="10753" max="10753" width="14.25" style="2993" customWidth="1"/>
    <col min="10754" max="10754" width="18.75" style="2993" customWidth="1"/>
    <col min="10755" max="10757" width="14.25" style="2993" customWidth="1"/>
    <col min="10758" max="10758" width="11" style="2993" customWidth="1"/>
    <col min="10759" max="10759" width="9" style="2993"/>
    <col min="10760" max="10760" width="13.75" style="2993" customWidth="1"/>
    <col min="10761" max="11008" width="9" style="2993"/>
    <col min="11009" max="11009" width="14.25" style="2993" customWidth="1"/>
    <col min="11010" max="11010" width="18.75" style="2993" customWidth="1"/>
    <col min="11011" max="11013" width="14.25" style="2993" customWidth="1"/>
    <col min="11014" max="11014" width="11" style="2993" customWidth="1"/>
    <col min="11015" max="11015" width="9" style="2993"/>
    <col min="11016" max="11016" width="13.75" style="2993" customWidth="1"/>
    <col min="11017" max="11264" width="9" style="2993"/>
    <col min="11265" max="11265" width="14.25" style="2993" customWidth="1"/>
    <col min="11266" max="11266" width="18.75" style="2993" customWidth="1"/>
    <col min="11267" max="11269" width="14.25" style="2993" customWidth="1"/>
    <col min="11270" max="11270" width="11" style="2993" customWidth="1"/>
    <col min="11271" max="11271" width="9" style="2993"/>
    <col min="11272" max="11272" width="13.75" style="2993" customWidth="1"/>
    <col min="11273" max="11520" width="9" style="2993"/>
    <col min="11521" max="11521" width="14.25" style="2993" customWidth="1"/>
    <col min="11522" max="11522" width="18.75" style="2993" customWidth="1"/>
    <col min="11523" max="11525" width="14.25" style="2993" customWidth="1"/>
    <col min="11526" max="11526" width="11" style="2993" customWidth="1"/>
    <col min="11527" max="11527" width="9" style="2993"/>
    <col min="11528" max="11528" width="13.75" style="2993" customWidth="1"/>
    <col min="11529" max="11776" width="9" style="2993"/>
    <col min="11777" max="11777" width="14.25" style="2993" customWidth="1"/>
    <col min="11778" max="11778" width="18.75" style="2993" customWidth="1"/>
    <col min="11779" max="11781" width="14.25" style="2993" customWidth="1"/>
    <col min="11782" max="11782" width="11" style="2993" customWidth="1"/>
    <col min="11783" max="11783" width="9" style="2993"/>
    <col min="11784" max="11784" width="13.75" style="2993" customWidth="1"/>
    <col min="11785" max="12032" width="9" style="2993"/>
    <col min="12033" max="12033" width="14.25" style="2993" customWidth="1"/>
    <col min="12034" max="12034" width="18.75" style="2993" customWidth="1"/>
    <col min="12035" max="12037" width="14.25" style="2993" customWidth="1"/>
    <col min="12038" max="12038" width="11" style="2993" customWidth="1"/>
    <col min="12039" max="12039" width="9" style="2993"/>
    <col min="12040" max="12040" width="13.75" style="2993" customWidth="1"/>
    <col min="12041" max="12288" width="9" style="2993"/>
    <col min="12289" max="12289" width="14.25" style="2993" customWidth="1"/>
    <col min="12290" max="12290" width="18.75" style="2993" customWidth="1"/>
    <col min="12291" max="12293" width="14.25" style="2993" customWidth="1"/>
    <col min="12294" max="12294" width="11" style="2993" customWidth="1"/>
    <col min="12295" max="12295" width="9" style="2993"/>
    <col min="12296" max="12296" width="13.75" style="2993" customWidth="1"/>
    <col min="12297" max="12544" width="9" style="2993"/>
    <col min="12545" max="12545" width="14.25" style="2993" customWidth="1"/>
    <col min="12546" max="12546" width="18.75" style="2993" customWidth="1"/>
    <col min="12547" max="12549" width="14.25" style="2993" customWidth="1"/>
    <col min="12550" max="12550" width="11" style="2993" customWidth="1"/>
    <col min="12551" max="12551" width="9" style="2993"/>
    <col min="12552" max="12552" width="13.75" style="2993" customWidth="1"/>
    <col min="12553" max="12800" width="9" style="2993"/>
    <col min="12801" max="12801" width="14.25" style="2993" customWidth="1"/>
    <col min="12802" max="12802" width="18.75" style="2993" customWidth="1"/>
    <col min="12803" max="12805" width="14.25" style="2993" customWidth="1"/>
    <col min="12806" max="12806" width="11" style="2993" customWidth="1"/>
    <col min="12807" max="12807" width="9" style="2993"/>
    <col min="12808" max="12808" width="13.75" style="2993" customWidth="1"/>
    <col min="12809" max="13056" width="9" style="2993"/>
    <col min="13057" max="13057" width="14.25" style="2993" customWidth="1"/>
    <col min="13058" max="13058" width="18.75" style="2993" customWidth="1"/>
    <col min="13059" max="13061" width="14.25" style="2993" customWidth="1"/>
    <col min="13062" max="13062" width="11" style="2993" customWidth="1"/>
    <col min="13063" max="13063" width="9" style="2993"/>
    <col min="13064" max="13064" width="13.75" style="2993" customWidth="1"/>
    <col min="13065" max="13312" width="9" style="2993"/>
    <col min="13313" max="13313" width="14.25" style="2993" customWidth="1"/>
    <col min="13314" max="13314" width="18.75" style="2993" customWidth="1"/>
    <col min="13315" max="13317" width="14.25" style="2993" customWidth="1"/>
    <col min="13318" max="13318" width="11" style="2993" customWidth="1"/>
    <col min="13319" max="13319" width="9" style="2993"/>
    <col min="13320" max="13320" width="13.75" style="2993" customWidth="1"/>
    <col min="13321" max="13568" width="9" style="2993"/>
    <col min="13569" max="13569" width="14.25" style="2993" customWidth="1"/>
    <col min="13570" max="13570" width="18.75" style="2993" customWidth="1"/>
    <col min="13571" max="13573" width="14.25" style="2993" customWidth="1"/>
    <col min="13574" max="13574" width="11" style="2993" customWidth="1"/>
    <col min="13575" max="13575" width="9" style="2993"/>
    <col min="13576" max="13576" width="13.75" style="2993" customWidth="1"/>
    <col min="13577" max="13824" width="9" style="2993"/>
    <col min="13825" max="13825" width="14.25" style="2993" customWidth="1"/>
    <col min="13826" max="13826" width="18.75" style="2993" customWidth="1"/>
    <col min="13827" max="13829" width="14.25" style="2993" customWidth="1"/>
    <col min="13830" max="13830" width="11" style="2993" customWidth="1"/>
    <col min="13831" max="13831" width="9" style="2993"/>
    <col min="13832" max="13832" width="13.75" style="2993" customWidth="1"/>
    <col min="13833" max="14080" width="9" style="2993"/>
    <col min="14081" max="14081" width="14.25" style="2993" customWidth="1"/>
    <col min="14082" max="14082" width="18.75" style="2993" customWidth="1"/>
    <col min="14083" max="14085" width="14.25" style="2993" customWidth="1"/>
    <col min="14086" max="14086" width="11" style="2993" customWidth="1"/>
    <col min="14087" max="14087" width="9" style="2993"/>
    <col min="14088" max="14088" width="13.75" style="2993" customWidth="1"/>
    <col min="14089" max="14336" width="9" style="2993"/>
    <col min="14337" max="14337" width="14.25" style="2993" customWidth="1"/>
    <col min="14338" max="14338" width="18.75" style="2993" customWidth="1"/>
    <col min="14339" max="14341" width="14.25" style="2993" customWidth="1"/>
    <col min="14342" max="14342" width="11" style="2993" customWidth="1"/>
    <col min="14343" max="14343" width="9" style="2993"/>
    <col min="14344" max="14344" width="13.75" style="2993" customWidth="1"/>
    <col min="14345" max="14592" width="9" style="2993"/>
    <col min="14593" max="14593" width="14.25" style="2993" customWidth="1"/>
    <col min="14594" max="14594" width="18.75" style="2993" customWidth="1"/>
    <col min="14595" max="14597" width="14.25" style="2993" customWidth="1"/>
    <col min="14598" max="14598" width="11" style="2993" customWidth="1"/>
    <col min="14599" max="14599" width="9" style="2993"/>
    <col min="14600" max="14600" width="13.75" style="2993" customWidth="1"/>
    <col min="14601" max="14848" width="9" style="2993"/>
    <col min="14849" max="14849" width="14.25" style="2993" customWidth="1"/>
    <col min="14850" max="14850" width="18.75" style="2993" customWidth="1"/>
    <col min="14851" max="14853" width="14.25" style="2993" customWidth="1"/>
    <col min="14854" max="14854" width="11" style="2993" customWidth="1"/>
    <col min="14855" max="14855" width="9" style="2993"/>
    <col min="14856" max="14856" width="13.75" style="2993" customWidth="1"/>
    <col min="14857" max="15104" width="9" style="2993"/>
    <col min="15105" max="15105" width="14.25" style="2993" customWidth="1"/>
    <col min="15106" max="15106" width="18.75" style="2993" customWidth="1"/>
    <col min="15107" max="15109" width="14.25" style="2993" customWidth="1"/>
    <col min="15110" max="15110" width="11" style="2993" customWidth="1"/>
    <col min="15111" max="15111" width="9" style="2993"/>
    <col min="15112" max="15112" width="13.75" style="2993" customWidth="1"/>
    <col min="15113" max="15360" width="9" style="2993"/>
    <col min="15361" max="15361" width="14.25" style="2993" customWidth="1"/>
    <col min="15362" max="15362" width="18.75" style="2993" customWidth="1"/>
    <col min="15363" max="15365" width="14.25" style="2993" customWidth="1"/>
    <col min="15366" max="15366" width="11" style="2993" customWidth="1"/>
    <col min="15367" max="15367" width="9" style="2993"/>
    <col min="15368" max="15368" width="13.75" style="2993" customWidth="1"/>
    <col min="15369" max="15616" width="9" style="2993"/>
    <col min="15617" max="15617" width="14.25" style="2993" customWidth="1"/>
    <col min="15618" max="15618" width="18.75" style="2993" customWidth="1"/>
    <col min="15619" max="15621" width="14.25" style="2993" customWidth="1"/>
    <col min="15622" max="15622" width="11" style="2993" customWidth="1"/>
    <col min="15623" max="15623" width="9" style="2993"/>
    <col min="15624" max="15624" width="13.75" style="2993" customWidth="1"/>
    <col min="15625" max="15872" width="9" style="2993"/>
    <col min="15873" max="15873" width="14.25" style="2993" customWidth="1"/>
    <col min="15874" max="15874" width="18.75" style="2993" customWidth="1"/>
    <col min="15875" max="15877" width="14.25" style="2993" customWidth="1"/>
    <col min="15878" max="15878" width="11" style="2993" customWidth="1"/>
    <col min="15879" max="15879" width="9" style="2993"/>
    <col min="15880" max="15880" width="13.75" style="2993" customWidth="1"/>
    <col min="15881" max="16128" width="9" style="2993"/>
    <col min="16129" max="16129" width="14.25" style="2993" customWidth="1"/>
    <col min="16130" max="16130" width="18.75" style="2993" customWidth="1"/>
    <col min="16131" max="16133" width="14.25" style="2993" customWidth="1"/>
    <col min="16134" max="16134" width="11" style="2993" customWidth="1"/>
    <col min="16135" max="16135" width="9" style="2993"/>
    <col min="16136" max="16136" width="13.75" style="2993" customWidth="1"/>
    <col min="16137" max="16384" width="9" style="2993"/>
  </cols>
  <sheetData>
    <row r="1" spans="1:6" ht="15" thickBot="1">
      <c r="A1" s="2991" t="s">
        <v>3200</v>
      </c>
      <c r="B1" s="2992">
        <v>43112</v>
      </c>
    </row>
    <row r="2" spans="1:6" ht="27">
      <c r="A2" s="2994" t="s">
        <v>3201</v>
      </c>
      <c r="B2" s="2995" t="s">
        <v>3202</v>
      </c>
      <c r="C2" s="2996" t="s">
        <v>3203</v>
      </c>
      <c r="D2" s="2995" t="s">
        <v>3204</v>
      </c>
      <c r="E2" s="2997" t="s">
        <v>3205</v>
      </c>
    </row>
    <row r="3" spans="1:6" ht="14.25">
      <c r="A3" s="2998">
        <v>40</v>
      </c>
      <c r="B3" s="2999"/>
      <c r="C3" s="3000">
        <f>ROUNDDOWN(MIN((B3-$B$1)/365,A3),2)</f>
        <v>-118.11</v>
      </c>
      <c r="D3" s="3001">
        <f>IF(ISERROR(ROUND(POWER(1+E3,A3-C3)*(POWER(1+E3,C3)-1)/(POWER(1+E3,A3)-1),3)),0,ROUND(POWER(1+E3,A3-C3)*(POWER(1+E3,C3)-1)/(POWER(1+E3,A3)-1),3))</f>
        <v>-128.52699999999999</v>
      </c>
      <c r="E3" s="3002">
        <v>0.04</v>
      </c>
    </row>
    <row r="4" spans="1:6" ht="14.25">
      <c r="A4" s="2998">
        <v>50</v>
      </c>
      <c r="B4" s="2999">
        <v>48426</v>
      </c>
      <c r="C4" s="3000">
        <f>ROUNDDOWN(MIN((B4-$B$1)/365,A4),2)</f>
        <v>14.55</v>
      </c>
      <c r="D4" s="3001">
        <f>IF(ISERROR(ROUND(POWER(1+E4,A4-C4)*(POWER(1+E4,C4)-1)/(POWER(1+E4,A4)-1),3)),0,ROUND(POWER(1+E4,A4-C4)*(POWER(1+E4,C4)-1)/(POWER(1+E4,A4)-1),3))</f>
        <v>0.50600000000000001</v>
      </c>
      <c r="E4" s="3002">
        <v>0.04</v>
      </c>
    </row>
    <row r="5" spans="1:6" ht="15" thickBot="1">
      <c r="A5" s="3003">
        <v>70</v>
      </c>
      <c r="B5" s="3004"/>
      <c r="C5" s="3005">
        <f>ROUNDDOWN(MIN((B5-$B$1)/365,A5),2)</f>
        <v>-118.11</v>
      </c>
      <c r="D5" s="3006">
        <f>IF(ISERROR(ROUND(POWER(1+E5,A5-C5)*(POWER(1+E5,C5)-1)/(POWER(1+E5,A5)-1),3)),0,ROUND(POWER(1+E5,A5-C5)*(POWER(1+E5,C5)-1)/(POWER(1+E5,A5)-1),3))</f>
        <v>-108.739</v>
      </c>
      <c r="E5" s="3007">
        <v>0.04</v>
      </c>
    </row>
    <row r="6" spans="1:6" ht="14.25" thickBot="1"/>
    <row r="7" spans="1:6" s="3010" customFormat="1" ht="14.25" thickBot="1">
      <c r="A7" s="3008" t="s">
        <v>3206</v>
      </c>
      <c r="B7" s="3009"/>
    </row>
    <row r="8" spans="1:6" ht="14.25" thickBot="1">
      <c r="A8" s="3424" t="s">
        <v>3207</v>
      </c>
      <c r="B8" s="3425"/>
      <c r="C8" s="3011"/>
      <c r="D8" s="3012" t="s">
        <v>3205</v>
      </c>
      <c r="E8" s="3011"/>
      <c r="F8" s="3013" t="s">
        <v>3204</v>
      </c>
    </row>
    <row r="9" spans="1:6" ht="14.25">
      <c r="A9" s="3014" t="s">
        <v>3208</v>
      </c>
      <c r="B9" s="3015">
        <v>70</v>
      </c>
      <c r="C9" s="3016" t="s">
        <v>3209</v>
      </c>
      <c r="D9" s="3017">
        <v>4.4999999999999998E-2</v>
      </c>
      <c r="E9" s="3016" t="s">
        <v>3210</v>
      </c>
      <c r="F9" s="3018">
        <f>1-(1/(POWER(1+D9,B9)))</f>
        <v>0.95409503414356267</v>
      </c>
    </row>
    <row r="10" spans="1:6" ht="15" thickBot="1">
      <c r="A10" s="3019" t="s">
        <v>3211</v>
      </c>
      <c r="B10" s="3020">
        <v>40</v>
      </c>
      <c r="C10" s="3021" t="s">
        <v>3212</v>
      </c>
      <c r="D10" s="3022">
        <v>4.4999999999999998E-2</v>
      </c>
      <c r="E10" s="3021" t="s">
        <v>3213</v>
      </c>
      <c r="F10" s="3023">
        <f>1-(1/(POWER(1+D10,B10)))</f>
        <v>0.8280712989125899</v>
      </c>
    </row>
    <row r="11" spans="1:6" ht="15" thickBot="1">
      <c r="A11" s="3024" t="s">
        <v>3214</v>
      </c>
      <c r="B11" s="3025"/>
      <c r="C11" s="3025"/>
      <c r="D11" s="3025"/>
      <c r="E11" s="3025"/>
      <c r="F11" s="3025"/>
    </row>
    <row r="12" spans="1:6" ht="14.25">
      <c r="A12" s="3014" t="s">
        <v>3215</v>
      </c>
      <c r="B12" s="3026">
        <v>5000</v>
      </c>
      <c r="E12" s="3027"/>
      <c r="F12" s="3027"/>
    </row>
    <row r="13" spans="1:6" ht="15" thickBot="1">
      <c r="A13" s="3019" t="s">
        <v>3216</v>
      </c>
      <c r="B13" s="3028">
        <f>ROUND(B12*F10/F9,2)</f>
        <v>4339.5600000000004</v>
      </c>
      <c r="C13" s="3029">
        <f>ROUND(F10/F9,4)</f>
        <v>0.8679</v>
      </c>
      <c r="E13" s="3027"/>
      <c r="F13" s="3027"/>
    </row>
    <row r="14" spans="1:6" ht="15" thickBot="1">
      <c r="A14" s="3024" t="s">
        <v>3217</v>
      </c>
      <c r="B14" s="3030"/>
      <c r="C14" s="3027"/>
    </row>
    <row r="15" spans="1:6" ht="14.25">
      <c r="A15" s="3016" t="s">
        <v>3218</v>
      </c>
      <c r="B15" s="3031">
        <v>4810</v>
      </c>
      <c r="C15" s="3027"/>
    </row>
    <row r="16" spans="1:6" ht="15" thickBot="1">
      <c r="A16" s="3021" t="s">
        <v>3219</v>
      </c>
      <c r="B16" s="3032">
        <f>ROUND(B15*F9/F10,2)</f>
        <v>5542.03</v>
      </c>
      <c r="C16" s="3029">
        <f>ROUND(F9/F10,4)</f>
        <v>1.1521999999999999</v>
      </c>
    </row>
    <row r="17" spans="3:3" ht="14.25">
      <c r="C17" s="3027"/>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2" activePane="bottomRight" state="frozen"/>
      <selection pane="topRight"/>
      <selection pane="bottomLeft"/>
      <selection pane="bottomRight" activeCell="H13" sqref="H13"/>
    </sheetView>
  </sheetViews>
  <sheetFormatPr defaultRowHeight="18.75"/>
  <cols>
    <col min="1" max="1" width="7.375" style="2956" customWidth="1"/>
    <col min="2" max="2" width="25.625" style="2956" customWidth="1"/>
    <col min="3" max="3" width="9.75" style="2956" customWidth="1"/>
    <col min="4" max="4" width="19.75" style="2956" bestFit="1" customWidth="1"/>
    <col min="5" max="5" width="9.25" style="2956" customWidth="1"/>
    <col min="6" max="6" width="6.625" style="2956" customWidth="1"/>
    <col min="7" max="7" width="5.5" style="2956" bestFit="1" customWidth="1"/>
    <col min="8" max="8" width="16.875" style="2956" customWidth="1"/>
    <col min="9" max="9" width="4.875" style="2956" customWidth="1"/>
    <col min="10" max="10" width="21.625" style="2956" customWidth="1"/>
    <col min="11" max="11" width="19.125" style="2989" bestFit="1" customWidth="1"/>
    <col min="12" max="12" width="25.25" style="2956" customWidth="1"/>
    <col min="13" max="13" width="9.5" style="2956" bestFit="1" customWidth="1"/>
    <col min="14" max="14" width="20.5" style="2956" bestFit="1" customWidth="1"/>
    <col min="15" max="256" width="9" style="2956"/>
    <col min="257" max="257" width="7.375" style="2956" customWidth="1"/>
    <col min="258" max="258" width="25.625" style="2956" customWidth="1"/>
    <col min="259" max="259" width="9.75" style="2956" customWidth="1"/>
    <col min="260" max="260" width="19.75" style="2956" bestFit="1" customWidth="1"/>
    <col min="261" max="261" width="9.25" style="2956" customWidth="1"/>
    <col min="262" max="262" width="6.625" style="2956" customWidth="1"/>
    <col min="263" max="263" width="5.5" style="2956" bestFit="1" customWidth="1"/>
    <col min="264" max="264" width="16.875" style="2956" customWidth="1"/>
    <col min="265" max="265" width="4.875" style="2956" customWidth="1"/>
    <col min="266" max="266" width="21.625" style="2956" customWidth="1"/>
    <col min="267" max="267" width="19.125" style="2956" bestFit="1" customWidth="1"/>
    <col min="268" max="268" width="25.25" style="2956" customWidth="1"/>
    <col min="269" max="269" width="9.5" style="2956" bestFit="1" customWidth="1"/>
    <col min="270" max="270" width="20.5" style="2956" bestFit="1" customWidth="1"/>
    <col min="271" max="512" width="9" style="2956"/>
    <col min="513" max="513" width="7.375" style="2956" customWidth="1"/>
    <col min="514" max="514" width="25.625" style="2956" customWidth="1"/>
    <col min="515" max="515" width="9.75" style="2956" customWidth="1"/>
    <col min="516" max="516" width="19.75" style="2956" bestFit="1" customWidth="1"/>
    <col min="517" max="517" width="9.25" style="2956" customWidth="1"/>
    <col min="518" max="518" width="6.625" style="2956" customWidth="1"/>
    <col min="519" max="519" width="5.5" style="2956" bestFit="1" customWidth="1"/>
    <col min="520" max="520" width="16.875" style="2956" customWidth="1"/>
    <col min="521" max="521" width="4.875" style="2956" customWidth="1"/>
    <col min="522" max="522" width="21.625" style="2956" customWidth="1"/>
    <col min="523" max="523" width="19.125" style="2956" bestFit="1" customWidth="1"/>
    <col min="524" max="524" width="25.25" style="2956" customWidth="1"/>
    <col min="525" max="525" width="9.5" style="2956" bestFit="1" customWidth="1"/>
    <col min="526" max="526" width="20.5" style="2956" bestFit="1" customWidth="1"/>
    <col min="527" max="768" width="9" style="2956"/>
    <col min="769" max="769" width="7.375" style="2956" customWidth="1"/>
    <col min="770" max="770" width="25.625" style="2956" customWidth="1"/>
    <col min="771" max="771" width="9.75" style="2956" customWidth="1"/>
    <col min="772" max="772" width="19.75" style="2956" bestFit="1" customWidth="1"/>
    <col min="773" max="773" width="9.25" style="2956" customWidth="1"/>
    <col min="774" max="774" width="6.625" style="2956" customWidth="1"/>
    <col min="775" max="775" width="5.5" style="2956" bestFit="1" customWidth="1"/>
    <col min="776" max="776" width="16.875" style="2956" customWidth="1"/>
    <col min="777" max="777" width="4.875" style="2956" customWidth="1"/>
    <col min="778" max="778" width="21.625" style="2956" customWidth="1"/>
    <col min="779" max="779" width="19.125" style="2956" bestFit="1" customWidth="1"/>
    <col min="780" max="780" width="25.25" style="2956" customWidth="1"/>
    <col min="781" max="781" width="9.5" style="2956" bestFit="1" customWidth="1"/>
    <col min="782" max="782" width="20.5" style="2956" bestFit="1" customWidth="1"/>
    <col min="783" max="1024" width="9" style="2956"/>
    <col min="1025" max="1025" width="7.375" style="2956" customWidth="1"/>
    <col min="1026" max="1026" width="25.625" style="2956" customWidth="1"/>
    <col min="1027" max="1027" width="9.75" style="2956" customWidth="1"/>
    <col min="1028" max="1028" width="19.75" style="2956" bestFit="1" customWidth="1"/>
    <col min="1029" max="1029" width="9.25" style="2956" customWidth="1"/>
    <col min="1030" max="1030" width="6.625" style="2956" customWidth="1"/>
    <col min="1031" max="1031" width="5.5" style="2956" bestFit="1" customWidth="1"/>
    <col min="1032" max="1032" width="16.875" style="2956" customWidth="1"/>
    <col min="1033" max="1033" width="4.875" style="2956" customWidth="1"/>
    <col min="1034" max="1034" width="21.625" style="2956" customWidth="1"/>
    <col min="1035" max="1035" width="19.125" style="2956" bestFit="1" customWidth="1"/>
    <col min="1036" max="1036" width="25.25" style="2956" customWidth="1"/>
    <col min="1037" max="1037" width="9.5" style="2956" bestFit="1" customWidth="1"/>
    <col min="1038" max="1038" width="20.5" style="2956" bestFit="1" customWidth="1"/>
    <col min="1039" max="1280" width="9" style="2956"/>
    <col min="1281" max="1281" width="7.375" style="2956" customWidth="1"/>
    <col min="1282" max="1282" width="25.625" style="2956" customWidth="1"/>
    <col min="1283" max="1283" width="9.75" style="2956" customWidth="1"/>
    <col min="1284" max="1284" width="19.75" style="2956" bestFit="1" customWidth="1"/>
    <col min="1285" max="1285" width="9.25" style="2956" customWidth="1"/>
    <col min="1286" max="1286" width="6.625" style="2956" customWidth="1"/>
    <col min="1287" max="1287" width="5.5" style="2956" bestFit="1" customWidth="1"/>
    <col min="1288" max="1288" width="16.875" style="2956" customWidth="1"/>
    <col min="1289" max="1289" width="4.875" style="2956" customWidth="1"/>
    <col min="1290" max="1290" width="21.625" style="2956" customWidth="1"/>
    <col min="1291" max="1291" width="19.125" style="2956" bestFit="1" customWidth="1"/>
    <col min="1292" max="1292" width="25.25" style="2956" customWidth="1"/>
    <col min="1293" max="1293" width="9.5" style="2956" bestFit="1" customWidth="1"/>
    <col min="1294" max="1294" width="20.5" style="2956" bestFit="1" customWidth="1"/>
    <col min="1295" max="1536" width="9" style="2956"/>
    <col min="1537" max="1537" width="7.375" style="2956" customWidth="1"/>
    <col min="1538" max="1538" width="25.625" style="2956" customWidth="1"/>
    <col min="1539" max="1539" width="9.75" style="2956" customWidth="1"/>
    <col min="1540" max="1540" width="19.75" style="2956" bestFit="1" customWidth="1"/>
    <col min="1541" max="1541" width="9.25" style="2956" customWidth="1"/>
    <col min="1542" max="1542" width="6.625" style="2956" customWidth="1"/>
    <col min="1543" max="1543" width="5.5" style="2956" bestFit="1" customWidth="1"/>
    <col min="1544" max="1544" width="16.875" style="2956" customWidth="1"/>
    <col min="1545" max="1545" width="4.875" style="2956" customWidth="1"/>
    <col min="1546" max="1546" width="21.625" style="2956" customWidth="1"/>
    <col min="1547" max="1547" width="19.125" style="2956" bestFit="1" customWidth="1"/>
    <col min="1548" max="1548" width="25.25" style="2956" customWidth="1"/>
    <col min="1549" max="1549" width="9.5" style="2956" bestFit="1" customWidth="1"/>
    <col min="1550" max="1550" width="20.5" style="2956" bestFit="1" customWidth="1"/>
    <col min="1551" max="1792" width="9" style="2956"/>
    <col min="1793" max="1793" width="7.375" style="2956" customWidth="1"/>
    <col min="1794" max="1794" width="25.625" style="2956" customWidth="1"/>
    <col min="1795" max="1795" width="9.75" style="2956" customWidth="1"/>
    <col min="1796" max="1796" width="19.75" style="2956" bestFit="1" customWidth="1"/>
    <col min="1797" max="1797" width="9.25" style="2956" customWidth="1"/>
    <col min="1798" max="1798" width="6.625" style="2956" customWidth="1"/>
    <col min="1799" max="1799" width="5.5" style="2956" bestFit="1" customWidth="1"/>
    <col min="1800" max="1800" width="16.875" style="2956" customWidth="1"/>
    <col min="1801" max="1801" width="4.875" style="2956" customWidth="1"/>
    <col min="1802" max="1802" width="21.625" style="2956" customWidth="1"/>
    <col min="1803" max="1803" width="19.125" style="2956" bestFit="1" customWidth="1"/>
    <col min="1804" max="1804" width="25.25" style="2956" customWidth="1"/>
    <col min="1805" max="1805" width="9.5" style="2956" bestFit="1" customWidth="1"/>
    <col min="1806" max="1806" width="20.5" style="2956" bestFit="1" customWidth="1"/>
    <col min="1807" max="2048" width="9" style="2956"/>
    <col min="2049" max="2049" width="7.375" style="2956" customWidth="1"/>
    <col min="2050" max="2050" width="25.625" style="2956" customWidth="1"/>
    <col min="2051" max="2051" width="9.75" style="2956" customWidth="1"/>
    <col min="2052" max="2052" width="19.75" style="2956" bestFit="1" customWidth="1"/>
    <col min="2053" max="2053" width="9.25" style="2956" customWidth="1"/>
    <col min="2054" max="2054" width="6.625" style="2956" customWidth="1"/>
    <col min="2055" max="2055" width="5.5" style="2956" bestFit="1" customWidth="1"/>
    <col min="2056" max="2056" width="16.875" style="2956" customWidth="1"/>
    <col min="2057" max="2057" width="4.875" style="2956" customWidth="1"/>
    <col min="2058" max="2058" width="21.625" style="2956" customWidth="1"/>
    <col min="2059" max="2059" width="19.125" style="2956" bestFit="1" customWidth="1"/>
    <col min="2060" max="2060" width="25.25" style="2956" customWidth="1"/>
    <col min="2061" max="2061" width="9.5" style="2956" bestFit="1" customWidth="1"/>
    <col min="2062" max="2062" width="20.5" style="2956" bestFit="1" customWidth="1"/>
    <col min="2063" max="2304" width="9" style="2956"/>
    <col min="2305" max="2305" width="7.375" style="2956" customWidth="1"/>
    <col min="2306" max="2306" width="25.625" style="2956" customWidth="1"/>
    <col min="2307" max="2307" width="9.75" style="2956" customWidth="1"/>
    <col min="2308" max="2308" width="19.75" style="2956" bestFit="1" customWidth="1"/>
    <col min="2309" max="2309" width="9.25" style="2956" customWidth="1"/>
    <col min="2310" max="2310" width="6.625" style="2956" customWidth="1"/>
    <col min="2311" max="2311" width="5.5" style="2956" bestFit="1" customWidth="1"/>
    <col min="2312" max="2312" width="16.875" style="2956" customWidth="1"/>
    <col min="2313" max="2313" width="4.875" style="2956" customWidth="1"/>
    <col min="2314" max="2314" width="21.625" style="2956" customWidth="1"/>
    <col min="2315" max="2315" width="19.125" style="2956" bestFit="1" customWidth="1"/>
    <col min="2316" max="2316" width="25.25" style="2956" customWidth="1"/>
    <col min="2317" max="2317" width="9.5" style="2956" bestFit="1" customWidth="1"/>
    <col min="2318" max="2318" width="20.5" style="2956" bestFit="1" customWidth="1"/>
    <col min="2319" max="2560" width="9" style="2956"/>
    <col min="2561" max="2561" width="7.375" style="2956" customWidth="1"/>
    <col min="2562" max="2562" width="25.625" style="2956" customWidth="1"/>
    <col min="2563" max="2563" width="9.75" style="2956" customWidth="1"/>
    <col min="2564" max="2564" width="19.75" style="2956" bestFit="1" customWidth="1"/>
    <col min="2565" max="2565" width="9.25" style="2956" customWidth="1"/>
    <col min="2566" max="2566" width="6.625" style="2956" customWidth="1"/>
    <col min="2567" max="2567" width="5.5" style="2956" bestFit="1" customWidth="1"/>
    <col min="2568" max="2568" width="16.875" style="2956" customWidth="1"/>
    <col min="2569" max="2569" width="4.875" style="2956" customWidth="1"/>
    <col min="2570" max="2570" width="21.625" style="2956" customWidth="1"/>
    <col min="2571" max="2571" width="19.125" style="2956" bestFit="1" customWidth="1"/>
    <col min="2572" max="2572" width="25.25" style="2956" customWidth="1"/>
    <col min="2573" max="2573" width="9.5" style="2956" bestFit="1" customWidth="1"/>
    <col min="2574" max="2574" width="20.5" style="2956" bestFit="1" customWidth="1"/>
    <col min="2575" max="2816" width="9" style="2956"/>
    <col min="2817" max="2817" width="7.375" style="2956" customWidth="1"/>
    <col min="2818" max="2818" width="25.625" style="2956" customWidth="1"/>
    <col min="2819" max="2819" width="9.75" style="2956" customWidth="1"/>
    <col min="2820" max="2820" width="19.75" style="2956" bestFit="1" customWidth="1"/>
    <col min="2821" max="2821" width="9.25" style="2956" customWidth="1"/>
    <col min="2822" max="2822" width="6.625" style="2956" customWidth="1"/>
    <col min="2823" max="2823" width="5.5" style="2956" bestFit="1" customWidth="1"/>
    <col min="2824" max="2824" width="16.875" style="2956" customWidth="1"/>
    <col min="2825" max="2825" width="4.875" style="2956" customWidth="1"/>
    <col min="2826" max="2826" width="21.625" style="2956" customWidth="1"/>
    <col min="2827" max="2827" width="19.125" style="2956" bestFit="1" customWidth="1"/>
    <col min="2828" max="2828" width="25.25" style="2956" customWidth="1"/>
    <col min="2829" max="2829" width="9.5" style="2956" bestFit="1" customWidth="1"/>
    <col min="2830" max="2830" width="20.5" style="2956" bestFit="1" customWidth="1"/>
    <col min="2831" max="3072" width="9" style="2956"/>
    <col min="3073" max="3073" width="7.375" style="2956" customWidth="1"/>
    <col min="3074" max="3074" width="25.625" style="2956" customWidth="1"/>
    <col min="3075" max="3075" width="9.75" style="2956" customWidth="1"/>
    <col min="3076" max="3076" width="19.75" style="2956" bestFit="1" customWidth="1"/>
    <col min="3077" max="3077" width="9.25" style="2956" customWidth="1"/>
    <col min="3078" max="3078" width="6.625" style="2956" customWidth="1"/>
    <col min="3079" max="3079" width="5.5" style="2956" bestFit="1" customWidth="1"/>
    <col min="3080" max="3080" width="16.875" style="2956" customWidth="1"/>
    <col min="3081" max="3081" width="4.875" style="2956" customWidth="1"/>
    <col min="3082" max="3082" width="21.625" style="2956" customWidth="1"/>
    <col min="3083" max="3083" width="19.125" style="2956" bestFit="1" customWidth="1"/>
    <col min="3084" max="3084" width="25.25" style="2956" customWidth="1"/>
    <col min="3085" max="3085" width="9.5" style="2956" bestFit="1" customWidth="1"/>
    <col min="3086" max="3086" width="20.5" style="2956" bestFit="1" customWidth="1"/>
    <col min="3087" max="3328" width="9" style="2956"/>
    <col min="3329" max="3329" width="7.375" style="2956" customWidth="1"/>
    <col min="3330" max="3330" width="25.625" style="2956" customWidth="1"/>
    <col min="3331" max="3331" width="9.75" style="2956" customWidth="1"/>
    <col min="3332" max="3332" width="19.75" style="2956" bestFit="1" customWidth="1"/>
    <col min="3333" max="3333" width="9.25" style="2956" customWidth="1"/>
    <col min="3334" max="3334" width="6.625" style="2956" customWidth="1"/>
    <col min="3335" max="3335" width="5.5" style="2956" bestFit="1" customWidth="1"/>
    <col min="3336" max="3336" width="16.875" style="2956" customWidth="1"/>
    <col min="3337" max="3337" width="4.875" style="2956" customWidth="1"/>
    <col min="3338" max="3338" width="21.625" style="2956" customWidth="1"/>
    <col min="3339" max="3339" width="19.125" style="2956" bestFit="1" customWidth="1"/>
    <col min="3340" max="3340" width="25.25" style="2956" customWidth="1"/>
    <col min="3341" max="3341" width="9.5" style="2956" bestFit="1" customWidth="1"/>
    <col min="3342" max="3342" width="20.5" style="2956" bestFit="1" customWidth="1"/>
    <col min="3343" max="3584" width="9" style="2956"/>
    <col min="3585" max="3585" width="7.375" style="2956" customWidth="1"/>
    <col min="3586" max="3586" width="25.625" style="2956" customWidth="1"/>
    <col min="3587" max="3587" width="9.75" style="2956" customWidth="1"/>
    <col min="3588" max="3588" width="19.75" style="2956" bestFit="1" customWidth="1"/>
    <col min="3589" max="3589" width="9.25" style="2956" customWidth="1"/>
    <col min="3590" max="3590" width="6.625" style="2956" customWidth="1"/>
    <col min="3591" max="3591" width="5.5" style="2956" bestFit="1" customWidth="1"/>
    <col min="3592" max="3592" width="16.875" style="2956" customWidth="1"/>
    <col min="3593" max="3593" width="4.875" style="2956" customWidth="1"/>
    <col min="3594" max="3594" width="21.625" style="2956" customWidth="1"/>
    <col min="3595" max="3595" width="19.125" style="2956" bestFit="1" customWidth="1"/>
    <col min="3596" max="3596" width="25.25" style="2956" customWidth="1"/>
    <col min="3597" max="3597" width="9.5" style="2956" bestFit="1" customWidth="1"/>
    <col min="3598" max="3598" width="20.5" style="2956" bestFit="1" customWidth="1"/>
    <col min="3599" max="3840" width="9" style="2956"/>
    <col min="3841" max="3841" width="7.375" style="2956" customWidth="1"/>
    <col min="3842" max="3842" width="25.625" style="2956" customWidth="1"/>
    <col min="3843" max="3843" width="9.75" style="2956" customWidth="1"/>
    <col min="3844" max="3844" width="19.75" style="2956" bestFit="1" customWidth="1"/>
    <col min="3845" max="3845" width="9.25" style="2956" customWidth="1"/>
    <col min="3846" max="3846" width="6.625" style="2956" customWidth="1"/>
    <col min="3847" max="3847" width="5.5" style="2956" bestFit="1" customWidth="1"/>
    <col min="3848" max="3848" width="16.875" style="2956" customWidth="1"/>
    <col min="3849" max="3849" width="4.875" style="2956" customWidth="1"/>
    <col min="3850" max="3850" width="21.625" style="2956" customWidth="1"/>
    <col min="3851" max="3851" width="19.125" style="2956" bestFit="1" customWidth="1"/>
    <col min="3852" max="3852" width="25.25" style="2956" customWidth="1"/>
    <col min="3853" max="3853" width="9.5" style="2956" bestFit="1" customWidth="1"/>
    <col min="3854" max="3854" width="20.5" style="2956" bestFit="1" customWidth="1"/>
    <col min="3855" max="4096" width="9" style="2956"/>
    <col min="4097" max="4097" width="7.375" style="2956" customWidth="1"/>
    <col min="4098" max="4098" width="25.625" style="2956" customWidth="1"/>
    <col min="4099" max="4099" width="9.75" style="2956" customWidth="1"/>
    <col min="4100" max="4100" width="19.75" style="2956" bestFit="1" customWidth="1"/>
    <col min="4101" max="4101" width="9.25" style="2956" customWidth="1"/>
    <col min="4102" max="4102" width="6.625" style="2956" customWidth="1"/>
    <col min="4103" max="4103" width="5.5" style="2956" bestFit="1" customWidth="1"/>
    <col min="4104" max="4104" width="16.875" style="2956" customWidth="1"/>
    <col min="4105" max="4105" width="4.875" style="2956" customWidth="1"/>
    <col min="4106" max="4106" width="21.625" style="2956" customWidth="1"/>
    <col min="4107" max="4107" width="19.125" style="2956" bestFit="1" customWidth="1"/>
    <col min="4108" max="4108" width="25.25" style="2956" customWidth="1"/>
    <col min="4109" max="4109" width="9.5" style="2956" bestFit="1" customWidth="1"/>
    <col min="4110" max="4110" width="20.5" style="2956" bestFit="1" customWidth="1"/>
    <col min="4111" max="4352" width="9" style="2956"/>
    <col min="4353" max="4353" width="7.375" style="2956" customWidth="1"/>
    <col min="4354" max="4354" width="25.625" style="2956" customWidth="1"/>
    <col min="4355" max="4355" width="9.75" style="2956" customWidth="1"/>
    <col min="4356" max="4356" width="19.75" style="2956" bestFit="1" customWidth="1"/>
    <col min="4357" max="4357" width="9.25" style="2956" customWidth="1"/>
    <col min="4358" max="4358" width="6.625" style="2956" customWidth="1"/>
    <col min="4359" max="4359" width="5.5" style="2956" bestFit="1" customWidth="1"/>
    <col min="4360" max="4360" width="16.875" style="2956" customWidth="1"/>
    <col min="4361" max="4361" width="4.875" style="2956" customWidth="1"/>
    <col min="4362" max="4362" width="21.625" style="2956" customWidth="1"/>
    <col min="4363" max="4363" width="19.125" style="2956" bestFit="1" customWidth="1"/>
    <col min="4364" max="4364" width="25.25" style="2956" customWidth="1"/>
    <col min="4365" max="4365" width="9.5" style="2956" bestFit="1" customWidth="1"/>
    <col min="4366" max="4366" width="20.5" style="2956" bestFit="1" customWidth="1"/>
    <col min="4367" max="4608" width="9" style="2956"/>
    <col min="4609" max="4609" width="7.375" style="2956" customWidth="1"/>
    <col min="4610" max="4610" width="25.625" style="2956" customWidth="1"/>
    <col min="4611" max="4611" width="9.75" style="2956" customWidth="1"/>
    <col min="4612" max="4612" width="19.75" style="2956" bestFit="1" customWidth="1"/>
    <col min="4613" max="4613" width="9.25" style="2956" customWidth="1"/>
    <col min="4614" max="4614" width="6.625" style="2956" customWidth="1"/>
    <col min="4615" max="4615" width="5.5" style="2956" bestFit="1" customWidth="1"/>
    <col min="4616" max="4616" width="16.875" style="2956" customWidth="1"/>
    <col min="4617" max="4617" width="4.875" style="2956" customWidth="1"/>
    <col min="4618" max="4618" width="21.625" style="2956" customWidth="1"/>
    <col min="4619" max="4619" width="19.125" style="2956" bestFit="1" customWidth="1"/>
    <col min="4620" max="4620" width="25.25" style="2956" customWidth="1"/>
    <col min="4621" max="4621" width="9.5" style="2956" bestFit="1" customWidth="1"/>
    <col min="4622" max="4622" width="20.5" style="2956" bestFit="1" customWidth="1"/>
    <col min="4623" max="4864" width="9" style="2956"/>
    <col min="4865" max="4865" width="7.375" style="2956" customWidth="1"/>
    <col min="4866" max="4866" width="25.625" style="2956" customWidth="1"/>
    <col min="4867" max="4867" width="9.75" style="2956" customWidth="1"/>
    <col min="4868" max="4868" width="19.75" style="2956" bestFit="1" customWidth="1"/>
    <col min="4869" max="4869" width="9.25" style="2956" customWidth="1"/>
    <col min="4870" max="4870" width="6.625" style="2956" customWidth="1"/>
    <col min="4871" max="4871" width="5.5" style="2956" bestFit="1" customWidth="1"/>
    <col min="4872" max="4872" width="16.875" style="2956" customWidth="1"/>
    <col min="4873" max="4873" width="4.875" style="2956" customWidth="1"/>
    <col min="4874" max="4874" width="21.625" style="2956" customWidth="1"/>
    <col min="4875" max="4875" width="19.125" style="2956" bestFit="1" customWidth="1"/>
    <col min="4876" max="4876" width="25.25" style="2956" customWidth="1"/>
    <col min="4877" max="4877" width="9.5" style="2956" bestFit="1" customWidth="1"/>
    <col min="4878" max="4878" width="20.5" style="2956" bestFit="1" customWidth="1"/>
    <col min="4879" max="5120" width="9" style="2956"/>
    <col min="5121" max="5121" width="7.375" style="2956" customWidth="1"/>
    <col min="5122" max="5122" width="25.625" style="2956" customWidth="1"/>
    <col min="5123" max="5123" width="9.75" style="2956" customWidth="1"/>
    <col min="5124" max="5124" width="19.75" style="2956" bestFit="1" customWidth="1"/>
    <col min="5125" max="5125" width="9.25" style="2956" customWidth="1"/>
    <col min="5126" max="5126" width="6.625" style="2956" customWidth="1"/>
    <col min="5127" max="5127" width="5.5" style="2956" bestFit="1" customWidth="1"/>
    <col min="5128" max="5128" width="16.875" style="2956" customWidth="1"/>
    <col min="5129" max="5129" width="4.875" style="2956" customWidth="1"/>
    <col min="5130" max="5130" width="21.625" style="2956" customWidth="1"/>
    <col min="5131" max="5131" width="19.125" style="2956" bestFit="1" customWidth="1"/>
    <col min="5132" max="5132" width="25.25" style="2956" customWidth="1"/>
    <col min="5133" max="5133" width="9.5" style="2956" bestFit="1" customWidth="1"/>
    <col min="5134" max="5134" width="20.5" style="2956" bestFit="1" customWidth="1"/>
    <col min="5135" max="5376" width="9" style="2956"/>
    <col min="5377" max="5377" width="7.375" style="2956" customWidth="1"/>
    <col min="5378" max="5378" width="25.625" style="2956" customWidth="1"/>
    <col min="5379" max="5379" width="9.75" style="2956" customWidth="1"/>
    <col min="5380" max="5380" width="19.75" style="2956" bestFit="1" customWidth="1"/>
    <col min="5381" max="5381" width="9.25" style="2956" customWidth="1"/>
    <col min="5382" max="5382" width="6.625" style="2956" customWidth="1"/>
    <col min="5383" max="5383" width="5.5" style="2956" bestFit="1" customWidth="1"/>
    <col min="5384" max="5384" width="16.875" style="2956" customWidth="1"/>
    <col min="5385" max="5385" width="4.875" style="2956" customWidth="1"/>
    <col min="5386" max="5386" width="21.625" style="2956" customWidth="1"/>
    <col min="5387" max="5387" width="19.125" style="2956" bestFit="1" customWidth="1"/>
    <col min="5388" max="5388" width="25.25" style="2956" customWidth="1"/>
    <col min="5389" max="5389" width="9.5" style="2956" bestFit="1" customWidth="1"/>
    <col min="5390" max="5390" width="20.5" style="2956" bestFit="1" customWidth="1"/>
    <col min="5391" max="5632" width="9" style="2956"/>
    <col min="5633" max="5633" width="7.375" style="2956" customWidth="1"/>
    <col min="5634" max="5634" width="25.625" style="2956" customWidth="1"/>
    <col min="5635" max="5635" width="9.75" style="2956" customWidth="1"/>
    <col min="5636" max="5636" width="19.75" style="2956" bestFit="1" customWidth="1"/>
    <col min="5637" max="5637" width="9.25" style="2956" customWidth="1"/>
    <col min="5638" max="5638" width="6.625" style="2956" customWidth="1"/>
    <col min="5639" max="5639" width="5.5" style="2956" bestFit="1" customWidth="1"/>
    <col min="5640" max="5640" width="16.875" style="2956" customWidth="1"/>
    <col min="5641" max="5641" width="4.875" style="2956" customWidth="1"/>
    <col min="5642" max="5642" width="21.625" style="2956" customWidth="1"/>
    <col min="5643" max="5643" width="19.125" style="2956" bestFit="1" customWidth="1"/>
    <col min="5644" max="5644" width="25.25" style="2956" customWidth="1"/>
    <col min="5645" max="5645" width="9.5" style="2956" bestFit="1" customWidth="1"/>
    <col min="5646" max="5646" width="20.5" style="2956" bestFit="1" customWidth="1"/>
    <col min="5647" max="5888" width="9" style="2956"/>
    <col min="5889" max="5889" width="7.375" style="2956" customWidth="1"/>
    <col min="5890" max="5890" width="25.625" style="2956" customWidth="1"/>
    <col min="5891" max="5891" width="9.75" style="2956" customWidth="1"/>
    <col min="5892" max="5892" width="19.75" style="2956" bestFit="1" customWidth="1"/>
    <col min="5893" max="5893" width="9.25" style="2956" customWidth="1"/>
    <col min="5894" max="5894" width="6.625" style="2956" customWidth="1"/>
    <col min="5895" max="5895" width="5.5" style="2956" bestFit="1" customWidth="1"/>
    <col min="5896" max="5896" width="16.875" style="2956" customWidth="1"/>
    <col min="5897" max="5897" width="4.875" style="2956" customWidth="1"/>
    <col min="5898" max="5898" width="21.625" style="2956" customWidth="1"/>
    <col min="5899" max="5899" width="19.125" style="2956" bestFit="1" customWidth="1"/>
    <col min="5900" max="5900" width="25.25" style="2956" customWidth="1"/>
    <col min="5901" max="5901" width="9.5" style="2956" bestFit="1" customWidth="1"/>
    <col min="5902" max="5902" width="20.5" style="2956" bestFit="1" customWidth="1"/>
    <col min="5903" max="6144" width="9" style="2956"/>
    <col min="6145" max="6145" width="7.375" style="2956" customWidth="1"/>
    <col min="6146" max="6146" width="25.625" style="2956" customWidth="1"/>
    <col min="6147" max="6147" width="9.75" style="2956" customWidth="1"/>
    <col min="6148" max="6148" width="19.75" style="2956" bestFit="1" customWidth="1"/>
    <col min="6149" max="6149" width="9.25" style="2956" customWidth="1"/>
    <col min="6150" max="6150" width="6.625" style="2956" customWidth="1"/>
    <col min="6151" max="6151" width="5.5" style="2956" bestFit="1" customWidth="1"/>
    <col min="6152" max="6152" width="16.875" style="2956" customWidth="1"/>
    <col min="6153" max="6153" width="4.875" style="2956" customWidth="1"/>
    <col min="6154" max="6154" width="21.625" style="2956" customWidth="1"/>
    <col min="6155" max="6155" width="19.125" style="2956" bestFit="1" customWidth="1"/>
    <col min="6156" max="6156" width="25.25" style="2956" customWidth="1"/>
    <col min="6157" max="6157" width="9.5" style="2956" bestFit="1" customWidth="1"/>
    <col min="6158" max="6158" width="20.5" style="2956" bestFit="1" customWidth="1"/>
    <col min="6159" max="6400" width="9" style="2956"/>
    <col min="6401" max="6401" width="7.375" style="2956" customWidth="1"/>
    <col min="6402" max="6402" width="25.625" style="2956" customWidth="1"/>
    <col min="6403" max="6403" width="9.75" style="2956" customWidth="1"/>
    <col min="6404" max="6404" width="19.75" style="2956" bestFit="1" customWidth="1"/>
    <col min="6405" max="6405" width="9.25" style="2956" customWidth="1"/>
    <col min="6406" max="6406" width="6.625" style="2956" customWidth="1"/>
    <col min="6407" max="6407" width="5.5" style="2956" bestFit="1" customWidth="1"/>
    <col min="6408" max="6408" width="16.875" style="2956" customWidth="1"/>
    <col min="6409" max="6409" width="4.875" style="2956" customWidth="1"/>
    <col min="6410" max="6410" width="21.625" style="2956" customWidth="1"/>
    <col min="6411" max="6411" width="19.125" style="2956" bestFit="1" customWidth="1"/>
    <col min="6412" max="6412" width="25.25" style="2956" customWidth="1"/>
    <col min="6413" max="6413" width="9.5" style="2956" bestFit="1" customWidth="1"/>
    <col min="6414" max="6414" width="20.5" style="2956" bestFit="1" customWidth="1"/>
    <col min="6415" max="6656" width="9" style="2956"/>
    <col min="6657" max="6657" width="7.375" style="2956" customWidth="1"/>
    <col min="6658" max="6658" width="25.625" style="2956" customWidth="1"/>
    <col min="6659" max="6659" width="9.75" style="2956" customWidth="1"/>
    <col min="6660" max="6660" width="19.75" style="2956" bestFit="1" customWidth="1"/>
    <col min="6661" max="6661" width="9.25" style="2956" customWidth="1"/>
    <col min="6662" max="6662" width="6.625" style="2956" customWidth="1"/>
    <col min="6663" max="6663" width="5.5" style="2956" bestFit="1" customWidth="1"/>
    <col min="6664" max="6664" width="16.875" style="2956" customWidth="1"/>
    <col min="6665" max="6665" width="4.875" style="2956" customWidth="1"/>
    <col min="6666" max="6666" width="21.625" style="2956" customWidth="1"/>
    <col min="6667" max="6667" width="19.125" style="2956" bestFit="1" customWidth="1"/>
    <col min="6668" max="6668" width="25.25" style="2956" customWidth="1"/>
    <col min="6669" max="6669" width="9.5" style="2956" bestFit="1" customWidth="1"/>
    <col min="6670" max="6670" width="20.5" style="2956" bestFit="1" customWidth="1"/>
    <col min="6671" max="6912" width="9" style="2956"/>
    <col min="6913" max="6913" width="7.375" style="2956" customWidth="1"/>
    <col min="6914" max="6914" width="25.625" style="2956" customWidth="1"/>
    <col min="6915" max="6915" width="9.75" style="2956" customWidth="1"/>
    <col min="6916" max="6916" width="19.75" style="2956" bestFit="1" customWidth="1"/>
    <col min="6917" max="6917" width="9.25" style="2956" customWidth="1"/>
    <col min="6918" max="6918" width="6.625" style="2956" customWidth="1"/>
    <col min="6919" max="6919" width="5.5" style="2956" bestFit="1" customWidth="1"/>
    <col min="6920" max="6920" width="16.875" style="2956" customWidth="1"/>
    <col min="6921" max="6921" width="4.875" style="2956" customWidth="1"/>
    <col min="6922" max="6922" width="21.625" style="2956" customWidth="1"/>
    <col min="6923" max="6923" width="19.125" style="2956" bestFit="1" customWidth="1"/>
    <col min="6924" max="6924" width="25.25" style="2956" customWidth="1"/>
    <col min="6925" max="6925" width="9.5" style="2956" bestFit="1" customWidth="1"/>
    <col min="6926" max="6926" width="20.5" style="2956" bestFit="1" customWidth="1"/>
    <col min="6927" max="7168" width="9" style="2956"/>
    <col min="7169" max="7169" width="7.375" style="2956" customWidth="1"/>
    <col min="7170" max="7170" width="25.625" style="2956" customWidth="1"/>
    <col min="7171" max="7171" width="9.75" style="2956" customWidth="1"/>
    <col min="7172" max="7172" width="19.75" style="2956" bestFit="1" customWidth="1"/>
    <col min="7173" max="7173" width="9.25" style="2956" customWidth="1"/>
    <col min="7174" max="7174" width="6.625" style="2956" customWidth="1"/>
    <col min="7175" max="7175" width="5.5" style="2956" bestFit="1" customWidth="1"/>
    <col min="7176" max="7176" width="16.875" style="2956" customWidth="1"/>
    <col min="7177" max="7177" width="4.875" style="2956" customWidth="1"/>
    <col min="7178" max="7178" width="21.625" style="2956" customWidth="1"/>
    <col min="7179" max="7179" width="19.125" style="2956" bestFit="1" customWidth="1"/>
    <col min="7180" max="7180" width="25.25" style="2956" customWidth="1"/>
    <col min="7181" max="7181" width="9.5" style="2956" bestFit="1" customWidth="1"/>
    <col min="7182" max="7182" width="20.5" style="2956" bestFit="1" customWidth="1"/>
    <col min="7183" max="7424" width="9" style="2956"/>
    <col min="7425" max="7425" width="7.375" style="2956" customWidth="1"/>
    <col min="7426" max="7426" width="25.625" style="2956" customWidth="1"/>
    <col min="7427" max="7427" width="9.75" style="2956" customWidth="1"/>
    <col min="7428" max="7428" width="19.75" style="2956" bestFit="1" customWidth="1"/>
    <col min="7429" max="7429" width="9.25" style="2956" customWidth="1"/>
    <col min="7430" max="7430" width="6.625" style="2956" customWidth="1"/>
    <col min="7431" max="7431" width="5.5" style="2956" bestFit="1" customWidth="1"/>
    <col min="7432" max="7432" width="16.875" style="2956" customWidth="1"/>
    <col min="7433" max="7433" width="4.875" style="2956" customWidth="1"/>
    <col min="7434" max="7434" width="21.625" style="2956" customWidth="1"/>
    <col min="7435" max="7435" width="19.125" style="2956" bestFit="1" customWidth="1"/>
    <col min="7436" max="7436" width="25.25" style="2956" customWidth="1"/>
    <col min="7437" max="7437" width="9.5" style="2956" bestFit="1" customWidth="1"/>
    <col min="7438" max="7438" width="20.5" style="2956" bestFit="1" customWidth="1"/>
    <col min="7439" max="7680" width="9" style="2956"/>
    <col min="7681" max="7681" width="7.375" style="2956" customWidth="1"/>
    <col min="7682" max="7682" width="25.625" style="2956" customWidth="1"/>
    <col min="7683" max="7683" width="9.75" style="2956" customWidth="1"/>
    <col min="7684" max="7684" width="19.75" style="2956" bestFit="1" customWidth="1"/>
    <col min="7685" max="7685" width="9.25" style="2956" customWidth="1"/>
    <col min="7686" max="7686" width="6.625" style="2956" customWidth="1"/>
    <col min="7687" max="7687" width="5.5" style="2956" bestFit="1" customWidth="1"/>
    <col min="7688" max="7688" width="16.875" style="2956" customWidth="1"/>
    <col min="7689" max="7689" width="4.875" style="2956" customWidth="1"/>
    <col min="7690" max="7690" width="21.625" style="2956" customWidth="1"/>
    <col min="7691" max="7691" width="19.125" style="2956" bestFit="1" customWidth="1"/>
    <col min="7692" max="7692" width="25.25" style="2956" customWidth="1"/>
    <col min="7693" max="7693" width="9.5" style="2956" bestFit="1" customWidth="1"/>
    <col min="7694" max="7694" width="20.5" style="2956" bestFit="1" customWidth="1"/>
    <col min="7695" max="7936" width="9" style="2956"/>
    <col min="7937" max="7937" width="7.375" style="2956" customWidth="1"/>
    <col min="7938" max="7938" width="25.625" style="2956" customWidth="1"/>
    <col min="7939" max="7939" width="9.75" style="2956" customWidth="1"/>
    <col min="7940" max="7940" width="19.75" style="2956" bestFit="1" customWidth="1"/>
    <col min="7941" max="7941" width="9.25" style="2956" customWidth="1"/>
    <col min="7942" max="7942" width="6.625" style="2956" customWidth="1"/>
    <col min="7943" max="7943" width="5.5" style="2956" bestFit="1" customWidth="1"/>
    <col min="7944" max="7944" width="16.875" style="2956" customWidth="1"/>
    <col min="7945" max="7945" width="4.875" style="2956" customWidth="1"/>
    <col min="7946" max="7946" width="21.625" style="2956" customWidth="1"/>
    <col min="7947" max="7947" width="19.125" style="2956" bestFit="1" customWidth="1"/>
    <col min="7948" max="7948" width="25.25" style="2956" customWidth="1"/>
    <col min="7949" max="7949" width="9.5" style="2956" bestFit="1" customWidth="1"/>
    <col min="7950" max="7950" width="20.5" style="2956" bestFit="1" customWidth="1"/>
    <col min="7951" max="8192" width="9" style="2956"/>
    <col min="8193" max="8193" width="7.375" style="2956" customWidth="1"/>
    <col min="8194" max="8194" width="25.625" style="2956" customWidth="1"/>
    <col min="8195" max="8195" width="9.75" style="2956" customWidth="1"/>
    <col min="8196" max="8196" width="19.75" style="2956" bestFit="1" customWidth="1"/>
    <col min="8197" max="8197" width="9.25" style="2956" customWidth="1"/>
    <col min="8198" max="8198" width="6.625" style="2956" customWidth="1"/>
    <col min="8199" max="8199" width="5.5" style="2956" bestFit="1" customWidth="1"/>
    <col min="8200" max="8200" width="16.875" style="2956" customWidth="1"/>
    <col min="8201" max="8201" width="4.875" style="2956" customWidth="1"/>
    <col min="8202" max="8202" width="21.625" style="2956" customWidth="1"/>
    <col min="8203" max="8203" width="19.125" style="2956" bestFit="1" customWidth="1"/>
    <col min="8204" max="8204" width="25.25" style="2956" customWidth="1"/>
    <col min="8205" max="8205" width="9.5" style="2956" bestFit="1" customWidth="1"/>
    <col min="8206" max="8206" width="20.5" style="2956" bestFit="1" customWidth="1"/>
    <col min="8207" max="8448" width="9" style="2956"/>
    <col min="8449" max="8449" width="7.375" style="2956" customWidth="1"/>
    <col min="8450" max="8450" width="25.625" style="2956" customWidth="1"/>
    <col min="8451" max="8451" width="9.75" style="2956" customWidth="1"/>
    <col min="8452" max="8452" width="19.75" style="2956" bestFit="1" customWidth="1"/>
    <col min="8453" max="8453" width="9.25" style="2956" customWidth="1"/>
    <col min="8454" max="8454" width="6.625" style="2956" customWidth="1"/>
    <col min="8455" max="8455" width="5.5" style="2956" bestFit="1" customWidth="1"/>
    <col min="8456" max="8456" width="16.875" style="2956" customWidth="1"/>
    <col min="8457" max="8457" width="4.875" style="2956" customWidth="1"/>
    <col min="8458" max="8458" width="21.625" style="2956" customWidth="1"/>
    <col min="8459" max="8459" width="19.125" style="2956" bestFit="1" customWidth="1"/>
    <col min="8460" max="8460" width="25.25" style="2956" customWidth="1"/>
    <col min="8461" max="8461" width="9.5" style="2956" bestFit="1" customWidth="1"/>
    <col min="8462" max="8462" width="20.5" style="2956" bestFit="1" customWidth="1"/>
    <col min="8463" max="8704" width="9" style="2956"/>
    <col min="8705" max="8705" width="7.375" style="2956" customWidth="1"/>
    <col min="8706" max="8706" width="25.625" style="2956" customWidth="1"/>
    <col min="8707" max="8707" width="9.75" style="2956" customWidth="1"/>
    <col min="8708" max="8708" width="19.75" style="2956" bestFit="1" customWidth="1"/>
    <col min="8709" max="8709" width="9.25" style="2956" customWidth="1"/>
    <col min="8710" max="8710" width="6.625" style="2956" customWidth="1"/>
    <col min="8711" max="8711" width="5.5" style="2956" bestFit="1" customWidth="1"/>
    <col min="8712" max="8712" width="16.875" style="2956" customWidth="1"/>
    <col min="8713" max="8713" width="4.875" style="2956" customWidth="1"/>
    <col min="8714" max="8714" width="21.625" style="2956" customWidth="1"/>
    <col min="8715" max="8715" width="19.125" style="2956" bestFit="1" customWidth="1"/>
    <col min="8716" max="8716" width="25.25" style="2956" customWidth="1"/>
    <col min="8717" max="8717" width="9.5" style="2956" bestFit="1" customWidth="1"/>
    <col min="8718" max="8718" width="20.5" style="2956" bestFit="1" customWidth="1"/>
    <col min="8719" max="8960" width="9" style="2956"/>
    <col min="8961" max="8961" width="7.375" style="2956" customWidth="1"/>
    <col min="8962" max="8962" width="25.625" style="2956" customWidth="1"/>
    <col min="8963" max="8963" width="9.75" style="2956" customWidth="1"/>
    <col min="8964" max="8964" width="19.75" style="2956" bestFit="1" customWidth="1"/>
    <col min="8965" max="8965" width="9.25" style="2956" customWidth="1"/>
    <col min="8966" max="8966" width="6.625" style="2956" customWidth="1"/>
    <col min="8967" max="8967" width="5.5" style="2956" bestFit="1" customWidth="1"/>
    <col min="8968" max="8968" width="16.875" style="2956" customWidth="1"/>
    <col min="8969" max="8969" width="4.875" style="2956" customWidth="1"/>
    <col min="8970" max="8970" width="21.625" style="2956" customWidth="1"/>
    <col min="8971" max="8971" width="19.125" style="2956" bestFit="1" customWidth="1"/>
    <col min="8972" max="8972" width="25.25" style="2956" customWidth="1"/>
    <col min="8973" max="8973" width="9.5" style="2956" bestFit="1" customWidth="1"/>
    <col min="8974" max="8974" width="20.5" style="2956" bestFit="1" customWidth="1"/>
    <col min="8975" max="9216" width="9" style="2956"/>
    <col min="9217" max="9217" width="7.375" style="2956" customWidth="1"/>
    <col min="9218" max="9218" width="25.625" style="2956" customWidth="1"/>
    <col min="9219" max="9219" width="9.75" style="2956" customWidth="1"/>
    <col min="9220" max="9220" width="19.75" style="2956" bestFit="1" customWidth="1"/>
    <col min="9221" max="9221" width="9.25" style="2956" customWidth="1"/>
    <col min="9222" max="9222" width="6.625" style="2956" customWidth="1"/>
    <col min="9223" max="9223" width="5.5" style="2956" bestFit="1" customWidth="1"/>
    <col min="9224" max="9224" width="16.875" style="2956" customWidth="1"/>
    <col min="9225" max="9225" width="4.875" style="2956" customWidth="1"/>
    <col min="9226" max="9226" width="21.625" style="2956" customWidth="1"/>
    <col min="9227" max="9227" width="19.125" style="2956" bestFit="1" customWidth="1"/>
    <col min="9228" max="9228" width="25.25" style="2956" customWidth="1"/>
    <col min="9229" max="9229" width="9.5" style="2956" bestFit="1" customWidth="1"/>
    <col min="9230" max="9230" width="20.5" style="2956" bestFit="1" customWidth="1"/>
    <col min="9231" max="9472" width="9" style="2956"/>
    <col min="9473" max="9473" width="7.375" style="2956" customWidth="1"/>
    <col min="9474" max="9474" width="25.625" style="2956" customWidth="1"/>
    <col min="9475" max="9475" width="9.75" style="2956" customWidth="1"/>
    <col min="9476" max="9476" width="19.75" style="2956" bestFit="1" customWidth="1"/>
    <col min="9477" max="9477" width="9.25" style="2956" customWidth="1"/>
    <col min="9478" max="9478" width="6.625" style="2956" customWidth="1"/>
    <col min="9479" max="9479" width="5.5" style="2956" bestFit="1" customWidth="1"/>
    <col min="9480" max="9480" width="16.875" style="2956" customWidth="1"/>
    <col min="9481" max="9481" width="4.875" style="2956" customWidth="1"/>
    <col min="9482" max="9482" width="21.625" style="2956" customWidth="1"/>
    <col min="9483" max="9483" width="19.125" style="2956" bestFit="1" customWidth="1"/>
    <col min="9484" max="9484" width="25.25" style="2956" customWidth="1"/>
    <col min="9485" max="9485" width="9.5" style="2956" bestFit="1" customWidth="1"/>
    <col min="9486" max="9486" width="20.5" style="2956" bestFit="1" customWidth="1"/>
    <col min="9487" max="9728" width="9" style="2956"/>
    <col min="9729" max="9729" width="7.375" style="2956" customWidth="1"/>
    <col min="9730" max="9730" width="25.625" style="2956" customWidth="1"/>
    <col min="9731" max="9731" width="9.75" style="2956" customWidth="1"/>
    <col min="9732" max="9732" width="19.75" style="2956" bestFit="1" customWidth="1"/>
    <col min="9733" max="9733" width="9.25" style="2956" customWidth="1"/>
    <col min="9734" max="9734" width="6.625" style="2956" customWidth="1"/>
    <col min="9735" max="9735" width="5.5" style="2956" bestFit="1" customWidth="1"/>
    <col min="9736" max="9736" width="16.875" style="2956" customWidth="1"/>
    <col min="9737" max="9737" width="4.875" style="2956" customWidth="1"/>
    <col min="9738" max="9738" width="21.625" style="2956" customWidth="1"/>
    <col min="9739" max="9739" width="19.125" style="2956" bestFit="1" customWidth="1"/>
    <col min="9740" max="9740" width="25.25" style="2956" customWidth="1"/>
    <col min="9741" max="9741" width="9.5" style="2956" bestFit="1" customWidth="1"/>
    <col min="9742" max="9742" width="20.5" style="2956" bestFit="1" customWidth="1"/>
    <col min="9743" max="9984" width="9" style="2956"/>
    <col min="9985" max="9985" width="7.375" style="2956" customWidth="1"/>
    <col min="9986" max="9986" width="25.625" style="2956" customWidth="1"/>
    <col min="9987" max="9987" width="9.75" style="2956" customWidth="1"/>
    <col min="9988" max="9988" width="19.75" style="2956" bestFit="1" customWidth="1"/>
    <col min="9989" max="9989" width="9.25" style="2956" customWidth="1"/>
    <col min="9990" max="9990" width="6.625" style="2956" customWidth="1"/>
    <col min="9991" max="9991" width="5.5" style="2956" bestFit="1" customWidth="1"/>
    <col min="9992" max="9992" width="16.875" style="2956" customWidth="1"/>
    <col min="9993" max="9993" width="4.875" style="2956" customWidth="1"/>
    <col min="9994" max="9994" width="21.625" style="2956" customWidth="1"/>
    <col min="9995" max="9995" width="19.125" style="2956" bestFit="1" customWidth="1"/>
    <col min="9996" max="9996" width="25.25" style="2956" customWidth="1"/>
    <col min="9997" max="9997" width="9.5" style="2956" bestFit="1" customWidth="1"/>
    <col min="9998" max="9998" width="20.5" style="2956" bestFit="1" customWidth="1"/>
    <col min="9999" max="10240" width="9" style="2956"/>
    <col min="10241" max="10241" width="7.375" style="2956" customWidth="1"/>
    <col min="10242" max="10242" width="25.625" style="2956" customWidth="1"/>
    <col min="10243" max="10243" width="9.75" style="2956" customWidth="1"/>
    <col min="10244" max="10244" width="19.75" style="2956" bestFit="1" customWidth="1"/>
    <col min="10245" max="10245" width="9.25" style="2956" customWidth="1"/>
    <col min="10246" max="10246" width="6.625" style="2956" customWidth="1"/>
    <col min="10247" max="10247" width="5.5" style="2956" bestFit="1" customWidth="1"/>
    <col min="10248" max="10248" width="16.875" style="2956" customWidth="1"/>
    <col min="10249" max="10249" width="4.875" style="2956" customWidth="1"/>
    <col min="10250" max="10250" width="21.625" style="2956" customWidth="1"/>
    <col min="10251" max="10251" width="19.125" style="2956" bestFit="1" customWidth="1"/>
    <col min="10252" max="10252" width="25.25" style="2956" customWidth="1"/>
    <col min="10253" max="10253" width="9.5" style="2956" bestFit="1" customWidth="1"/>
    <col min="10254" max="10254" width="20.5" style="2956" bestFit="1" customWidth="1"/>
    <col min="10255" max="10496" width="9" style="2956"/>
    <col min="10497" max="10497" width="7.375" style="2956" customWidth="1"/>
    <col min="10498" max="10498" width="25.625" style="2956" customWidth="1"/>
    <col min="10499" max="10499" width="9.75" style="2956" customWidth="1"/>
    <col min="10500" max="10500" width="19.75" style="2956" bestFit="1" customWidth="1"/>
    <col min="10501" max="10501" width="9.25" style="2956" customWidth="1"/>
    <col min="10502" max="10502" width="6.625" style="2956" customWidth="1"/>
    <col min="10503" max="10503" width="5.5" style="2956" bestFit="1" customWidth="1"/>
    <col min="10504" max="10504" width="16.875" style="2956" customWidth="1"/>
    <col min="10505" max="10505" width="4.875" style="2956" customWidth="1"/>
    <col min="10506" max="10506" width="21.625" style="2956" customWidth="1"/>
    <col min="10507" max="10507" width="19.125" style="2956" bestFit="1" customWidth="1"/>
    <col min="10508" max="10508" width="25.25" style="2956" customWidth="1"/>
    <col min="10509" max="10509" width="9.5" style="2956" bestFit="1" customWidth="1"/>
    <col min="10510" max="10510" width="20.5" style="2956" bestFit="1" customWidth="1"/>
    <col min="10511" max="10752" width="9" style="2956"/>
    <col min="10753" max="10753" width="7.375" style="2956" customWidth="1"/>
    <col min="10754" max="10754" width="25.625" style="2956" customWidth="1"/>
    <col min="10755" max="10755" width="9.75" style="2956" customWidth="1"/>
    <col min="10756" max="10756" width="19.75" style="2956" bestFit="1" customWidth="1"/>
    <col min="10757" max="10757" width="9.25" style="2956" customWidth="1"/>
    <col min="10758" max="10758" width="6.625" style="2956" customWidth="1"/>
    <col min="10759" max="10759" width="5.5" style="2956" bestFit="1" customWidth="1"/>
    <col min="10760" max="10760" width="16.875" style="2956" customWidth="1"/>
    <col min="10761" max="10761" width="4.875" style="2956" customWidth="1"/>
    <col min="10762" max="10762" width="21.625" style="2956" customWidth="1"/>
    <col min="10763" max="10763" width="19.125" style="2956" bestFit="1" customWidth="1"/>
    <col min="10764" max="10764" width="25.25" style="2956" customWidth="1"/>
    <col min="10765" max="10765" width="9.5" style="2956" bestFit="1" customWidth="1"/>
    <col min="10766" max="10766" width="20.5" style="2956" bestFit="1" customWidth="1"/>
    <col min="10767" max="11008" width="9" style="2956"/>
    <col min="11009" max="11009" width="7.375" style="2956" customWidth="1"/>
    <col min="11010" max="11010" width="25.625" style="2956" customWidth="1"/>
    <col min="11011" max="11011" width="9.75" style="2956" customWidth="1"/>
    <col min="11012" max="11012" width="19.75" style="2956" bestFit="1" customWidth="1"/>
    <col min="11013" max="11013" width="9.25" style="2956" customWidth="1"/>
    <col min="11014" max="11014" width="6.625" style="2956" customWidth="1"/>
    <col min="11015" max="11015" width="5.5" style="2956" bestFit="1" customWidth="1"/>
    <col min="11016" max="11016" width="16.875" style="2956" customWidth="1"/>
    <col min="11017" max="11017" width="4.875" style="2956" customWidth="1"/>
    <col min="11018" max="11018" width="21.625" style="2956" customWidth="1"/>
    <col min="11019" max="11019" width="19.125" style="2956" bestFit="1" customWidth="1"/>
    <col min="11020" max="11020" width="25.25" style="2956" customWidth="1"/>
    <col min="11021" max="11021" width="9.5" style="2956" bestFit="1" customWidth="1"/>
    <col min="11022" max="11022" width="20.5" style="2956" bestFit="1" customWidth="1"/>
    <col min="11023" max="11264" width="9" style="2956"/>
    <col min="11265" max="11265" width="7.375" style="2956" customWidth="1"/>
    <col min="11266" max="11266" width="25.625" style="2956" customWidth="1"/>
    <col min="11267" max="11267" width="9.75" style="2956" customWidth="1"/>
    <col min="11268" max="11268" width="19.75" style="2956" bestFit="1" customWidth="1"/>
    <col min="11269" max="11269" width="9.25" style="2956" customWidth="1"/>
    <col min="11270" max="11270" width="6.625" style="2956" customWidth="1"/>
    <col min="11271" max="11271" width="5.5" style="2956" bestFit="1" customWidth="1"/>
    <col min="11272" max="11272" width="16.875" style="2956" customWidth="1"/>
    <col min="11273" max="11273" width="4.875" style="2956" customWidth="1"/>
    <col min="11274" max="11274" width="21.625" style="2956" customWidth="1"/>
    <col min="11275" max="11275" width="19.125" style="2956" bestFit="1" customWidth="1"/>
    <col min="11276" max="11276" width="25.25" style="2956" customWidth="1"/>
    <col min="11277" max="11277" width="9.5" style="2956" bestFit="1" customWidth="1"/>
    <col min="11278" max="11278" width="20.5" style="2956" bestFit="1" customWidth="1"/>
    <col min="11279" max="11520" width="9" style="2956"/>
    <col min="11521" max="11521" width="7.375" style="2956" customWidth="1"/>
    <col min="11522" max="11522" width="25.625" style="2956" customWidth="1"/>
    <col min="11523" max="11523" width="9.75" style="2956" customWidth="1"/>
    <col min="11524" max="11524" width="19.75" style="2956" bestFit="1" customWidth="1"/>
    <col min="11525" max="11525" width="9.25" style="2956" customWidth="1"/>
    <col min="11526" max="11526" width="6.625" style="2956" customWidth="1"/>
    <col min="11527" max="11527" width="5.5" style="2956" bestFit="1" customWidth="1"/>
    <col min="11528" max="11528" width="16.875" style="2956" customWidth="1"/>
    <col min="11529" max="11529" width="4.875" style="2956" customWidth="1"/>
    <col min="11530" max="11530" width="21.625" style="2956" customWidth="1"/>
    <col min="11531" max="11531" width="19.125" style="2956" bestFit="1" customWidth="1"/>
    <col min="11532" max="11532" width="25.25" style="2956" customWidth="1"/>
    <col min="11533" max="11533" width="9.5" style="2956" bestFit="1" customWidth="1"/>
    <col min="11534" max="11534" width="20.5" style="2956" bestFit="1" customWidth="1"/>
    <col min="11535" max="11776" width="9" style="2956"/>
    <col min="11777" max="11777" width="7.375" style="2956" customWidth="1"/>
    <col min="11778" max="11778" width="25.625" style="2956" customWidth="1"/>
    <col min="11779" max="11779" width="9.75" style="2956" customWidth="1"/>
    <col min="11780" max="11780" width="19.75" style="2956" bestFit="1" customWidth="1"/>
    <col min="11781" max="11781" width="9.25" style="2956" customWidth="1"/>
    <col min="11782" max="11782" width="6.625" style="2956" customWidth="1"/>
    <col min="11783" max="11783" width="5.5" style="2956" bestFit="1" customWidth="1"/>
    <col min="11784" max="11784" width="16.875" style="2956" customWidth="1"/>
    <col min="11785" max="11785" width="4.875" style="2956" customWidth="1"/>
    <col min="11786" max="11786" width="21.625" style="2956" customWidth="1"/>
    <col min="11787" max="11787" width="19.125" style="2956" bestFit="1" customWidth="1"/>
    <col min="11788" max="11788" width="25.25" style="2956" customWidth="1"/>
    <col min="11789" max="11789" width="9.5" style="2956" bestFit="1" customWidth="1"/>
    <col min="11790" max="11790" width="20.5" style="2956" bestFit="1" customWidth="1"/>
    <col min="11791" max="12032" width="9" style="2956"/>
    <col min="12033" max="12033" width="7.375" style="2956" customWidth="1"/>
    <col min="12034" max="12034" width="25.625" style="2956" customWidth="1"/>
    <col min="12035" max="12035" width="9.75" style="2956" customWidth="1"/>
    <col min="12036" max="12036" width="19.75" style="2956" bestFit="1" customWidth="1"/>
    <col min="12037" max="12037" width="9.25" style="2956" customWidth="1"/>
    <col min="12038" max="12038" width="6.625" style="2956" customWidth="1"/>
    <col min="12039" max="12039" width="5.5" style="2956" bestFit="1" customWidth="1"/>
    <col min="12040" max="12040" width="16.875" style="2956" customWidth="1"/>
    <col min="12041" max="12041" width="4.875" style="2956" customWidth="1"/>
    <col min="12042" max="12042" width="21.625" style="2956" customWidth="1"/>
    <col min="12043" max="12043" width="19.125" style="2956" bestFit="1" customWidth="1"/>
    <col min="12044" max="12044" width="25.25" style="2956" customWidth="1"/>
    <col min="12045" max="12045" width="9.5" style="2956" bestFit="1" customWidth="1"/>
    <col min="12046" max="12046" width="20.5" style="2956" bestFit="1" customWidth="1"/>
    <col min="12047" max="12288" width="9" style="2956"/>
    <col min="12289" max="12289" width="7.375" style="2956" customWidth="1"/>
    <col min="12290" max="12290" width="25.625" style="2956" customWidth="1"/>
    <col min="12291" max="12291" width="9.75" style="2956" customWidth="1"/>
    <col min="12292" max="12292" width="19.75" style="2956" bestFit="1" customWidth="1"/>
    <col min="12293" max="12293" width="9.25" style="2956" customWidth="1"/>
    <col min="12294" max="12294" width="6.625" style="2956" customWidth="1"/>
    <col min="12295" max="12295" width="5.5" style="2956" bestFit="1" customWidth="1"/>
    <col min="12296" max="12296" width="16.875" style="2956" customWidth="1"/>
    <col min="12297" max="12297" width="4.875" style="2956" customWidth="1"/>
    <col min="12298" max="12298" width="21.625" style="2956" customWidth="1"/>
    <col min="12299" max="12299" width="19.125" style="2956" bestFit="1" customWidth="1"/>
    <col min="12300" max="12300" width="25.25" style="2956" customWidth="1"/>
    <col min="12301" max="12301" width="9.5" style="2956" bestFit="1" customWidth="1"/>
    <col min="12302" max="12302" width="20.5" style="2956" bestFit="1" customWidth="1"/>
    <col min="12303" max="12544" width="9" style="2956"/>
    <col min="12545" max="12545" width="7.375" style="2956" customWidth="1"/>
    <col min="12546" max="12546" width="25.625" style="2956" customWidth="1"/>
    <col min="12547" max="12547" width="9.75" style="2956" customWidth="1"/>
    <col min="12548" max="12548" width="19.75" style="2956" bestFit="1" customWidth="1"/>
    <col min="12549" max="12549" width="9.25" style="2956" customWidth="1"/>
    <col min="12550" max="12550" width="6.625" style="2956" customWidth="1"/>
    <col min="12551" max="12551" width="5.5" style="2956" bestFit="1" customWidth="1"/>
    <col min="12552" max="12552" width="16.875" style="2956" customWidth="1"/>
    <col min="12553" max="12553" width="4.875" style="2956" customWidth="1"/>
    <col min="12554" max="12554" width="21.625" style="2956" customWidth="1"/>
    <col min="12555" max="12555" width="19.125" style="2956" bestFit="1" customWidth="1"/>
    <col min="12556" max="12556" width="25.25" style="2956" customWidth="1"/>
    <col min="12557" max="12557" width="9.5" style="2956" bestFit="1" customWidth="1"/>
    <col min="12558" max="12558" width="20.5" style="2956" bestFit="1" customWidth="1"/>
    <col min="12559" max="12800" width="9" style="2956"/>
    <col min="12801" max="12801" width="7.375" style="2956" customWidth="1"/>
    <col min="12802" max="12802" width="25.625" style="2956" customWidth="1"/>
    <col min="12803" max="12803" width="9.75" style="2956" customWidth="1"/>
    <col min="12804" max="12804" width="19.75" style="2956" bestFit="1" customWidth="1"/>
    <col min="12805" max="12805" width="9.25" style="2956" customWidth="1"/>
    <col min="12806" max="12806" width="6.625" style="2956" customWidth="1"/>
    <col min="12807" max="12807" width="5.5" style="2956" bestFit="1" customWidth="1"/>
    <col min="12808" max="12808" width="16.875" style="2956" customWidth="1"/>
    <col min="12809" max="12809" width="4.875" style="2956" customWidth="1"/>
    <col min="12810" max="12810" width="21.625" style="2956" customWidth="1"/>
    <col min="12811" max="12811" width="19.125" style="2956" bestFit="1" customWidth="1"/>
    <col min="12812" max="12812" width="25.25" style="2956" customWidth="1"/>
    <col min="12813" max="12813" width="9.5" style="2956" bestFit="1" customWidth="1"/>
    <col min="12814" max="12814" width="20.5" style="2956" bestFit="1" customWidth="1"/>
    <col min="12815" max="13056" width="9" style="2956"/>
    <col min="13057" max="13057" width="7.375" style="2956" customWidth="1"/>
    <col min="13058" max="13058" width="25.625" style="2956" customWidth="1"/>
    <col min="13059" max="13059" width="9.75" style="2956" customWidth="1"/>
    <col min="13060" max="13060" width="19.75" style="2956" bestFit="1" customWidth="1"/>
    <col min="13061" max="13061" width="9.25" style="2956" customWidth="1"/>
    <col min="13062" max="13062" width="6.625" style="2956" customWidth="1"/>
    <col min="13063" max="13063" width="5.5" style="2956" bestFit="1" customWidth="1"/>
    <col min="13064" max="13064" width="16.875" style="2956" customWidth="1"/>
    <col min="13065" max="13065" width="4.875" style="2956" customWidth="1"/>
    <col min="13066" max="13066" width="21.625" style="2956" customWidth="1"/>
    <col min="13067" max="13067" width="19.125" style="2956" bestFit="1" customWidth="1"/>
    <col min="13068" max="13068" width="25.25" style="2956" customWidth="1"/>
    <col min="13069" max="13069" width="9.5" style="2956" bestFit="1" customWidth="1"/>
    <col min="13070" max="13070" width="20.5" style="2956" bestFit="1" customWidth="1"/>
    <col min="13071" max="13312" width="9" style="2956"/>
    <col min="13313" max="13313" width="7.375" style="2956" customWidth="1"/>
    <col min="13314" max="13314" width="25.625" style="2956" customWidth="1"/>
    <col min="13315" max="13315" width="9.75" style="2956" customWidth="1"/>
    <col min="13316" max="13316" width="19.75" style="2956" bestFit="1" customWidth="1"/>
    <col min="13317" max="13317" width="9.25" style="2956" customWidth="1"/>
    <col min="13318" max="13318" width="6.625" style="2956" customWidth="1"/>
    <col min="13319" max="13319" width="5.5" style="2956" bestFit="1" customWidth="1"/>
    <col min="13320" max="13320" width="16.875" style="2956" customWidth="1"/>
    <col min="13321" max="13321" width="4.875" style="2956" customWidth="1"/>
    <col min="13322" max="13322" width="21.625" style="2956" customWidth="1"/>
    <col min="13323" max="13323" width="19.125" style="2956" bestFit="1" customWidth="1"/>
    <col min="13324" max="13324" width="25.25" style="2956" customWidth="1"/>
    <col min="13325" max="13325" width="9.5" style="2956" bestFit="1" customWidth="1"/>
    <col min="13326" max="13326" width="20.5" style="2956" bestFit="1" customWidth="1"/>
    <col min="13327" max="13568" width="9" style="2956"/>
    <col min="13569" max="13569" width="7.375" style="2956" customWidth="1"/>
    <col min="13570" max="13570" width="25.625" style="2956" customWidth="1"/>
    <col min="13571" max="13571" width="9.75" style="2956" customWidth="1"/>
    <col min="13572" max="13572" width="19.75" style="2956" bestFit="1" customWidth="1"/>
    <col min="13573" max="13573" width="9.25" style="2956" customWidth="1"/>
    <col min="13574" max="13574" width="6.625" style="2956" customWidth="1"/>
    <col min="13575" max="13575" width="5.5" style="2956" bestFit="1" customWidth="1"/>
    <col min="13576" max="13576" width="16.875" style="2956" customWidth="1"/>
    <col min="13577" max="13577" width="4.875" style="2956" customWidth="1"/>
    <col min="13578" max="13578" width="21.625" style="2956" customWidth="1"/>
    <col min="13579" max="13579" width="19.125" style="2956" bestFit="1" customWidth="1"/>
    <col min="13580" max="13580" width="25.25" style="2956" customWidth="1"/>
    <col min="13581" max="13581" width="9.5" style="2956" bestFit="1" customWidth="1"/>
    <col min="13582" max="13582" width="20.5" style="2956" bestFit="1" customWidth="1"/>
    <col min="13583" max="13824" width="9" style="2956"/>
    <col min="13825" max="13825" width="7.375" style="2956" customWidth="1"/>
    <col min="13826" max="13826" width="25.625" style="2956" customWidth="1"/>
    <col min="13827" max="13827" width="9.75" style="2956" customWidth="1"/>
    <col min="13828" max="13828" width="19.75" style="2956" bestFit="1" customWidth="1"/>
    <col min="13829" max="13829" width="9.25" style="2956" customWidth="1"/>
    <col min="13830" max="13830" width="6.625" style="2956" customWidth="1"/>
    <col min="13831" max="13831" width="5.5" style="2956" bestFit="1" customWidth="1"/>
    <col min="13832" max="13832" width="16.875" style="2956" customWidth="1"/>
    <col min="13833" max="13833" width="4.875" style="2956" customWidth="1"/>
    <col min="13834" max="13834" width="21.625" style="2956" customWidth="1"/>
    <col min="13835" max="13835" width="19.125" style="2956" bestFit="1" customWidth="1"/>
    <col min="13836" max="13836" width="25.25" style="2956" customWidth="1"/>
    <col min="13837" max="13837" width="9.5" style="2956" bestFit="1" customWidth="1"/>
    <col min="13838" max="13838" width="20.5" style="2956" bestFit="1" customWidth="1"/>
    <col min="13839" max="14080" width="9" style="2956"/>
    <col min="14081" max="14081" width="7.375" style="2956" customWidth="1"/>
    <col min="14082" max="14082" width="25.625" style="2956" customWidth="1"/>
    <col min="14083" max="14083" width="9.75" style="2956" customWidth="1"/>
    <col min="14084" max="14084" width="19.75" style="2956" bestFit="1" customWidth="1"/>
    <col min="14085" max="14085" width="9.25" style="2956" customWidth="1"/>
    <col min="14086" max="14086" width="6.625" style="2956" customWidth="1"/>
    <col min="14087" max="14087" width="5.5" style="2956" bestFit="1" customWidth="1"/>
    <col min="14088" max="14088" width="16.875" style="2956" customWidth="1"/>
    <col min="14089" max="14089" width="4.875" style="2956" customWidth="1"/>
    <col min="14090" max="14090" width="21.625" style="2956" customWidth="1"/>
    <col min="14091" max="14091" width="19.125" style="2956" bestFit="1" customWidth="1"/>
    <col min="14092" max="14092" width="25.25" style="2956" customWidth="1"/>
    <col min="14093" max="14093" width="9.5" style="2956" bestFit="1" customWidth="1"/>
    <col min="14094" max="14094" width="20.5" style="2956" bestFit="1" customWidth="1"/>
    <col min="14095" max="14336" width="9" style="2956"/>
    <col min="14337" max="14337" width="7.375" style="2956" customWidth="1"/>
    <col min="14338" max="14338" width="25.625" style="2956" customWidth="1"/>
    <col min="14339" max="14339" width="9.75" style="2956" customWidth="1"/>
    <col min="14340" max="14340" width="19.75" style="2956" bestFit="1" customWidth="1"/>
    <col min="14341" max="14341" width="9.25" style="2956" customWidth="1"/>
    <col min="14342" max="14342" width="6.625" style="2956" customWidth="1"/>
    <col min="14343" max="14343" width="5.5" style="2956" bestFit="1" customWidth="1"/>
    <col min="14344" max="14344" width="16.875" style="2956" customWidth="1"/>
    <col min="14345" max="14345" width="4.875" style="2956" customWidth="1"/>
    <col min="14346" max="14346" width="21.625" style="2956" customWidth="1"/>
    <col min="14347" max="14347" width="19.125" style="2956" bestFit="1" customWidth="1"/>
    <col min="14348" max="14348" width="25.25" style="2956" customWidth="1"/>
    <col min="14349" max="14349" width="9.5" style="2956" bestFit="1" customWidth="1"/>
    <col min="14350" max="14350" width="20.5" style="2956" bestFit="1" customWidth="1"/>
    <col min="14351" max="14592" width="9" style="2956"/>
    <col min="14593" max="14593" width="7.375" style="2956" customWidth="1"/>
    <col min="14594" max="14594" width="25.625" style="2956" customWidth="1"/>
    <col min="14595" max="14595" width="9.75" style="2956" customWidth="1"/>
    <col min="14596" max="14596" width="19.75" style="2956" bestFit="1" customWidth="1"/>
    <col min="14597" max="14597" width="9.25" style="2956" customWidth="1"/>
    <col min="14598" max="14598" width="6.625" style="2956" customWidth="1"/>
    <col min="14599" max="14599" width="5.5" style="2956" bestFit="1" customWidth="1"/>
    <col min="14600" max="14600" width="16.875" style="2956" customWidth="1"/>
    <col min="14601" max="14601" width="4.875" style="2956" customWidth="1"/>
    <col min="14602" max="14602" width="21.625" style="2956" customWidth="1"/>
    <col min="14603" max="14603" width="19.125" style="2956" bestFit="1" customWidth="1"/>
    <col min="14604" max="14604" width="25.25" style="2956" customWidth="1"/>
    <col min="14605" max="14605" width="9.5" style="2956" bestFit="1" customWidth="1"/>
    <col min="14606" max="14606" width="20.5" style="2956" bestFit="1" customWidth="1"/>
    <col min="14607" max="14848" width="9" style="2956"/>
    <col min="14849" max="14849" width="7.375" style="2956" customWidth="1"/>
    <col min="14850" max="14850" width="25.625" style="2956" customWidth="1"/>
    <col min="14851" max="14851" width="9.75" style="2956" customWidth="1"/>
    <col min="14852" max="14852" width="19.75" style="2956" bestFit="1" customWidth="1"/>
    <col min="14853" max="14853" width="9.25" style="2956" customWidth="1"/>
    <col min="14854" max="14854" width="6.625" style="2956" customWidth="1"/>
    <col min="14855" max="14855" width="5.5" style="2956" bestFit="1" customWidth="1"/>
    <col min="14856" max="14856" width="16.875" style="2956" customWidth="1"/>
    <col min="14857" max="14857" width="4.875" style="2956" customWidth="1"/>
    <col min="14858" max="14858" width="21.625" style="2956" customWidth="1"/>
    <col min="14859" max="14859" width="19.125" style="2956" bestFit="1" customWidth="1"/>
    <col min="14860" max="14860" width="25.25" style="2956" customWidth="1"/>
    <col min="14861" max="14861" width="9.5" style="2956" bestFit="1" customWidth="1"/>
    <col min="14862" max="14862" width="20.5" style="2956" bestFit="1" customWidth="1"/>
    <col min="14863" max="15104" width="9" style="2956"/>
    <col min="15105" max="15105" width="7.375" style="2956" customWidth="1"/>
    <col min="15106" max="15106" width="25.625" style="2956" customWidth="1"/>
    <col min="15107" max="15107" width="9.75" style="2956" customWidth="1"/>
    <col min="15108" max="15108" width="19.75" style="2956" bestFit="1" customWidth="1"/>
    <col min="15109" max="15109" width="9.25" style="2956" customWidth="1"/>
    <col min="15110" max="15110" width="6.625" style="2956" customWidth="1"/>
    <col min="15111" max="15111" width="5.5" style="2956" bestFit="1" customWidth="1"/>
    <col min="15112" max="15112" width="16.875" style="2956" customWidth="1"/>
    <col min="15113" max="15113" width="4.875" style="2956" customWidth="1"/>
    <col min="15114" max="15114" width="21.625" style="2956" customWidth="1"/>
    <col min="15115" max="15115" width="19.125" style="2956" bestFit="1" customWidth="1"/>
    <col min="15116" max="15116" width="25.25" style="2956" customWidth="1"/>
    <col min="15117" max="15117" width="9.5" style="2956" bestFit="1" customWidth="1"/>
    <col min="15118" max="15118" width="20.5" style="2956" bestFit="1" customWidth="1"/>
    <col min="15119" max="15360" width="9" style="2956"/>
    <col min="15361" max="15361" width="7.375" style="2956" customWidth="1"/>
    <col min="15362" max="15362" width="25.625" style="2956" customWidth="1"/>
    <col min="15363" max="15363" width="9.75" style="2956" customWidth="1"/>
    <col min="15364" max="15364" width="19.75" style="2956" bestFit="1" customWidth="1"/>
    <col min="15365" max="15365" width="9.25" style="2956" customWidth="1"/>
    <col min="15366" max="15366" width="6.625" style="2956" customWidth="1"/>
    <col min="15367" max="15367" width="5.5" style="2956" bestFit="1" customWidth="1"/>
    <col min="15368" max="15368" width="16.875" style="2956" customWidth="1"/>
    <col min="15369" max="15369" width="4.875" style="2956" customWidth="1"/>
    <col min="15370" max="15370" width="21.625" style="2956" customWidth="1"/>
    <col min="15371" max="15371" width="19.125" style="2956" bestFit="1" customWidth="1"/>
    <col min="15372" max="15372" width="25.25" style="2956" customWidth="1"/>
    <col min="15373" max="15373" width="9.5" style="2956" bestFit="1" customWidth="1"/>
    <col min="15374" max="15374" width="20.5" style="2956" bestFit="1" customWidth="1"/>
    <col min="15375" max="15616" width="9" style="2956"/>
    <col min="15617" max="15617" width="7.375" style="2956" customWidth="1"/>
    <col min="15618" max="15618" width="25.625" style="2956" customWidth="1"/>
    <col min="15619" max="15619" width="9.75" style="2956" customWidth="1"/>
    <col min="15620" max="15620" width="19.75" style="2956" bestFit="1" customWidth="1"/>
    <col min="15621" max="15621" width="9.25" style="2956" customWidth="1"/>
    <col min="15622" max="15622" width="6.625" style="2956" customWidth="1"/>
    <col min="15623" max="15623" width="5.5" style="2956" bestFit="1" customWidth="1"/>
    <col min="15624" max="15624" width="16.875" style="2956" customWidth="1"/>
    <col min="15625" max="15625" width="4.875" style="2956" customWidth="1"/>
    <col min="15626" max="15626" width="21.625" style="2956" customWidth="1"/>
    <col min="15627" max="15627" width="19.125" style="2956" bestFit="1" customWidth="1"/>
    <col min="15628" max="15628" width="25.25" style="2956" customWidth="1"/>
    <col min="15629" max="15629" width="9.5" style="2956" bestFit="1" customWidth="1"/>
    <col min="15630" max="15630" width="20.5" style="2956" bestFit="1" customWidth="1"/>
    <col min="15631" max="15872" width="9" style="2956"/>
    <col min="15873" max="15873" width="7.375" style="2956" customWidth="1"/>
    <col min="15874" max="15874" width="25.625" style="2956" customWidth="1"/>
    <col min="15875" max="15875" width="9.75" style="2956" customWidth="1"/>
    <col min="15876" max="15876" width="19.75" style="2956" bestFit="1" customWidth="1"/>
    <col min="15877" max="15877" width="9.25" style="2956" customWidth="1"/>
    <col min="15878" max="15878" width="6.625" style="2956" customWidth="1"/>
    <col min="15879" max="15879" width="5.5" style="2956" bestFit="1" customWidth="1"/>
    <col min="15880" max="15880" width="16.875" style="2956" customWidth="1"/>
    <col min="15881" max="15881" width="4.875" style="2956" customWidth="1"/>
    <col min="15882" max="15882" width="21.625" style="2956" customWidth="1"/>
    <col min="15883" max="15883" width="19.125" style="2956" bestFit="1" customWidth="1"/>
    <col min="15884" max="15884" width="25.25" style="2956" customWidth="1"/>
    <col min="15885" max="15885" width="9.5" style="2956" bestFit="1" customWidth="1"/>
    <col min="15886" max="15886" width="20.5" style="2956" bestFit="1" customWidth="1"/>
    <col min="15887" max="16128" width="9" style="2956"/>
    <col min="16129" max="16129" width="7.375" style="2956" customWidth="1"/>
    <col min="16130" max="16130" width="25.625" style="2956" customWidth="1"/>
    <col min="16131" max="16131" width="9.75" style="2956" customWidth="1"/>
    <col min="16132" max="16132" width="19.75" style="2956" bestFit="1" customWidth="1"/>
    <col min="16133" max="16133" width="9.25" style="2956" customWidth="1"/>
    <col min="16134" max="16134" width="6.625" style="2956" customWidth="1"/>
    <col min="16135" max="16135" width="5.5" style="2956" bestFit="1" customWidth="1"/>
    <col min="16136" max="16136" width="16.875" style="2956" customWidth="1"/>
    <col min="16137" max="16137" width="4.875" style="2956" customWidth="1"/>
    <col min="16138" max="16138" width="21.625" style="2956" customWidth="1"/>
    <col min="16139" max="16139" width="19.125" style="2956" bestFit="1" customWidth="1"/>
    <col min="16140" max="16140" width="25.25" style="2956" customWidth="1"/>
    <col min="16141" max="16141" width="9.5" style="2956" bestFit="1" customWidth="1"/>
    <col min="16142" max="16142" width="20.5" style="2956" bestFit="1" customWidth="1"/>
    <col min="16143" max="16384" width="9" style="2956"/>
  </cols>
  <sheetData>
    <row r="1" spans="1:16" ht="31.5" customHeight="1">
      <c r="A1" s="2954"/>
      <c r="B1" s="3421" t="s">
        <v>3086</v>
      </c>
      <c r="C1" s="3422"/>
      <c r="D1" s="3422"/>
      <c r="E1" s="3422"/>
      <c r="F1" s="3422"/>
      <c r="G1" s="3422"/>
      <c r="H1" s="3422"/>
      <c r="I1" s="3422"/>
      <c r="J1" s="3422"/>
      <c r="K1" s="3422"/>
      <c r="L1" s="3422"/>
      <c r="M1" s="3422"/>
      <c r="N1" s="3422"/>
      <c r="O1" s="2955"/>
      <c r="P1" s="2955"/>
    </row>
    <row r="2" spans="1:16">
      <c r="A2" s="2957" t="s">
        <v>3087</v>
      </c>
      <c r="B2" s="2958" t="s">
        <v>3088</v>
      </c>
      <c r="C2" s="2958" t="s">
        <v>3089</v>
      </c>
      <c r="D2" s="2958" t="s">
        <v>3090</v>
      </c>
      <c r="E2" s="2958" t="s">
        <v>3091</v>
      </c>
      <c r="F2" s="2958" t="s">
        <v>3092</v>
      </c>
      <c r="G2" s="2958" t="s">
        <v>3093</v>
      </c>
      <c r="H2" s="2958" t="s">
        <v>3094</v>
      </c>
      <c r="I2" s="2958" t="s">
        <v>3095</v>
      </c>
      <c r="J2" s="2958" t="s">
        <v>3096</v>
      </c>
      <c r="K2" s="2959" t="s">
        <v>3097</v>
      </c>
      <c r="L2" s="2958" t="s">
        <v>3098</v>
      </c>
      <c r="M2" s="2958" t="s">
        <v>3099</v>
      </c>
      <c r="N2" s="2958" t="s">
        <v>3100</v>
      </c>
    </row>
    <row r="3" spans="1:16" ht="67.5">
      <c r="A3" s="3423" t="s">
        <v>3101</v>
      </c>
      <c r="B3" s="3055" t="s">
        <v>3102</v>
      </c>
      <c r="C3" s="3055">
        <v>4100</v>
      </c>
      <c r="D3" s="3423" t="s">
        <v>3066</v>
      </c>
      <c r="E3" s="3423">
        <v>36541.65</v>
      </c>
      <c r="F3" s="3423" t="s">
        <v>3103</v>
      </c>
      <c r="G3" s="3055" t="s">
        <v>3104</v>
      </c>
      <c r="H3" s="2958" t="s">
        <v>3105</v>
      </c>
      <c r="I3" s="2958" t="s">
        <v>3106</v>
      </c>
      <c r="J3" s="2958" t="s">
        <v>3107</v>
      </c>
      <c r="K3" s="2959">
        <v>3000000</v>
      </c>
      <c r="L3" s="2958" t="s">
        <v>3108</v>
      </c>
      <c r="M3" s="2958" t="s">
        <v>3109</v>
      </c>
      <c r="N3" s="2958" t="s">
        <v>3110</v>
      </c>
    </row>
    <row r="4" spans="1:16" ht="33.75">
      <c r="A4" s="3423"/>
      <c r="B4" s="3055" t="s">
        <v>3111</v>
      </c>
      <c r="C4" s="3055">
        <v>4383</v>
      </c>
      <c r="D4" s="3423"/>
      <c r="E4" s="3423"/>
      <c r="F4" s="3423"/>
      <c r="G4" s="3055" t="s">
        <v>3112</v>
      </c>
      <c r="H4" s="2958" t="s">
        <v>3113</v>
      </c>
      <c r="I4" s="2958" t="s">
        <v>3038</v>
      </c>
      <c r="J4" s="2958" t="s">
        <v>3114</v>
      </c>
      <c r="K4" s="2959">
        <v>4450000</v>
      </c>
      <c r="L4" s="2958" t="s">
        <v>3115</v>
      </c>
      <c r="M4" s="2958" t="s">
        <v>3116</v>
      </c>
      <c r="N4" s="2958" t="s">
        <v>3117</v>
      </c>
    </row>
    <row r="5" spans="1:16" ht="26.25" customHeight="1">
      <c r="A5" s="3423"/>
      <c r="B5" s="3055" t="s">
        <v>3111</v>
      </c>
      <c r="C5" s="3055">
        <v>900</v>
      </c>
      <c r="D5" s="3423"/>
      <c r="E5" s="3423"/>
      <c r="F5" s="3423"/>
      <c r="G5" s="3055"/>
      <c r="H5" s="2958" t="s">
        <v>3118</v>
      </c>
      <c r="I5" s="2958" t="s">
        <v>3119</v>
      </c>
      <c r="J5" s="2958" t="s">
        <v>3120</v>
      </c>
      <c r="K5" s="2959">
        <v>637300</v>
      </c>
      <c r="L5" s="2958" t="s">
        <v>3121</v>
      </c>
      <c r="M5" s="2958" t="s">
        <v>3122</v>
      </c>
      <c r="N5" s="2958"/>
    </row>
    <row r="6" spans="1:16" ht="67.5">
      <c r="A6" s="3423"/>
      <c r="B6" s="3055" t="s">
        <v>3123</v>
      </c>
      <c r="C6" s="3055">
        <v>4590</v>
      </c>
      <c r="D6" s="3423"/>
      <c r="E6" s="3423"/>
      <c r="F6" s="3055" t="s">
        <v>3124</v>
      </c>
      <c r="G6" s="3055" t="s">
        <v>3104</v>
      </c>
      <c r="H6" s="2958" t="s">
        <v>3125</v>
      </c>
      <c r="I6" s="2958" t="s">
        <v>3126</v>
      </c>
      <c r="J6" s="2961" t="s">
        <v>3127</v>
      </c>
      <c r="K6" s="2959">
        <v>4100000</v>
      </c>
      <c r="L6" s="2958" t="s">
        <v>3128</v>
      </c>
      <c r="M6" s="2958" t="s">
        <v>3129</v>
      </c>
      <c r="N6" s="2958" t="s">
        <v>3130</v>
      </c>
    </row>
    <row r="7" spans="1:16" s="2966" customFormat="1" ht="26.25" customHeight="1">
      <c r="A7" s="3423"/>
      <c r="B7" s="2962" t="s">
        <v>3131</v>
      </c>
      <c r="C7" s="3060">
        <v>5000</v>
      </c>
      <c r="D7" s="3423"/>
      <c r="E7" s="3423"/>
      <c r="F7" s="3060" t="s">
        <v>3132</v>
      </c>
      <c r="G7" s="2962" t="s">
        <v>3133</v>
      </c>
      <c r="H7" s="2964" t="s">
        <v>3134</v>
      </c>
      <c r="I7" s="2964" t="s">
        <v>3135</v>
      </c>
      <c r="J7" s="2964"/>
      <c r="K7" s="2965">
        <v>3600000</v>
      </c>
      <c r="L7" s="2964"/>
      <c r="M7" s="2962">
        <v>0</v>
      </c>
      <c r="N7" s="2964"/>
    </row>
    <row r="8" spans="1:16" ht="26.25" customHeight="1">
      <c r="A8" s="3423" t="s">
        <v>3069</v>
      </c>
      <c r="B8" s="3055" t="s">
        <v>3136</v>
      </c>
      <c r="C8" s="3055">
        <v>2952.45</v>
      </c>
      <c r="D8" s="3423"/>
      <c r="E8" s="3423"/>
      <c r="F8" s="3423" t="s">
        <v>3137</v>
      </c>
      <c r="G8" s="3055" t="s">
        <v>3138</v>
      </c>
      <c r="H8" s="2958" t="s">
        <v>3139</v>
      </c>
      <c r="I8" s="2958" t="s">
        <v>3038</v>
      </c>
      <c r="J8" s="2958" t="s">
        <v>3140</v>
      </c>
      <c r="K8" s="2959">
        <v>3234000</v>
      </c>
      <c r="L8" s="2958" t="s">
        <v>3141</v>
      </c>
      <c r="M8" s="2958">
        <v>0</v>
      </c>
      <c r="N8" s="2958" t="s">
        <v>3142</v>
      </c>
    </row>
    <row r="9" spans="1:16" ht="26.25" customHeight="1">
      <c r="A9" s="3423"/>
      <c r="B9" s="3055" t="s">
        <v>3143</v>
      </c>
      <c r="C9" s="3055">
        <v>4068.25</v>
      </c>
      <c r="D9" s="3423"/>
      <c r="E9" s="3423"/>
      <c r="F9" s="3423"/>
      <c r="G9" s="3055" t="s">
        <v>3138</v>
      </c>
      <c r="H9" s="2958" t="s">
        <v>3144</v>
      </c>
      <c r="I9" s="2958" t="s">
        <v>3038</v>
      </c>
      <c r="J9" s="2958" t="s">
        <v>3145</v>
      </c>
      <c r="K9" s="2959">
        <v>3864000</v>
      </c>
      <c r="L9" s="2958" t="s">
        <v>3146</v>
      </c>
      <c r="M9" s="2958">
        <v>0</v>
      </c>
      <c r="N9" s="2958" t="s">
        <v>3147</v>
      </c>
    </row>
    <row r="10" spans="1:16" ht="26.25" customHeight="1">
      <c r="A10" s="3423"/>
      <c r="B10" s="3055" t="s">
        <v>3148</v>
      </c>
      <c r="C10" s="3055">
        <v>2485.98</v>
      </c>
      <c r="D10" s="3423"/>
      <c r="E10" s="3423"/>
      <c r="F10" s="3423" t="s">
        <v>3149</v>
      </c>
      <c r="G10" s="3055" t="s">
        <v>3138</v>
      </c>
      <c r="H10" s="2958" t="s">
        <v>3139</v>
      </c>
      <c r="I10" s="2958" t="s">
        <v>3038</v>
      </c>
      <c r="J10" s="2958" t="s">
        <v>3150</v>
      </c>
      <c r="K10" s="2959">
        <v>2982000</v>
      </c>
      <c r="L10" s="2958" t="s">
        <v>3141</v>
      </c>
      <c r="M10" s="2958">
        <v>0</v>
      </c>
      <c r="N10" s="2958" t="s">
        <v>3151</v>
      </c>
    </row>
    <row r="11" spans="1:16" ht="26.25" customHeight="1">
      <c r="A11" s="3423"/>
      <c r="B11" s="3055" t="s">
        <v>3152</v>
      </c>
      <c r="C11" s="3055">
        <v>1594.81</v>
      </c>
      <c r="D11" s="3423"/>
      <c r="E11" s="3423"/>
      <c r="F11" s="3423"/>
      <c r="G11" s="3055" t="s">
        <v>3138</v>
      </c>
      <c r="H11" s="2958" t="s">
        <v>3139</v>
      </c>
      <c r="I11" s="2958" t="s">
        <v>3038</v>
      </c>
      <c r="J11" s="2958" t="s">
        <v>3153</v>
      </c>
      <c r="K11" s="2959">
        <v>1428000</v>
      </c>
      <c r="L11" s="2958" t="s">
        <v>3154</v>
      </c>
      <c r="M11" s="2958">
        <v>0</v>
      </c>
      <c r="N11" s="2958" t="s">
        <v>3155</v>
      </c>
    </row>
    <row r="12" spans="1:16" s="2972" customFormat="1" ht="26.25" customHeight="1">
      <c r="A12" s="2967"/>
      <c r="B12" s="2968" t="s">
        <v>37</v>
      </c>
      <c r="C12" s="2969">
        <f>SUM(C3:C11)</f>
        <v>30074.49</v>
      </c>
      <c r="D12" s="2969"/>
      <c r="E12" s="2969">
        <v>36541.65</v>
      </c>
      <c r="F12" s="2969"/>
      <c r="G12" s="2968"/>
      <c r="H12" s="2970"/>
      <c r="I12" s="2970"/>
      <c r="J12" s="2970"/>
      <c r="K12" s="2971">
        <f>SUM(K3:K11)</f>
        <v>27295300</v>
      </c>
      <c r="L12" s="2970"/>
      <c r="M12" s="2968"/>
      <c r="N12" s="2970"/>
    </row>
    <row r="13" spans="1:16" ht="26.25" customHeight="1">
      <c r="A13" s="2973"/>
      <c r="B13" s="3055" t="s">
        <v>3156</v>
      </c>
      <c r="C13" s="3055">
        <v>8340.06</v>
      </c>
      <c r="D13" s="3055" t="s">
        <v>3063</v>
      </c>
      <c r="E13" s="3055">
        <v>8078.12</v>
      </c>
      <c r="F13" s="3055" t="s">
        <v>3157</v>
      </c>
      <c r="G13" s="3055" t="s">
        <v>3158</v>
      </c>
      <c r="H13" s="2958" t="s">
        <v>3159</v>
      </c>
      <c r="I13" s="2958" t="s">
        <v>3160</v>
      </c>
      <c r="J13" s="2958" t="s">
        <v>3161</v>
      </c>
      <c r="K13" s="2959">
        <v>12000000</v>
      </c>
      <c r="L13" s="2958" t="s">
        <v>3162</v>
      </c>
      <c r="M13" s="2958">
        <v>2000000</v>
      </c>
      <c r="N13" s="2958" t="s">
        <v>3163</v>
      </c>
    </row>
    <row r="14" spans="1:16" s="2977" customFormat="1" ht="26.25" customHeight="1">
      <c r="A14" s="2974"/>
      <c r="B14" s="2975" t="s">
        <v>37</v>
      </c>
      <c r="C14" s="2975">
        <f>C13</f>
        <v>8340.06</v>
      </c>
      <c r="D14" s="2975"/>
      <c r="E14" s="2975">
        <f>E13</f>
        <v>8078.12</v>
      </c>
      <c r="F14" s="2975"/>
      <c r="G14" s="2975"/>
      <c r="H14" s="2975"/>
      <c r="I14" s="2975"/>
      <c r="J14" s="2975"/>
      <c r="K14" s="2976">
        <f>K13</f>
        <v>12000000</v>
      </c>
      <c r="L14" s="2975"/>
      <c r="M14" s="2975"/>
      <c r="N14" s="2975"/>
    </row>
    <row r="15" spans="1:16" ht="26.25" customHeight="1">
      <c r="A15" s="3426" t="s">
        <v>3164</v>
      </c>
      <c r="B15" s="3054" t="s">
        <v>3165</v>
      </c>
      <c r="C15" s="3054">
        <v>1768.93</v>
      </c>
      <c r="D15" s="3419" t="s">
        <v>3166</v>
      </c>
      <c r="E15" s="3419">
        <v>15438.1</v>
      </c>
      <c r="F15" s="3419" t="s">
        <v>3167</v>
      </c>
      <c r="G15" s="3054" t="s">
        <v>3158</v>
      </c>
      <c r="H15" s="3054" t="s">
        <v>3168</v>
      </c>
      <c r="I15" s="3054" t="s">
        <v>3038</v>
      </c>
      <c r="J15" s="3054">
        <v>6.9</v>
      </c>
      <c r="K15" s="3061">
        <f>C15*J15*365</f>
        <v>4455050.2050000001</v>
      </c>
      <c r="L15" s="3054" t="s">
        <v>3121</v>
      </c>
      <c r="M15" s="3054">
        <v>0</v>
      </c>
      <c r="N15" s="2983" t="s">
        <v>3169</v>
      </c>
    </row>
    <row r="16" spans="1:16" ht="26.25" customHeight="1">
      <c r="A16" s="3426"/>
      <c r="B16" s="3054" t="s">
        <v>3170</v>
      </c>
      <c r="C16" s="3054">
        <v>1345</v>
      </c>
      <c r="D16" s="3419"/>
      <c r="E16" s="3419"/>
      <c r="F16" s="3419"/>
      <c r="G16" s="3054" t="s">
        <v>3158</v>
      </c>
      <c r="H16" s="3054" t="s">
        <v>3171</v>
      </c>
      <c r="I16" s="3054" t="s">
        <v>3038</v>
      </c>
      <c r="J16" s="3054">
        <v>7.2</v>
      </c>
      <c r="K16" s="3061">
        <f t="shared" ref="K16:K23" si="0">C16*J16*365</f>
        <v>3534660</v>
      </c>
      <c r="L16" s="3054" t="s">
        <v>3121</v>
      </c>
      <c r="M16" s="3054">
        <v>0</v>
      </c>
      <c r="N16" s="2983" t="s">
        <v>3169</v>
      </c>
    </row>
    <row r="17" spans="1:14" ht="26.25" customHeight="1">
      <c r="A17" s="3426"/>
      <c r="B17" s="3054" t="s">
        <v>3172</v>
      </c>
      <c r="C17" s="3054">
        <v>1540</v>
      </c>
      <c r="D17" s="3419"/>
      <c r="E17" s="3419"/>
      <c r="F17" s="3419"/>
      <c r="G17" s="3054" t="s">
        <v>3158</v>
      </c>
      <c r="H17" s="3054" t="s">
        <v>3173</v>
      </c>
      <c r="I17" s="3054" t="s">
        <v>3038</v>
      </c>
      <c r="J17" s="3054">
        <v>7.2</v>
      </c>
      <c r="K17" s="3061">
        <f t="shared" si="0"/>
        <v>4047120</v>
      </c>
      <c r="L17" s="3054" t="s">
        <v>3121</v>
      </c>
      <c r="M17" s="3054">
        <v>0</v>
      </c>
      <c r="N17" s="2983" t="s">
        <v>3174</v>
      </c>
    </row>
    <row r="18" spans="1:14" ht="26.25" customHeight="1">
      <c r="A18" s="3426"/>
      <c r="B18" s="3054" t="s">
        <v>3175</v>
      </c>
      <c r="C18" s="3054">
        <v>1450</v>
      </c>
      <c r="D18" s="3419"/>
      <c r="E18" s="3419"/>
      <c r="F18" s="3419"/>
      <c r="G18" s="3054" t="s">
        <v>3158</v>
      </c>
      <c r="H18" s="3054" t="s">
        <v>3176</v>
      </c>
      <c r="I18" s="3054" t="s">
        <v>3038</v>
      </c>
      <c r="J18" s="3054">
        <v>7.2</v>
      </c>
      <c r="K18" s="3061">
        <f t="shared" si="0"/>
        <v>3810600</v>
      </c>
      <c r="L18" s="3054" t="s">
        <v>3121</v>
      </c>
      <c r="M18" s="3054">
        <v>0</v>
      </c>
      <c r="N18" s="2983" t="s">
        <v>3174</v>
      </c>
    </row>
    <row r="19" spans="1:14" ht="26.25" customHeight="1">
      <c r="A19" s="3426"/>
      <c r="B19" s="3054" t="s">
        <v>3177</v>
      </c>
      <c r="C19" s="3054">
        <v>1780</v>
      </c>
      <c r="D19" s="3419"/>
      <c r="E19" s="3419"/>
      <c r="F19" s="3419"/>
      <c r="G19" s="3054" t="s">
        <v>3158</v>
      </c>
      <c r="H19" s="3054" t="s">
        <v>3178</v>
      </c>
      <c r="I19" s="3054" t="s">
        <v>3038</v>
      </c>
      <c r="J19" s="3054">
        <v>7.2</v>
      </c>
      <c r="K19" s="3061">
        <f t="shared" si="0"/>
        <v>4677840</v>
      </c>
      <c r="L19" s="3054" t="s">
        <v>3121</v>
      </c>
      <c r="M19" s="3054">
        <v>0</v>
      </c>
      <c r="N19" s="2983" t="s">
        <v>3179</v>
      </c>
    </row>
    <row r="20" spans="1:14" ht="26.25" customHeight="1">
      <c r="A20" s="3426"/>
      <c r="B20" s="2983" t="s">
        <v>3180</v>
      </c>
      <c r="C20" s="2983">
        <v>1445.67</v>
      </c>
      <c r="D20" s="3419"/>
      <c r="E20" s="3419"/>
      <c r="F20" s="3419"/>
      <c r="G20" s="3054" t="s">
        <v>3158</v>
      </c>
      <c r="H20" s="2983" t="s">
        <v>3181</v>
      </c>
      <c r="I20" s="2983" t="s">
        <v>3038</v>
      </c>
      <c r="J20" s="3054">
        <v>7.2</v>
      </c>
      <c r="K20" s="3061">
        <f t="shared" si="0"/>
        <v>3799220.7600000002</v>
      </c>
      <c r="L20" s="3054" t="s">
        <v>3121</v>
      </c>
      <c r="M20" s="2983">
        <v>0</v>
      </c>
      <c r="N20" s="2983" t="s">
        <v>3174</v>
      </c>
    </row>
    <row r="21" spans="1:14" ht="26.25" customHeight="1">
      <c r="A21" s="3426"/>
      <c r="B21" s="2983" t="s">
        <v>3182</v>
      </c>
      <c r="C21" s="2983">
        <v>1516.9</v>
      </c>
      <c r="D21" s="3419"/>
      <c r="E21" s="3419"/>
      <c r="F21" s="3419"/>
      <c r="G21" s="3054" t="s">
        <v>3158</v>
      </c>
      <c r="H21" s="2983" t="s">
        <v>3181</v>
      </c>
      <c r="I21" s="2983" t="s">
        <v>3038</v>
      </c>
      <c r="J21" s="3054">
        <v>7.2</v>
      </c>
      <c r="K21" s="3061">
        <f t="shared" si="0"/>
        <v>3986413.2</v>
      </c>
      <c r="L21" s="3054" t="s">
        <v>3121</v>
      </c>
      <c r="M21" s="2983">
        <v>0</v>
      </c>
      <c r="N21" s="2983" t="s">
        <v>3179</v>
      </c>
    </row>
    <row r="22" spans="1:14" ht="26.25" customHeight="1">
      <c r="A22" s="3426"/>
      <c r="B22" s="2983" t="s">
        <v>3183</v>
      </c>
      <c r="C22" s="2983">
        <v>1423.07</v>
      </c>
      <c r="D22" s="3419"/>
      <c r="E22" s="3419"/>
      <c r="F22" s="3419"/>
      <c r="G22" s="3054" t="s">
        <v>3158</v>
      </c>
      <c r="H22" s="2983" t="s">
        <v>3181</v>
      </c>
      <c r="I22" s="2983" t="s">
        <v>3038</v>
      </c>
      <c r="J22" s="3054">
        <v>7.2</v>
      </c>
      <c r="K22" s="3061">
        <f t="shared" si="0"/>
        <v>3739827.96</v>
      </c>
      <c r="L22" s="3054" t="s">
        <v>3121</v>
      </c>
      <c r="M22" s="2983">
        <v>0</v>
      </c>
      <c r="N22" s="2983" t="s">
        <v>3169</v>
      </c>
    </row>
    <row r="23" spans="1:14" ht="26.25" customHeight="1">
      <c r="A23" s="3426"/>
      <c r="B23" s="2983" t="s">
        <v>3184</v>
      </c>
      <c r="C23" s="2983">
        <v>938</v>
      </c>
      <c r="D23" s="3419"/>
      <c r="E23" s="3419"/>
      <c r="F23" s="3419"/>
      <c r="G23" s="3054" t="s">
        <v>3158</v>
      </c>
      <c r="H23" s="2983" t="s">
        <v>3185</v>
      </c>
      <c r="I23" s="2983" t="s">
        <v>3038</v>
      </c>
      <c r="J23" s="3054">
        <v>8.9</v>
      </c>
      <c r="K23" s="3061">
        <f t="shared" si="0"/>
        <v>3047093.0000000005</v>
      </c>
      <c r="L23" s="3054" t="s">
        <v>3121</v>
      </c>
      <c r="M23" s="2983">
        <v>0</v>
      </c>
      <c r="N23" s="2983" t="s">
        <v>3179</v>
      </c>
    </row>
    <row r="24" spans="1:14" ht="26.25" customHeight="1">
      <c r="A24" s="2958" t="s">
        <v>3186</v>
      </c>
      <c r="B24" s="2958" t="s">
        <v>3187</v>
      </c>
      <c r="C24" s="2958">
        <v>2230.5300000000002</v>
      </c>
      <c r="D24" s="3419"/>
      <c r="E24" s="3419"/>
      <c r="F24" s="2958" t="s">
        <v>3188</v>
      </c>
      <c r="G24" s="2958" t="s">
        <v>3189</v>
      </c>
      <c r="H24" s="2958" t="s">
        <v>3190</v>
      </c>
      <c r="I24" s="2958" t="s">
        <v>3191</v>
      </c>
      <c r="J24" s="2958" t="s">
        <v>3192</v>
      </c>
      <c r="K24" s="2959">
        <v>3818820</v>
      </c>
      <c r="L24" s="2958" t="s">
        <v>3193</v>
      </c>
      <c r="M24" s="2958">
        <v>954705</v>
      </c>
      <c r="N24" s="2958" t="s">
        <v>3194</v>
      </c>
    </row>
    <row r="25" spans="1:14" ht="26.25" customHeight="1">
      <c r="A25" s="2958"/>
      <c r="B25" s="2975" t="s">
        <v>37</v>
      </c>
      <c r="C25" s="2975">
        <f>SUM(C15:C24)</f>
        <v>15438.1</v>
      </c>
      <c r="D25" s="2982">
        <f>E25-C25</f>
        <v>0</v>
      </c>
      <c r="E25" s="2982">
        <f>E15</f>
        <v>15438.1</v>
      </c>
      <c r="F25" s="2975"/>
      <c r="G25" s="2975"/>
      <c r="H25" s="2975"/>
      <c r="I25" s="2975"/>
      <c r="J25" s="2975"/>
      <c r="K25" s="2976">
        <f>SUM(K15:K24)</f>
        <v>38916645.125</v>
      </c>
      <c r="L25" s="2975"/>
      <c r="M25" s="2958"/>
      <c r="N25" s="2958"/>
    </row>
    <row r="26" spans="1:14" ht="26.25" customHeight="1">
      <c r="A26" s="2958"/>
      <c r="B26" s="2983" t="s">
        <v>3195</v>
      </c>
      <c r="C26" s="2983"/>
      <c r="D26" s="2984"/>
      <c r="E26" s="3054"/>
      <c r="F26" s="2958"/>
      <c r="G26" s="2983"/>
      <c r="H26" s="2983" t="s">
        <v>3196</v>
      </c>
      <c r="I26" s="2983"/>
      <c r="J26" s="2983"/>
      <c r="K26" s="2986">
        <v>6000000</v>
      </c>
      <c r="L26" s="2983" t="s">
        <v>3197</v>
      </c>
      <c r="M26" s="2983">
        <v>6000000</v>
      </c>
      <c r="N26" s="2983" t="s">
        <v>3198</v>
      </c>
    </row>
    <row r="27" spans="1:14" ht="26.25" customHeight="1">
      <c r="A27" s="2958"/>
      <c r="B27" s="2958" t="s">
        <v>3199</v>
      </c>
      <c r="C27" s="2958"/>
      <c r="D27" s="2958"/>
      <c r="E27" s="2958"/>
      <c r="F27" s="2958"/>
      <c r="G27" s="2958"/>
      <c r="H27" s="2958"/>
      <c r="I27" s="2958"/>
      <c r="J27" s="2958"/>
      <c r="K27" s="2959">
        <v>6000000</v>
      </c>
      <c r="L27" s="2958"/>
      <c r="M27" s="2958"/>
      <c r="N27" s="2958"/>
    </row>
    <row r="28" spans="1:14" ht="26.25" customHeight="1">
      <c r="A28" s="2957" t="s">
        <v>37</v>
      </c>
      <c r="B28" s="2987"/>
      <c r="C28" s="2983">
        <f>SUM(C7:C25)</f>
        <v>93732.3</v>
      </c>
      <c r="D28" s="2983"/>
      <c r="E28" s="2983">
        <f>E12+E14+E25</f>
        <v>60057.87</v>
      </c>
      <c r="F28" s="2983"/>
      <c r="G28" s="2987"/>
      <c r="H28" s="2987"/>
      <c r="I28" s="2987"/>
      <c r="J28" s="2987"/>
      <c r="K28" s="2986">
        <f>K12+K14+K25+K26+K27</f>
        <v>90211945.125</v>
      </c>
      <c r="L28" s="2987"/>
      <c r="M28" s="2987"/>
      <c r="N28" s="2987"/>
    </row>
    <row r="30" spans="1:14" s="2981" customFormat="1">
      <c r="K30" s="2988">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N5" sqref="N5"/>
    </sheetView>
  </sheetViews>
  <sheetFormatPr defaultRowHeight="13.5"/>
  <cols>
    <col min="8" max="8" width="14" customWidth="1"/>
  </cols>
  <sheetData>
    <row r="1" spans="1:10" ht="14.25" thickBot="1">
      <c r="A1" s="3068" t="s">
        <v>3302</v>
      </c>
      <c r="B1" s="3068"/>
      <c r="C1" s="3068"/>
      <c r="D1" s="3069"/>
      <c r="E1" s="3068" t="s">
        <v>3303</v>
      </c>
      <c r="F1" s="3068" t="s">
        <v>3304</v>
      </c>
      <c r="G1" s="3068" t="s">
        <v>3305</v>
      </c>
      <c r="H1" s="3068" t="s">
        <v>3306</v>
      </c>
      <c r="I1" s="3068" t="s">
        <v>3307</v>
      </c>
      <c r="J1" s="3068" t="s">
        <v>3308</v>
      </c>
    </row>
    <row r="2" spans="1:10" ht="14.25" thickBot="1">
      <c r="A2" s="3070" t="s">
        <v>3309</v>
      </c>
      <c r="B2" s="3071"/>
      <c r="C2" s="3071"/>
      <c r="D2" s="3072"/>
      <c r="E2" s="3073" t="s">
        <v>3031</v>
      </c>
      <c r="F2" s="3073" t="s">
        <v>3222</v>
      </c>
      <c r="G2" s="3073" t="s">
        <v>3310</v>
      </c>
      <c r="H2" s="3074">
        <v>43094</v>
      </c>
      <c r="I2" s="3075">
        <v>100</v>
      </c>
      <c r="J2" s="3075">
        <v>1875.25</v>
      </c>
    </row>
    <row r="3" spans="1:10" ht="14.25" thickBot="1">
      <c r="A3" s="3070" t="s">
        <v>3311</v>
      </c>
      <c r="B3" s="3071"/>
      <c r="C3" s="3071"/>
      <c r="D3" s="3072"/>
      <c r="E3" s="3073" t="s">
        <v>3031</v>
      </c>
      <c r="F3" s="3073" t="s">
        <v>3222</v>
      </c>
      <c r="G3" s="3073" t="s">
        <v>3310</v>
      </c>
      <c r="H3" s="3074">
        <v>42859</v>
      </c>
      <c r="I3" s="3075">
        <v>245.27</v>
      </c>
      <c r="J3" s="3075">
        <v>4598.7700000000004</v>
      </c>
    </row>
    <row r="4" spans="1:10" ht="14.25" thickBot="1">
      <c r="A4" s="3070" t="s">
        <v>3312</v>
      </c>
      <c r="B4" s="3071"/>
      <c r="C4" s="3071"/>
      <c r="D4" s="3072"/>
      <c r="E4" s="3073" t="s">
        <v>3031</v>
      </c>
      <c r="F4" s="3073" t="s">
        <v>3222</v>
      </c>
      <c r="G4" s="3073" t="s">
        <v>3310</v>
      </c>
      <c r="H4" s="3074">
        <v>42846</v>
      </c>
      <c r="I4" s="3075">
        <v>205.51</v>
      </c>
      <c r="J4" s="3075">
        <v>3853.32</v>
      </c>
    </row>
    <row r="5" spans="1:10" ht="14.25" thickBot="1">
      <c r="A5" s="3070" t="s">
        <v>3313</v>
      </c>
      <c r="B5" s="3071"/>
      <c r="C5" s="3071"/>
      <c r="D5" s="3072"/>
      <c r="E5" s="3073" t="s">
        <v>3031</v>
      </c>
      <c r="F5" s="3073" t="s">
        <v>3222</v>
      </c>
      <c r="G5" s="3073" t="s">
        <v>3310</v>
      </c>
      <c r="H5" s="3074">
        <v>42846</v>
      </c>
      <c r="I5" s="3075">
        <v>181.56</v>
      </c>
      <c r="J5" s="3075">
        <v>2723.46</v>
      </c>
    </row>
    <row r="6" spans="1:10" ht="14.25" thickBot="1">
      <c r="A6" s="3070" t="s">
        <v>3314</v>
      </c>
      <c r="B6" s="3071"/>
      <c r="C6" s="3071"/>
      <c r="D6" s="3072"/>
      <c r="E6" s="3073" t="s">
        <v>3031</v>
      </c>
      <c r="F6" s="3073" t="s">
        <v>3222</v>
      </c>
      <c r="G6" s="3073" t="s">
        <v>3310</v>
      </c>
      <c r="H6" s="3074">
        <v>42668</v>
      </c>
      <c r="I6" s="3075">
        <v>100.62</v>
      </c>
      <c r="J6" s="3075">
        <v>1886.67</v>
      </c>
    </row>
    <row r="7" spans="1:10" ht="14.25" thickBot="1">
      <c r="A7" s="3070" t="s">
        <v>3315</v>
      </c>
      <c r="B7" s="3071"/>
      <c r="C7" s="3071"/>
      <c r="D7" s="3072"/>
      <c r="E7" s="3073" t="s">
        <v>3031</v>
      </c>
      <c r="F7" s="3073" t="s">
        <v>3222</v>
      </c>
      <c r="G7" s="3073" t="s">
        <v>3310</v>
      </c>
      <c r="H7" s="3074">
        <v>42102</v>
      </c>
      <c r="I7" s="3075">
        <v>80.14</v>
      </c>
      <c r="J7" s="3075">
        <v>1502.61</v>
      </c>
    </row>
    <row r="8" spans="1:10" ht="14.25" thickBot="1">
      <c r="A8" s="3070" t="s">
        <v>3316</v>
      </c>
      <c r="B8" s="3071"/>
      <c r="C8" s="3071"/>
      <c r="D8" s="3072"/>
      <c r="E8" s="3073" t="s">
        <v>3031</v>
      </c>
      <c r="F8" s="3073" t="s">
        <v>3222</v>
      </c>
      <c r="G8" s="3073" t="s">
        <v>3310</v>
      </c>
      <c r="H8" s="3074">
        <v>42102</v>
      </c>
      <c r="I8" s="3075">
        <v>83.58</v>
      </c>
      <c r="J8" s="3075">
        <v>1567.06</v>
      </c>
    </row>
    <row r="9" spans="1:10" ht="14.25" thickBot="1">
      <c r="A9" s="3070" t="s">
        <v>3317</v>
      </c>
      <c r="B9" s="3071"/>
      <c r="C9" s="3071"/>
      <c r="D9" s="3072"/>
      <c r="E9" s="3073" t="s">
        <v>3031</v>
      </c>
      <c r="F9" s="3073" t="s">
        <v>3222</v>
      </c>
      <c r="G9" s="3073" t="s">
        <v>3310</v>
      </c>
      <c r="H9" s="3074">
        <v>42079</v>
      </c>
      <c r="I9" s="3075">
        <v>83.82</v>
      </c>
      <c r="J9" s="3075">
        <v>1571.55</v>
      </c>
    </row>
    <row r="10" spans="1:10" ht="14.25" thickBot="1">
      <c r="A10" s="3070" t="s">
        <v>3318</v>
      </c>
      <c r="B10" s="3071"/>
      <c r="C10" s="3071"/>
      <c r="D10" s="3072"/>
      <c r="E10" s="3073" t="s">
        <v>3031</v>
      </c>
      <c r="F10" s="3073" t="s">
        <v>3222</v>
      </c>
      <c r="G10" s="3073" t="s">
        <v>3310</v>
      </c>
      <c r="H10" s="3074">
        <v>42074</v>
      </c>
      <c r="I10" s="3075">
        <v>83.58</v>
      </c>
      <c r="J10" s="3075">
        <v>1567.07</v>
      </c>
    </row>
  </sheetData>
  <phoneticPr fontId="143" type="noConversion"/>
  <hyperlinks>
    <hyperlink ref="A2" r:id="rId1" tooltip="顺义新城第14街区SY00-0014-6001M1一类工业用地项目" display="http://land.creis.fang.com/Detail?sParceliD=f057c036-38fa-46a1-a87e-747329d107f2"/>
    <hyperlink ref="A3" r:id="rId2" tooltip="顺义区天竺综合保税区3-4(C12地块局部)地块" display="http://land.creis.fang.com/Detail?sParceliD=4b7fe86f-a362-4d86-99e2-2e0adf2b2c47"/>
    <hyperlink ref="A4" r:id="rId3" tooltip="顺义区新城第26街区C-19(网内8号地)" display="http://land.creis.fang.com/Detail?sParceliD=8d1f9dd1-7a37-48bb-bb8e-b7446bd3bb75"/>
    <hyperlink ref="A5" r:id="rId4" tooltip="顺义区赵全营镇SY19-0107-0001至0003(即SY10-0107-6003)地块" display="http://land.creis.fang.com/Detail?sParceliD=99345c03-d9e8-4666-997e-9dfe9a7fe598"/>
    <hyperlink ref="A6" r:id="rId5" tooltip="顺义区金马工业区D1-01-1地块" display="http://land.creis.fang.com/Detail?sParceliD=a474aaef-9c39-4b48-a527-399d8c49d88c"/>
    <hyperlink ref="A7" r:id="rId6" tooltip="顺义区高丽营镇中关村临空国际3-2-4(南区)地块工业项目" display="http://land.creis.fang.com/Detail?sParceliD=86935845-45dc-4f45-9fea-cfa9a45f3501"/>
    <hyperlink ref="A8" r:id="rId7" tooltip="顺义区高丽营镇中关村临空国际5-3-2地块工业项目" display="http://land.creis.fang.com/Detail?sParceliD=ce09a615-1f04-4407-a015-595d84b97481"/>
    <hyperlink ref="A9" r:id="rId8" tooltip="顺义区赵全营B5-02地块工业项目" display="http://land.creis.fang.com/Detail?sParceliD=6ec21a0c-f1b4-42f7-8bc9-e145f2fd3c5f"/>
    <hyperlink ref="A10" r:id="rId9" tooltip="顺义区高丽营镇中关村临空国际5-3-3地块工业项目" display="http://land.creis.fang.com/Detail?sParceliD=27764e6f-9139-4899-b9b0-88cf13508c67"/>
  </hyperlinks>
  <pageMargins left="0.7" right="0.7" top="0.75" bottom="0.75" header="0.3" footer="0.3"/>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1640</v>
      </c>
      <c r="B2" s="3089" t="s">
        <v>1641</v>
      </c>
      <c r="C2" s="3089" t="s">
        <v>1642</v>
      </c>
      <c r="D2" s="3089" t="str">
        <f>结果表!D116</f>
        <v>出让国有建设用地使用权价值</v>
      </c>
      <c r="E2" s="3089"/>
      <c r="F2" s="3089" t="str">
        <f>结果表!F116</f>
        <v>建筑物价值</v>
      </c>
      <c r="G2" s="3089"/>
      <c r="H2" s="3089" t="str">
        <f>IF(项目基本情况!B9="房地产市场价值","房地产市场价值","房地产价值")</f>
        <v>房地产价值</v>
      </c>
      <c r="I2" s="3089"/>
    </row>
    <row r="3" spans="1:9" ht="15">
      <c r="A3" s="3090"/>
      <c r="B3" s="3090"/>
      <c r="C3" s="3090"/>
      <c r="D3" s="1045" t="s">
        <v>1637</v>
      </c>
      <c r="E3" s="1045" t="s">
        <v>1643</v>
      </c>
      <c r="F3" s="1045" t="s">
        <v>1637</v>
      </c>
      <c r="G3" s="1045" t="s">
        <v>1638</v>
      </c>
      <c r="H3" s="1045" t="s">
        <v>1637</v>
      </c>
      <c r="I3" s="1045" t="s">
        <v>1638</v>
      </c>
    </row>
    <row r="4" spans="1:9" ht="30">
      <c r="A4" s="1974" t="str">
        <f>项目基本情况!S2</f>
        <v>北京市顺义区京密路马坡段西侧房地产</v>
      </c>
      <c r="B4" s="1045">
        <f>项目基本情况!C17</f>
        <v>5755.45</v>
      </c>
      <c r="C4" s="1045">
        <f>项目基本情况!C18</f>
        <v>8089.25</v>
      </c>
      <c r="D4" s="1045">
        <f ca="1">结果表!D118</f>
        <v>2351</v>
      </c>
      <c r="E4" s="1045">
        <f ca="1">结果表!E118</f>
        <v>4085</v>
      </c>
      <c r="F4" s="1045">
        <f ca="1">结果表!F118</f>
        <v>1017</v>
      </c>
      <c r="G4" s="1045">
        <f ca="1">结果表!G118</f>
        <v>1767</v>
      </c>
      <c r="H4" s="1045">
        <f ca="1">结果表!H118</f>
        <v>3368</v>
      </c>
      <c r="I4" s="1045">
        <f ca="1">结果表!I118</f>
        <v>5852</v>
      </c>
    </row>
    <row r="5" spans="1:9" ht="30" customHeight="1">
      <c r="A5" s="3090" t="s">
        <v>1639</v>
      </c>
      <c r="B5" s="3090"/>
      <c r="C5" s="3090"/>
      <c r="D5" s="3091" t="str">
        <f ca="1">结果表!D119</f>
        <v>贰仟叁佰伍拾壹万元整</v>
      </c>
      <c r="E5" s="3091"/>
      <c r="F5" s="3091" t="str">
        <f ca="1">结果表!F119</f>
        <v>壹仟零壹拾柒万元整</v>
      </c>
      <c r="G5" s="3091"/>
      <c r="H5" s="3091" t="str">
        <f ca="1">结果表!H119</f>
        <v>叁仟叁佰陆拾捌万元整</v>
      </c>
      <c r="I5" s="3091"/>
    </row>
    <row r="6" spans="1:9" ht="15.75">
      <c r="A6" s="3092" t="str">
        <f>结果表!A120</f>
        <v>估价师知悉的除抵押担保权以外的法定优先受偿款</v>
      </c>
      <c r="B6" s="3092"/>
      <c r="C6" s="3092"/>
      <c r="D6" s="3092">
        <f ca="1">结果表!D120</f>
        <v>249</v>
      </c>
      <c r="E6" s="3092"/>
      <c r="F6" s="3092"/>
      <c r="G6" s="3092"/>
      <c r="H6" s="3092"/>
      <c r="I6" s="3092"/>
    </row>
    <row r="7" spans="1:9" ht="15">
      <c r="A7" s="3090" t="s">
        <v>1639</v>
      </c>
      <c r="B7" s="3090"/>
      <c r="C7" s="3090"/>
      <c r="D7" s="3093" t="str">
        <f ca="1">结果表!D121</f>
        <v>贰佰肆拾玖万元整</v>
      </c>
      <c r="E7" s="3094"/>
      <c r="F7" s="3094"/>
      <c r="G7" s="3094"/>
      <c r="H7" s="3094"/>
      <c r="I7" s="3095"/>
    </row>
    <row r="8" spans="1:9" ht="15.75">
      <c r="A8" s="3092" t="str">
        <f>结果表!A122</f>
        <v/>
      </c>
      <c r="B8" s="3092"/>
      <c r="C8" s="3092"/>
      <c r="D8" s="3092" t="str">
        <f>结果表!D122</f>
        <v>——</v>
      </c>
      <c r="E8" s="3092"/>
      <c r="F8" s="3092"/>
      <c r="G8" s="3092"/>
      <c r="H8" s="3092"/>
      <c r="I8" s="3092"/>
    </row>
    <row r="9" spans="1:9" ht="15">
      <c r="A9" s="3090" t="s">
        <v>1639</v>
      </c>
      <c r="B9" s="3090"/>
      <c r="C9" s="3090"/>
      <c r="D9" s="3091" t="e">
        <f>结果表!D123</f>
        <v>#VALUE!</v>
      </c>
      <c r="E9" s="3091"/>
      <c r="F9" s="3091"/>
      <c r="G9" s="3091"/>
      <c r="H9" s="3091"/>
      <c r="I9" s="3091"/>
    </row>
    <row r="10" spans="1:9" ht="15.75">
      <c r="A10" s="3092" t="str">
        <f>结果表!A124</f>
        <v>抵押担保权已注销时的房地产抵押价值</v>
      </c>
      <c r="B10" s="3092"/>
      <c r="C10" s="3092"/>
      <c r="D10" s="3092">
        <f ca="1">结果表!D124</f>
        <v>3119</v>
      </c>
      <c r="E10" s="3092"/>
      <c r="F10" s="3092"/>
      <c r="G10" s="3092"/>
      <c r="H10" s="3092"/>
      <c r="I10" s="3092"/>
    </row>
    <row r="11" spans="1:9" ht="15">
      <c r="A11" s="3090" t="s">
        <v>1639</v>
      </c>
      <c r="B11" s="3090"/>
      <c r="C11" s="3090"/>
      <c r="D11" s="3091" t="str">
        <f ca="1">结果表!D125</f>
        <v>叁仟壹佰壹拾玖万元整</v>
      </c>
      <c r="E11" s="3091"/>
      <c r="F11" s="3091"/>
      <c r="G11" s="3091"/>
      <c r="H11" s="3091"/>
      <c r="I11" s="3091"/>
    </row>
    <row r="12" spans="1:9" ht="15.75">
      <c r="A12" s="3092" t="str">
        <f>结果表!A126</f>
        <v/>
      </c>
      <c r="B12" s="3092"/>
      <c r="C12" s="3092"/>
      <c r="D12" s="3092" t="str">
        <f>结果表!D126</f>
        <v>——</v>
      </c>
      <c r="E12" s="3092"/>
      <c r="F12" s="3092"/>
      <c r="G12" s="3092"/>
      <c r="H12" s="3092"/>
      <c r="I12" s="3092"/>
    </row>
    <row r="13" spans="1:9" ht="15.75" thickBot="1">
      <c r="A13" s="3096" t="s">
        <v>1639</v>
      </c>
      <c r="B13" s="3096"/>
      <c r="C13" s="3096"/>
      <c r="D13" s="3097" t="e">
        <f>结果表!D127</f>
        <v>#VALUE!</v>
      </c>
      <c r="E13" s="3097"/>
      <c r="F13" s="3097"/>
      <c r="G13" s="3097"/>
      <c r="H13" s="3097"/>
      <c r="I13" s="3097"/>
    </row>
    <row r="14" spans="1:9" ht="15" thickTop="1">
      <c r="A14" s="3098" t="s">
        <v>1644</v>
      </c>
      <c r="B14" s="3098"/>
      <c r="C14" s="3098"/>
      <c r="D14" s="3098"/>
      <c r="E14" s="3098"/>
      <c r="F14" s="3098"/>
      <c r="G14" s="3098"/>
      <c r="H14" s="3098"/>
      <c r="I14" s="3098"/>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1:P12"/>
  <sheetViews>
    <sheetView workbookViewId="0">
      <selection activeCell="O30" sqref="O30"/>
    </sheetView>
  </sheetViews>
  <sheetFormatPr defaultRowHeight="13.5"/>
  <sheetData>
    <row r="11" spans="16:16">
      <c r="P11">
        <v>69000</v>
      </c>
    </row>
    <row r="12" spans="16:16">
      <c r="P12">
        <f>P11*0.85</f>
        <v>58650</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99" t="s">
        <v>1661</v>
      </c>
      <c r="B1" s="3099"/>
      <c r="C1" s="3099"/>
      <c r="D1" s="3099"/>
    </row>
    <row r="2" spans="1:4" ht="18">
      <c r="A2" s="3100" t="s">
        <v>1645</v>
      </c>
      <c r="B2" s="3100"/>
      <c r="C2" s="3100"/>
      <c r="D2" s="3100"/>
    </row>
    <row r="3" spans="1:4" ht="18.75">
      <c r="A3" s="1978" t="s">
        <v>1646</v>
      </c>
      <c r="B3" s="1978" t="s">
        <v>1647</v>
      </c>
      <c r="C3" s="1978" t="s">
        <v>1648</v>
      </c>
      <c r="D3" s="1978" t="s">
        <v>1649</v>
      </c>
    </row>
    <row r="4" spans="1:4" ht="56.25" customHeight="1">
      <c r="A4" s="1979" t="str">
        <f>项目基本情况!B4</f>
        <v>欧红伟</v>
      </c>
      <c r="B4" s="1980">
        <f ca="1">项目基本情况!C4</f>
        <v>1120000080</v>
      </c>
      <c r="C4" s="1981"/>
      <c r="D4" s="1982" t="s">
        <v>1650</v>
      </c>
    </row>
    <row r="5" spans="1:4" ht="56.25" customHeight="1">
      <c r="A5" s="1979" t="str">
        <f>项目基本情况!D4</f>
        <v>崔锴</v>
      </c>
      <c r="B5" s="1980">
        <f ca="1">项目基本情况!E4</f>
        <v>1120100036</v>
      </c>
      <c r="C5" s="1983"/>
      <c r="D5" s="1982" t="s">
        <v>1650</v>
      </c>
    </row>
    <row r="6" spans="1:4" ht="18">
      <c r="A6" s="3100" t="s">
        <v>1651</v>
      </c>
      <c r="B6" s="3100"/>
      <c r="C6" s="3100"/>
      <c r="D6" s="3100"/>
    </row>
    <row r="7" spans="1:4" ht="18.75">
      <c r="A7" s="1978" t="s">
        <v>1646</v>
      </c>
      <c r="B7" s="1980" t="s">
        <v>1652</v>
      </c>
      <c r="C7" s="1978" t="s">
        <v>1648</v>
      </c>
      <c r="D7" s="1978" t="s">
        <v>1649</v>
      </c>
    </row>
    <row r="8" spans="1:4" ht="56.25" customHeight="1">
      <c r="A8" s="1984" t="s">
        <v>869</v>
      </c>
      <c r="B8" s="1984" t="s">
        <v>1</v>
      </c>
      <c r="C8" s="1981"/>
      <c r="D8" s="1982" t="s">
        <v>1650</v>
      </c>
    </row>
    <row r="9" spans="1:4">
      <c r="A9" s="727"/>
      <c r="B9" s="727"/>
      <c r="C9" s="727"/>
      <c r="D9" s="727"/>
    </row>
    <row r="10" spans="1:4" ht="18.75">
      <c r="A10" s="1985" t="s">
        <v>1653</v>
      </c>
      <c r="B10" s="727"/>
      <c r="C10" s="727"/>
      <c r="D10" s="727"/>
    </row>
    <row r="11" spans="1:4" ht="30" customHeight="1">
      <c r="A11" s="3101" t="s">
        <v>1654</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102" t="str">
        <f>IF(项目基本情况!B8="抵押","4.本次评估估价师所知悉的法定优先受偿款情况说明如下：","——")</f>
        <v>4.本次评估估价师所知悉的法定优先受偿款情况说明如下：</v>
      </c>
      <c r="B14" s="3103"/>
      <c r="C14" s="3103"/>
      <c r="D14" s="3103"/>
    </row>
    <row r="15" spans="1:4" ht="42" customHeight="1">
      <c r="A15" s="310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02"/>
      <c r="C15" s="3102"/>
      <c r="D15" s="3102"/>
    </row>
    <row r="16" spans="1:4" ht="30" customHeight="1">
      <c r="A16" s="3105" t="s">
        <v>1655</v>
      </c>
      <c r="B16" s="3105"/>
      <c r="C16" s="3105"/>
      <c r="D16" s="3105"/>
    </row>
    <row r="17" spans="1:4" ht="144" customHeight="1">
      <c r="A17" s="3105" t="s">
        <v>1656</v>
      </c>
      <c r="B17" s="3105"/>
      <c r="C17" s="3105"/>
      <c r="D17" s="3105"/>
    </row>
    <row r="18" spans="1:4" ht="15.75" customHeight="1">
      <c r="A18" s="3102" t="str">
        <f ca="1">IF(项目基本情况!B8="抵押",结果表!K120,"——")</f>
        <v>故，本次评估估价师知悉的除抵押担保权以外的法定优先受偿款为人民币249万元整。</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6"/>
      <c r="C21" s="3106"/>
      <c r="D21" s="3106"/>
    </row>
    <row r="22" spans="1:4" ht="18.75" customHeight="1">
      <c r="A22" s="3107" t="s">
        <v>1657</v>
      </c>
      <c r="B22" s="3107"/>
      <c r="C22" s="3107"/>
      <c r="D22" s="3107"/>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113" t="s">
        <v>1668</v>
      </c>
      <c r="B15" s="3108" t="s">
        <v>136</v>
      </c>
      <c r="C15" s="3109"/>
    </row>
    <row r="16" spans="1:7" ht="13.5">
      <c r="A16" s="3114"/>
      <c r="B16" s="3108" t="s">
        <v>69</v>
      </c>
      <c r="C16" s="3109"/>
    </row>
    <row r="17" spans="1:3" ht="13.5">
      <c r="A17" s="3114"/>
      <c r="B17" s="3111" t="s">
        <v>1669</v>
      </c>
      <c r="C17" s="2001" t="s">
        <v>1668</v>
      </c>
    </row>
    <row r="18" spans="1:3" ht="13.5">
      <c r="A18" s="3114"/>
      <c r="B18" s="3111"/>
      <c r="C18" s="2001" t="s">
        <v>1670</v>
      </c>
    </row>
    <row r="19" spans="1:3" ht="13.5">
      <c r="A19" s="3114"/>
      <c r="B19" s="3111"/>
      <c r="C19" s="2001" t="s">
        <v>1671</v>
      </c>
    </row>
    <row r="20" spans="1:3" ht="13.5">
      <c r="A20" s="3115"/>
      <c r="B20" s="3110" t="s">
        <v>1672</v>
      </c>
      <c r="C20" s="3109"/>
    </row>
    <row r="21" spans="1:3" ht="13.5">
      <c r="A21" s="2002" t="s">
        <v>1673</v>
      </c>
      <c r="B21" s="2003"/>
      <c r="C21" s="2004"/>
    </row>
    <row r="22" spans="1:3" ht="13.5">
      <c r="A22" s="3112" t="s">
        <v>1674</v>
      </c>
      <c r="B22" s="3110" t="s">
        <v>1675</v>
      </c>
      <c r="C22" s="3109"/>
    </row>
    <row r="23" spans="1:3" ht="13.5">
      <c r="A23" s="3112"/>
      <c r="B23" s="3110" t="s">
        <v>1676</v>
      </c>
      <c r="C23" s="3109"/>
    </row>
    <row r="24" spans="1:3" ht="13.5">
      <c r="A24" s="3112"/>
      <c r="B24" s="3110" t="s">
        <v>1677</v>
      </c>
      <c r="C24" s="3109"/>
    </row>
    <row r="25" spans="1:3" ht="13.5">
      <c r="A25" s="3112"/>
      <c r="B25" s="3111" t="s">
        <v>1678</v>
      </c>
      <c r="C25" s="2001" t="s">
        <v>1679</v>
      </c>
    </row>
    <row r="26" spans="1:3" ht="13.5">
      <c r="A26" s="3112"/>
      <c r="B26" s="3111"/>
      <c r="C26" s="2001" t="s">
        <v>1680</v>
      </c>
    </row>
    <row r="27" spans="1:3" ht="13.5">
      <c r="A27" s="3112"/>
      <c r="B27" s="3111"/>
      <c r="C27" s="2001" t="s">
        <v>1681</v>
      </c>
    </row>
    <row r="28" spans="1:3" ht="13.5">
      <c r="A28" s="3112"/>
      <c r="B28" s="3111"/>
      <c r="C28" s="2001" t="s">
        <v>1682</v>
      </c>
    </row>
    <row r="29" spans="1:3" ht="13.5">
      <c r="A29" s="3112"/>
      <c r="B29" s="3111"/>
      <c r="C29" s="2001" t="s">
        <v>1683</v>
      </c>
    </row>
    <row r="30" spans="1:3" ht="13.5">
      <c r="A30" s="3112"/>
      <c r="B30" s="3111"/>
      <c r="C30" s="2001" t="s">
        <v>1684</v>
      </c>
    </row>
    <row r="31" spans="1:3" ht="13.5">
      <c r="A31" s="3112"/>
      <c r="B31" s="3111"/>
      <c r="C31" s="2001" t="s">
        <v>1685</v>
      </c>
    </row>
    <row r="32" spans="1:3" ht="13.5">
      <c r="A32" s="3112"/>
      <c r="B32" s="3111"/>
      <c r="C32" s="2001" t="s">
        <v>1686</v>
      </c>
    </row>
    <row r="33" spans="1:3" ht="13.5">
      <c r="A33" s="3112"/>
      <c r="B33" s="3111"/>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43138</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c r="B12" s="1024"/>
      <c r="C12" s="2344"/>
      <c r="D12" s="2347"/>
      <c r="E12" s="1024"/>
      <c r="F12" s="1024"/>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344">
        <v>43304</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116" t="s">
        <v>846</v>
      </c>
      <c r="B25" s="3116"/>
      <c r="C25" s="3116"/>
      <c r="D25" s="3116"/>
      <c r="E25" s="3116"/>
      <c r="F25" s="3116"/>
      <c r="G25" s="3116"/>
    </row>
    <row r="26" spans="1:7" s="1027" customFormat="1" ht="24" customHeight="1">
      <c r="A26" s="3117" t="s">
        <v>847</v>
      </c>
      <c r="B26" s="3117"/>
      <c r="C26" s="3118"/>
      <c r="D26" s="3119" t="s">
        <v>848</v>
      </c>
      <c r="E26" s="3117"/>
      <c r="F26" s="3117"/>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59">
        <v>44377</v>
      </c>
    </row>
    <row r="29" spans="1:7" s="1029" customFormat="1" ht="24" customHeight="1">
      <c r="A29" s="1030"/>
      <c r="B29" s="1030"/>
      <c r="C29" s="2350"/>
      <c r="D29" s="2352"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Sheet2</vt:lpstr>
      <vt:lpstr>住宅单套</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2018-02-07T02:55:57Z</dcterms:modified>
</cp:coreProperties>
</file>